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cilities\Working\LBR\2027-28\Forms and Instructions\"/>
    </mc:Choice>
  </mc:AlternateContent>
  <xr:revisionPtr revIDLastSave="0" documentId="8_{C3B11614-C2E7-43AE-B698-0DAEB219E4CF}" xr6:coauthVersionLast="47" xr6:coauthVersionMax="47" xr10:uidLastSave="{00000000-0000-0000-0000-000000000000}"/>
  <bookViews>
    <workbookView xWindow="28680" yWindow="-165" windowWidth="29040" windowHeight="15720" xr2:uid="{151EB9EE-8FAF-49F6-A068-C42053C79626}"/>
  </bookViews>
  <sheets>
    <sheet name="cost-location" sheetId="3" r:id="rId1"/>
    <sheet name="const-cost" sheetId="2" r:id="rId2"/>
    <sheet name="cost-addons" sheetId="4" r:id="rId3"/>
    <sheet name="CSCTHIST" sheetId="1" r:id="rId4"/>
    <sheet name="COSTBASE" sheetId="5" r:id="rId5"/>
  </sheets>
  <definedNames>
    <definedName name="new_print_area_mi">COSTBASE!$A$9:$J$2241</definedName>
    <definedName name="new_print_titles_mi">COSTBASE!$2:$8</definedName>
    <definedName name="_xlnm.Print_Area" localSheetId="1">'const-cost'!$A$1:$E$35</definedName>
    <definedName name="_xlnm.Print_Area" localSheetId="2">'cost-addons'!$A$1:$L$40</definedName>
    <definedName name="_xlnm.Print_Area" localSheetId="4">COSTBASE!$A$1:$J$2487</definedName>
    <definedName name="_xlnm.Print_Area" localSheetId="0">'cost-location'!$A$2:$L$41</definedName>
    <definedName name="_xlnm.Print_Area" localSheetId="3">CSCTHIST!$A$1:$L$289</definedName>
    <definedName name="_xlnm.Print_Area">COSTBASE!$A$9:$J$2241</definedName>
    <definedName name="Print_Area_MI" localSheetId="1">'const-cost'!#REF!</definedName>
    <definedName name="Print_Area_MI" localSheetId="2">'cost-addons'!#REF!</definedName>
    <definedName name="Print_Area_MI" localSheetId="4">COSTBASE!$A$9:$J$2241</definedName>
    <definedName name="Print_Area_MI" localSheetId="0">'cost-location'!#REF!</definedName>
    <definedName name="Print_Area_MI">CSCTHIST!$A$12:$L$288</definedName>
    <definedName name="_xlnm.Print_Titles" localSheetId="1">'const-cost'!$1:$1</definedName>
    <definedName name="_xlnm.Print_Titles" localSheetId="2">'cost-addons'!$1:$1</definedName>
    <definedName name="_xlnm.Print_Titles" localSheetId="4">COSTBASE!$1:$8</definedName>
    <definedName name="_xlnm.Print_Titles" localSheetId="0">'cost-location'!$2:$2</definedName>
    <definedName name="_xlnm.Print_Titles" localSheetId="3">CSCTHIST!$1:$10</definedName>
    <definedName name="_xlnm.Print_Titles">COSTBASE!$2:$8</definedName>
    <definedName name="Print_Titles_MI" localSheetId="1">'const-cost'!$1:$1</definedName>
    <definedName name="Print_Titles_MI" localSheetId="2">'cost-addons'!$1:$1</definedName>
    <definedName name="Print_Titles_MI" localSheetId="4">COSTBASE!$2:$8</definedName>
    <definedName name="Print_Titles_MI" localSheetId="0">'cost-location'!$2:$2</definedName>
    <definedName name="Print_Titles_MI">CSCTHIST!$2:$11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9" i="1" l="1"/>
  <c r="J189" i="1" s="1"/>
  <c r="L189" i="1" s="1"/>
  <c r="I2210" i="5"/>
  <c r="H2214" i="5"/>
  <c r="I2213" i="5" s="1"/>
  <c r="K123" i="1"/>
  <c r="I122" i="1"/>
  <c r="J122" i="1"/>
  <c r="L122" i="1"/>
  <c r="I471" i="5"/>
  <c r="I470" i="5"/>
  <c r="H463" i="5"/>
  <c r="I459" i="5" s="1"/>
  <c r="I466" i="5"/>
  <c r="I56" i="1"/>
  <c r="J56" i="1"/>
  <c r="K226" i="1"/>
  <c r="K214" i="1"/>
  <c r="K287" i="1"/>
  <c r="K191" i="1"/>
  <c r="K58" i="1"/>
  <c r="K30" i="1"/>
  <c r="E131" i="1"/>
  <c r="E197" i="1"/>
  <c r="E129" i="1"/>
  <c r="I112" i="1"/>
  <c r="E112" i="1"/>
  <c r="E79" i="1"/>
  <c r="I64" i="1"/>
  <c r="J64" i="1"/>
  <c r="L64" i="1" s="1"/>
  <c r="L74" i="1" s="1"/>
  <c r="J76" i="1" s="1"/>
  <c r="E16" i="2" s="1"/>
  <c r="E37" i="1"/>
  <c r="E130" i="1"/>
  <c r="E80" i="1"/>
  <c r="E14" i="1"/>
  <c r="E35" i="1"/>
  <c r="I118" i="1"/>
  <c r="E118" i="1"/>
  <c r="J118" i="1"/>
  <c r="L118" i="1" s="1"/>
  <c r="E81" i="1"/>
  <c r="E36" i="1"/>
  <c r="E13" i="1"/>
  <c r="E196" i="1"/>
  <c r="I188" i="1"/>
  <c r="J188" i="1"/>
  <c r="L188" i="1"/>
  <c r="I190" i="1"/>
  <c r="J190" i="1"/>
  <c r="L190" i="1" s="1"/>
  <c r="H1517" i="5"/>
  <c r="I1511" i="5" s="1"/>
  <c r="H453" i="5"/>
  <c r="I447" i="5" s="1"/>
  <c r="K74" i="1"/>
  <c r="H2454" i="5"/>
  <c r="I2450" i="5"/>
  <c r="I121" i="1"/>
  <c r="J121" i="1" s="1"/>
  <c r="L121" i="1" s="1"/>
  <c r="H1808" i="5"/>
  <c r="I1808" i="5"/>
  <c r="I187" i="1"/>
  <c r="J187" i="1" s="1"/>
  <c r="L187" i="1" s="1"/>
  <c r="I185" i="1"/>
  <c r="J185" i="1"/>
  <c r="L185" i="1" s="1"/>
  <c r="H2206" i="5"/>
  <c r="H2487" i="5"/>
  <c r="I2485" i="5"/>
  <c r="I120" i="1"/>
  <c r="J120" i="1" s="1"/>
  <c r="L120" i="1" s="1"/>
  <c r="H443" i="5"/>
  <c r="H435" i="5"/>
  <c r="I431" i="5"/>
  <c r="H480" i="5"/>
  <c r="I477" i="5" s="1"/>
  <c r="I186" i="1"/>
  <c r="J186" i="1"/>
  <c r="L186" i="1" s="1"/>
  <c r="H427" i="5"/>
  <c r="I426" i="5" s="1"/>
  <c r="I184" i="1"/>
  <c r="J184" i="1" s="1"/>
  <c r="L184" i="1" s="1"/>
  <c r="H937" i="5"/>
  <c r="I935" i="5"/>
  <c r="H1268" i="5"/>
  <c r="I1267" i="5"/>
  <c r="E183" i="1"/>
  <c r="K267" i="1"/>
  <c r="I183" i="1"/>
  <c r="I182" i="1"/>
  <c r="E182" i="1"/>
  <c r="I55" i="1"/>
  <c r="E55" i="1"/>
  <c r="J55" i="1"/>
  <c r="L55" i="1" s="1"/>
  <c r="I29" i="1"/>
  <c r="J29" i="1"/>
  <c r="L29" i="1"/>
  <c r="H1931" i="5"/>
  <c r="I1931" i="5"/>
  <c r="H423" i="5"/>
  <c r="I421" i="5" s="1"/>
  <c r="H1260" i="5"/>
  <c r="I1259" i="5"/>
  <c r="H1248" i="5"/>
  <c r="I1248" i="5"/>
  <c r="H1253" i="5"/>
  <c r="I1252" i="5"/>
  <c r="H1243" i="5"/>
  <c r="I1240" i="5" s="1"/>
  <c r="H1236" i="5"/>
  <c r="I1232" i="5"/>
  <c r="H771" i="5"/>
  <c r="I769" i="5"/>
  <c r="H766" i="5"/>
  <c r="I763" i="5" s="1"/>
  <c r="H1803" i="5"/>
  <c r="I1799" i="5"/>
  <c r="K244" i="1"/>
  <c r="I266" i="1"/>
  <c r="J266" i="1" s="1"/>
  <c r="L266" i="1" s="1"/>
  <c r="I181" i="1"/>
  <c r="J181" i="1" s="1"/>
  <c r="L181" i="1" s="1"/>
  <c r="I119" i="1"/>
  <c r="E119" i="1"/>
  <c r="J119" i="1"/>
  <c r="L119" i="1" s="1"/>
  <c r="H1924" i="5"/>
  <c r="I1923" i="5" s="1"/>
  <c r="H1226" i="5"/>
  <c r="I1224" i="5"/>
  <c r="I755" i="5"/>
  <c r="I754" i="5"/>
  <c r="I753" i="5"/>
  <c r="I752" i="5"/>
  <c r="I416" i="5"/>
  <c r="I417" i="5"/>
  <c r="I265" i="1"/>
  <c r="E265" i="1"/>
  <c r="J265" i="1"/>
  <c r="L265" i="1" s="1"/>
  <c r="F2463" i="5"/>
  <c r="H2469" i="5"/>
  <c r="I2465" i="5"/>
  <c r="E180" i="1"/>
  <c r="I180" i="1"/>
  <c r="E117" i="1"/>
  <c r="J117" i="1"/>
  <c r="L117" i="1" s="1"/>
  <c r="H413" i="5"/>
  <c r="I411" i="5"/>
  <c r="H2348" i="5"/>
  <c r="I2346" i="5"/>
  <c r="I2189" i="5"/>
  <c r="H2201" i="5"/>
  <c r="I2201" i="5" s="1"/>
  <c r="H928" i="5"/>
  <c r="I926" i="5"/>
  <c r="I117" i="1"/>
  <c r="H1219" i="5"/>
  <c r="I1214" i="5" s="1"/>
  <c r="H923" i="5"/>
  <c r="I916" i="5" s="1"/>
  <c r="I179" i="1"/>
  <c r="E179" i="1"/>
  <c r="J179" i="1"/>
  <c r="L179" i="1"/>
  <c r="I178" i="1"/>
  <c r="E178" i="1"/>
  <c r="I116" i="1"/>
  <c r="H2445" i="5"/>
  <c r="I2440" i="5"/>
  <c r="H2196" i="5"/>
  <c r="I2196" i="5"/>
  <c r="H1206" i="5"/>
  <c r="I1206" i="5" s="1"/>
  <c r="H1200" i="5"/>
  <c r="I1200" i="5"/>
  <c r="H1795" i="5"/>
  <c r="I1793" i="5"/>
  <c r="H1506" i="5"/>
  <c r="I1504" i="5" s="1"/>
  <c r="I393" i="5"/>
  <c r="I392" i="5"/>
  <c r="H406" i="5"/>
  <c r="I403" i="5"/>
  <c r="I54" i="1"/>
  <c r="J54" i="1"/>
  <c r="L54" i="1" s="1"/>
  <c r="I212" i="1"/>
  <c r="I177" i="1"/>
  <c r="E212" i="1"/>
  <c r="J212" i="1" s="1"/>
  <c r="L212" i="1" s="1"/>
  <c r="E177" i="1"/>
  <c r="J177" i="1" s="1"/>
  <c r="L177" i="1" s="1"/>
  <c r="E54" i="1"/>
  <c r="I2184" i="5"/>
  <c r="I2185" i="5"/>
  <c r="I2186" i="5"/>
  <c r="I2187" i="5"/>
  <c r="I2188" i="5"/>
  <c r="I2183" i="5"/>
  <c r="I745" i="5"/>
  <c r="I746" i="5"/>
  <c r="I747" i="5"/>
  <c r="I748" i="5"/>
  <c r="I749" i="5"/>
  <c r="I744" i="5"/>
  <c r="I395" i="5"/>
  <c r="I396" i="5"/>
  <c r="I397" i="5"/>
  <c r="I398" i="5"/>
  <c r="I394" i="5"/>
  <c r="I176" i="1"/>
  <c r="E176" i="1"/>
  <c r="J176" i="1" s="1"/>
  <c r="L176" i="1" s="1"/>
  <c r="I175" i="1"/>
  <c r="E175" i="1"/>
  <c r="J175" i="1"/>
  <c r="L175" i="1"/>
  <c r="H2479" i="5"/>
  <c r="I2475" i="5" s="1"/>
  <c r="H2180" i="5"/>
  <c r="I2177" i="5" s="1"/>
  <c r="H2172" i="5"/>
  <c r="I2168" i="5" s="1"/>
  <c r="H389" i="5"/>
  <c r="I386" i="5" s="1"/>
  <c r="I174" i="1"/>
  <c r="H1192" i="5"/>
  <c r="I1183" i="5"/>
  <c r="E174" i="1"/>
  <c r="J174" i="1"/>
  <c r="L174" i="1"/>
  <c r="I173" i="1"/>
  <c r="E173" i="1"/>
  <c r="J173" i="1" s="1"/>
  <c r="L173" i="1" s="1"/>
  <c r="I172" i="1"/>
  <c r="E172" i="1"/>
  <c r="J172" i="1"/>
  <c r="L172" i="1" s="1"/>
  <c r="I382" i="5"/>
  <c r="I383" i="5"/>
  <c r="H379" i="5"/>
  <c r="I378" i="5" s="1"/>
  <c r="I376" i="5"/>
  <c r="H741" i="5"/>
  <c r="I735" i="5"/>
  <c r="I2127" i="5"/>
  <c r="H2164" i="5"/>
  <c r="I2157" i="5"/>
  <c r="I171" i="1"/>
  <c r="E171" i="1"/>
  <c r="J171" i="1" s="1"/>
  <c r="L171" i="1" s="1"/>
  <c r="H1917" i="5"/>
  <c r="I1912" i="5" s="1"/>
  <c r="E114" i="1"/>
  <c r="E286" i="1"/>
  <c r="I286" i="1"/>
  <c r="H727" i="5"/>
  <c r="I724" i="5" s="1"/>
  <c r="E116" i="1"/>
  <c r="J116" i="1" s="1"/>
  <c r="L116" i="1" s="1"/>
  <c r="E170" i="1"/>
  <c r="I170" i="1"/>
  <c r="J170" i="1" s="1"/>
  <c r="L170" i="1"/>
  <c r="H372" i="5"/>
  <c r="I371" i="5" s="1"/>
  <c r="I372" i="5" s="1"/>
  <c r="H1496" i="5"/>
  <c r="I1494" i="5"/>
  <c r="H362" i="5"/>
  <c r="I361" i="5"/>
  <c r="H355" i="5"/>
  <c r="I352" i="5" s="1"/>
  <c r="I169" i="1"/>
  <c r="E169" i="1"/>
  <c r="J169" i="1" s="1"/>
  <c r="L169" i="1" s="1"/>
  <c r="H2340" i="5"/>
  <c r="I2338" i="5"/>
  <c r="I264" i="1"/>
  <c r="J264" i="1" s="1"/>
  <c r="E264" i="1"/>
  <c r="L264" i="1"/>
  <c r="H2150" i="5"/>
  <c r="I2148" i="5" s="1"/>
  <c r="I2149" i="5"/>
  <c r="H1909" i="5"/>
  <c r="H1178" i="5"/>
  <c r="I1177" i="5"/>
  <c r="H367" i="5"/>
  <c r="I365" i="5"/>
  <c r="I263" i="1"/>
  <c r="I211" i="1"/>
  <c r="I210" i="1"/>
  <c r="J210" i="1" s="1"/>
  <c r="L210" i="1" s="1"/>
  <c r="I167" i="1"/>
  <c r="I168" i="1"/>
  <c r="I166" i="1"/>
  <c r="I114" i="1"/>
  <c r="J114" i="1" s="1"/>
  <c r="L114" i="1" s="1"/>
  <c r="I71" i="1"/>
  <c r="J71" i="1"/>
  <c r="L71" i="1" s="1"/>
  <c r="I53" i="1"/>
  <c r="E168" i="1"/>
  <c r="J168" i="1" s="1"/>
  <c r="L168" i="1" s="1"/>
  <c r="H2145" i="5"/>
  <c r="I2137" i="5"/>
  <c r="H343" i="5"/>
  <c r="I342" i="5" s="1"/>
  <c r="E167" i="1"/>
  <c r="J167" i="1"/>
  <c r="L167" i="1" s="1"/>
  <c r="H337" i="5"/>
  <c r="I336" i="5"/>
  <c r="E211" i="1"/>
  <c r="J211" i="1" s="1"/>
  <c r="L211" i="1" s="1"/>
  <c r="H330" i="5"/>
  <c r="I329" i="5"/>
  <c r="H1488" i="5"/>
  <c r="I1483" i="5"/>
  <c r="E263" i="1"/>
  <c r="J263" i="1" s="1"/>
  <c r="L263" i="1" s="1"/>
  <c r="H719" i="5"/>
  <c r="I718" i="5"/>
  <c r="I719" i="5"/>
  <c r="H715" i="5"/>
  <c r="I713" i="5" s="1"/>
  <c r="E210" i="1"/>
  <c r="E71" i="1"/>
  <c r="H706" i="5"/>
  <c r="I705" i="5"/>
  <c r="E166" i="1"/>
  <c r="H2461" i="5"/>
  <c r="I2458" i="5"/>
  <c r="E53" i="1"/>
  <c r="J53" i="1"/>
  <c r="L53" i="1" s="1"/>
  <c r="H2436" i="5"/>
  <c r="I2432" i="5"/>
  <c r="I52" i="1"/>
  <c r="E52" i="1"/>
  <c r="J52" i="1" s="1"/>
  <c r="L52" i="1" s="1"/>
  <c r="H2334" i="5"/>
  <c r="I2332" i="5" s="1"/>
  <c r="E278" i="1"/>
  <c r="E279" i="1"/>
  <c r="E280" i="1"/>
  <c r="E283" i="1"/>
  <c r="I283" i="1"/>
  <c r="E284" i="1"/>
  <c r="J284" i="1" s="1"/>
  <c r="L284" i="1" s="1"/>
  <c r="I284" i="1"/>
  <c r="E285" i="1"/>
  <c r="I285" i="1"/>
  <c r="I113" i="1"/>
  <c r="E113" i="1"/>
  <c r="E90" i="1"/>
  <c r="E91" i="1"/>
  <c r="E92" i="1"/>
  <c r="E93" i="1"/>
  <c r="E94" i="1"/>
  <c r="J94" i="1" s="1"/>
  <c r="L94" i="1" s="1"/>
  <c r="I94" i="1"/>
  <c r="E95" i="1"/>
  <c r="I95" i="1"/>
  <c r="J95" i="1"/>
  <c r="L95" i="1" s="1"/>
  <c r="E96" i="1"/>
  <c r="I96" i="1"/>
  <c r="J96" i="1"/>
  <c r="L96" i="1" s="1"/>
  <c r="E97" i="1"/>
  <c r="I97" i="1"/>
  <c r="E98" i="1"/>
  <c r="I98" i="1"/>
  <c r="J98" i="1"/>
  <c r="L98" i="1" s="1"/>
  <c r="E99" i="1"/>
  <c r="I99" i="1"/>
  <c r="E100" i="1"/>
  <c r="I100" i="1"/>
  <c r="J100" i="1"/>
  <c r="L100" i="1"/>
  <c r="E101" i="1"/>
  <c r="I101" i="1"/>
  <c r="E102" i="1"/>
  <c r="I102" i="1"/>
  <c r="J102" i="1"/>
  <c r="L102" i="1" s="1"/>
  <c r="E103" i="1"/>
  <c r="J103" i="1" s="1"/>
  <c r="L103" i="1" s="1"/>
  <c r="I103" i="1"/>
  <c r="E104" i="1"/>
  <c r="I104" i="1"/>
  <c r="J104" i="1"/>
  <c r="L104" i="1"/>
  <c r="E105" i="1"/>
  <c r="J105" i="1" s="1"/>
  <c r="L105" i="1" s="1"/>
  <c r="I105" i="1"/>
  <c r="E106" i="1"/>
  <c r="I106" i="1"/>
  <c r="J106" i="1"/>
  <c r="L106" i="1" s="1"/>
  <c r="E107" i="1"/>
  <c r="J107" i="1" s="1"/>
  <c r="L107" i="1" s="1"/>
  <c r="I107" i="1"/>
  <c r="E108" i="1"/>
  <c r="I108" i="1"/>
  <c r="J108" i="1"/>
  <c r="L108" i="1" s="1"/>
  <c r="E109" i="1"/>
  <c r="J109" i="1" s="1"/>
  <c r="L109" i="1" s="1"/>
  <c r="I109" i="1"/>
  <c r="E110" i="1"/>
  <c r="J110" i="1" s="1"/>
  <c r="L110" i="1"/>
  <c r="I110" i="1"/>
  <c r="E111" i="1"/>
  <c r="I111" i="1"/>
  <c r="J111" i="1"/>
  <c r="L111" i="1" s="1"/>
  <c r="E41" i="1"/>
  <c r="E42" i="1"/>
  <c r="E43" i="1"/>
  <c r="E44" i="1"/>
  <c r="E45" i="1"/>
  <c r="E46" i="1"/>
  <c r="E47" i="1"/>
  <c r="E48" i="1"/>
  <c r="E49" i="1"/>
  <c r="J49" i="1" s="1"/>
  <c r="L49" i="1" s="1"/>
  <c r="L58" i="1" s="1"/>
  <c r="J60" i="1" s="1"/>
  <c r="E14" i="2" s="1"/>
  <c r="I49" i="1"/>
  <c r="E50" i="1"/>
  <c r="I50" i="1"/>
  <c r="E51" i="1"/>
  <c r="J51" i="1" s="1"/>
  <c r="L51" i="1" s="1"/>
  <c r="I51" i="1"/>
  <c r="E19" i="1"/>
  <c r="E20" i="1"/>
  <c r="E21" i="1"/>
  <c r="I21" i="1"/>
  <c r="J21" i="1"/>
  <c r="L21" i="1" s="1"/>
  <c r="E22" i="1"/>
  <c r="I22" i="1"/>
  <c r="J22" i="1"/>
  <c r="L22" i="1"/>
  <c r="E23" i="1"/>
  <c r="J23" i="1" s="1"/>
  <c r="L23" i="1" s="1"/>
  <c r="I23" i="1"/>
  <c r="E25" i="1"/>
  <c r="I25" i="1"/>
  <c r="J25" i="1" s="1"/>
  <c r="L25" i="1" s="1"/>
  <c r="E26" i="1"/>
  <c r="I26" i="1"/>
  <c r="E27" i="1"/>
  <c r="I27" i="1"/>
  <c r="J27" i="1" s="1"/>
  <c r="L27" i="1" s="1"/>
  <c r="E28" i="1"/>
  <c r="J28" i="1" s="1"/>
  <c r="L28" i="1" s="1"/>
  <c r="I28" i="1"/>
  <c r="I162" i="1"/>
  <c r="E162" i="1"/>
  <c r="J162" i="1" s="1"/>
  <c r="L162" i="1"/>
  <c r="E140" i="1"/>
  <c r="E141" i="1"/>
  <c r="E142" i="1"/>
  <c r="E143" i="1"/>
  <c r="E144" i="1"/>
  <c r="E145" i="1"/>
  <c r="E146" i="1"/>
  <c r="E147" i="1"/>
  <c r="E148" i="1"/>
  <c r="I148" i="1"/>
  <c r="J148" i="1" s="1"/>
  <c r="L148" i="1" s="1"/>
  <c r="E149" i="1"/>
  <c r="I149" i="1"/>
  <c r="J149" i="1" s="1"/>
  <c r="L149" i="1" s="1"/>
  <c r="E150" i="1"/>
  <c r="I150" i="1"/>
  <c r="J150" i="1" s="1"/>
  <c r="L150" i="1" s="1"/>
  <c r="E151" i="1"/>
  <c r="J151" i="1" s="1"/>
  <c r="L151" i="1" s="1"/>
  <c r="I151" i="1"/>
  <c r="E152" i="1"/>
  <c r="I152" i="1"/>
  <c r="J152" i="1" s="1"/>
  <c r="L152" i="1" s="1"/>
  <c r="E153" i="1"/>
  <c r="I153" i="1"/>
  <c r="E154" i="1"/>
  <c r="I154" i="1"/>
  <c r="E155" i="1"/>
  <c r="J155" i="1" s="1"/>
  <c r="L155" i="1" s="1"/>
  <c r="I155" i="1"/>
  <c r="E156" i="1"/>
  <c r="I156" i="1"/>
  <c r="J156" i="1" s="1"/>
  <c r="L156" i="1" s="1"/>
  <c r="E24" i="1"/>
  <c r="J24" i="1" s="1"/>
  <c r="L24" i="1" s="1"/>
  <c r="I24" i="1"/>
  <c r="E157" i="1"/>
  <c r="I157" i="1"/>
  <c r="J157" i="1"/>
  <c r="L157" i="1" s="1"/>
  <c r="E158" i="1"/>
  <c r="I158" i="1"/>
  <c r="J158" i="1" s="1"/>
  <c r="L158" i="1" s="1"/>
  <c r="E159" i="1"/>
  <c r="I159" i="1"/>
  <c r="J159" i="1" s="1"/>
  <c r="L159" i="1" s="1"/>
  <c r="E160" i="1"/>
  <c r="I160" i="1"/>
  <c r="E161" i="1"/>
  <c r="J161" i="1" s="1"/>
  <c r="L161" i="1" s="1"/>
  <c r="I161" i="1"/>
  <c r="E115" i="1"/>
  <c r="I115" i="1"/>
  <c r="J115" i="1" s="1"/>
  <c r="L115" i="1" s="1"/>
  <c r="E163" i="1"/>
  <c r="I163" i="1"/>
  <c r="J163" i="1" s="1"/>
  <c r="L163" i="1" s="1"/>
  <c r="E164" i="1"/>
  <c r="I164" i="1"/>
  <c r="J164" i="1" s="1"/>
  <c r="L164" i="1" s="1"/>
  <c r="E165" i="1"/>
  <c r="J165" i="1" s="1"/>
  <c r="L165" i="1" s="1"/>
  <c r="I165" i="1"/>
  <c r="H1904" i="5"/>
  <c r="I1898" i="5"/>
  <c r="H1789" i="5"/>
  <c r="I1786" i="5"/>
  <c r="I1789" i="5" s="1"/>
  <c r="H1781" i="5"/>
  <c r="H1782" i="5"/>
  <c r="H1480" i="5"/>
  <c r="I1477" i="5"/>
  <c r="H1472" i="5"/>
  <c r="I1468" i="5" s="1"/>
  <c r="I1472" i="5" s="1"/>
  <c r="H1170" i="5"/>
  <c r="I1169" i="5" s="1"/>
  <c r="H1162" i="5"/>
  <c r="I1161" i="5"/>
  <c r="H1155" i="5"/>
  <c r="I1154" i="5"/>
  <c r="H323" i="5"/>
  <c r="I319" i="5"/>
  <c r="I323" i="5" s="1"/>
  <c r="H316" i="5"/>
  <c r="I315" i="5" s="1"/>
  <c r="H1150" i="5"/>
  <c r="I1148" i="5"/>
  <c r="I262" i="1"/>
  <c r="E262" i="1"/>
  <c r="J262" i="1" s="1"/>
  <c r="L262" i="1" s="1"/>
  <c r="E252" i="1"/>
  <c r="E253" i="1"/>
  <c r="E254" i="1"/>
  <c r="E255" i="1"/>
  <c r="J255" i="1"/>
  <c r="L255" i="1"/>
  <c r="I255" i="1"/>
  <c r="E256" i="1"/>
  <c r="L256" i="1"/>
  <c r="I256" i="1"/>
  <c r="J256" i="1" s="1"/>
  <c r="E257" i="1"/>
  <c r="J257" i="1"/>
  <c r="L257" i="1" s="1"/>
  <c r="I257" i="1"/>
  <c r="E258" i="1"/>
  <c r="J258" i="1" s="1"/>
  <c r="L258" i="1" s="1"/>
  <c r="I258" i="1"/>
  <c r="E259" i="1"/>
  <c r="I259" i="1"/>
  <c r="E260" i="1"/>
  <c r="I260" i="1"/>
  <c r="J260" i="1"/>
  <c r="L260" i="1"/>
  <c r="I261" i="1"/>
  <c r="J261" i="1" s="1"/>
  <c r="L261" i="1" s="1"/>
  <c r="H2427" i="5"/>
  <c r="I2424" i="5"/>
  <c r="H2134" i="5"/>
  <c r="I2129" i="5"/>
  <c r="H1776" i="5"/>
  <c r="H1463" i="5"/>
  <c r="I1462" i="5"/>
  <c r="I1461" i="5"/>
  <c r="H700" i="5"/>
  <c r="I699" i="5" s="1"/>
  <c r="I698" i="5"/>
  <c r="H309" i="5"/>
  <c r="H303" i="5"/>
  <c r="I299" i="5"/>
  <c r="E240" i="1"/>
  <c r="J240" i="1"/>
  <c r="L240" i="1"/>
  <c r="I240" i="1"/>
  <c r="E241" i="1"/>
  <c r="I241" i="1"/>
  <c r="J241" i="1" s="1"/>
  <c r="L241" i="1" s="1"/>
  <c r="E242" i="1"/>
  <c r="I242" i="1"/>
  <c r="E243" i="1"/>
  <c r="I243" i="1"/>
  <c r="J243" i="1"/>
  <c r="L243" i="1" s="1"/>
  <c r="I221" i="1"/>
  <c r="J221" i="1" s="1"/>
  <c r="L221" i="1"/>
  <c r="I222" i="1"/>
  <c r="J222" i="1" s="1"/>
  <c r="L222" i="1" s="1"/>
  <c r="E223" i="1"/>
  <c r="I223" i="1"/>
  <c r="I224" i="1"/>
  <c r="J224" i="1"/>
  <c r="L224" i="1" s="1"/>
  <c r="L226" i="1" s="1"/>
  <c r="J228" i="1" s="1"/>
  <c r="E24" i="2" s="1"/>
  <c r="E225" i="1"/>
  <c r="I225" i="1"/>
  <c r="E202" i="1"/>
  <c r="E203" i="1"/>
  <c r="E204" i="1"/>
  <c r="E205" i="1"/>
  <c r="I205" i="1"/>
  <c r="J205" i="1" s="1"/>
  <c r="L205" i="1" s="1"/>
  <c r="E206" i="1"/>
  <c r="J206" i="1" s="1"/>
  <c r="L206" i="1" s="1"/>
  <c r="I206" i="1"/>
  <c r="E207" i="1"/>
  <c r="I207" i="1"/>
  <c r="J207" i="1" s="1"/>
  <c r="L207" i="1" s="1"/>
  <c r="E208" i="1"/>
  <c r="I208" i="1"/>
  <c r="J208" i="1"/>
  <c r="L208" i="1" s="1"/>
  <c r="E209" i="1"/>
  <c r="I209" i="1"/>
  <c r="I65" i="1"/>
  <c r="J65" i="1" s="1"/>
  <c r="L65" i="1" s="1"/>
  <c r="I66" i="1"/>
  <c r="J66" i="1" s="1"/>
  <c r="L66" i="1" s="1"/>
  <c r="E67" i="1"/>
  <c r="J67" i="1" s="1"/>
  <c r="L67" i="1" s="1"/>
  <c r="I67" i="1"/>
  <c r="E68" i="1"/>
  <c r="I68" i="1"/>
  <c r="J68" i="1"/>
  <c r="L68" i="1"/>
  <c r="E69" i="1"/>
  <c r="J69" i="1" s="1"/>
  <c r="L69" i="1" s="1"/>
  <c r="I69" i="1"/>
  <c r="E70" i="1"/>
  <c r="J70" i="1"/>
  <c r="L70" i="1" s="1"/>
  <c r="I70" i="1"/>
  <c r="H912" i="5"/>
  <c r="I902" i="5" s="1"/>
  <c r="I903" i="5"/>
  <c r="H904" i="5"/>
  <c r="H2420" i="5"/>
  <c r="I2417" i="5"/>
  <c r="H2410" i="5"/>
  <c r="H2317" i="5"/>
  <c r="I2316" i="5" s="1"/>
  <c r="I2315" i="5"/>
  <c r="H2326" i="5"/>
  <c r="H2307" i="5"/>
  <c r="I2305" i="5"/>
  <c r="H294" i="5"/>
  <c r="I291" i="5"/>
  <c r="H274" i="5"/>
  <c r="I272" i="5"/>
  <c r="H288" i="5"/>
  <c r="I284" i="5" s="1"/>
  <c r="H1144" i="5"/>
  <c r="I1141" i="5" s="1"/>
  <c r="H1137" i="5"/>
  <c r="I1134" i="5" s="1"/>
  <c r="H1770" i="5"/>
  <c r="I1768" i="5" s="1"/>
  <c r="H1762" i="5"/>
  <c r="I1758" i="5"/>
  <c r="H1754" i="5"/>
  <c r="I1753" i="5"/>
  <c r="H694" i="5"/>
  <c r="H687" i="5"/>
  <c r="I685" i="5" s="1"/>
  <c r="H1455" i="5"/>
  <c r="I1448" i="5"/>
  <c r="H1747" i="5"/>
  <c r="I1745" i="5" s="1"/>
  <c r="H1713" i="5"/>
  <c r="I1708" i="5" s="1"/>
  <c r="H1814" i="5"/>
  <c r="I1811" i="5"/>
  <c r="H1739" i="5"/>
  <c r="I1736" i="5"/>
  <c r="H1733" i="5"/>
  <c r="I1732" i="5" s="1"/>
  <c r="H681" i="5"/>
  <c r="G677" i="5"/>
  <c r="H665" i="5"/>
  <c r="I664" i="5"/>
  <c r="H675" i="5"/>
  <c r="I674" i="5" s="1"/>
  <c r="H607" i="5"/>
  <c r="I598" i="5" s="1"/>
  <c r="H622" i="5"/>
  <c r="I618" i="5" s="1"/>
  <c r="H657" i="5"/>
  <c r="H280" i="5"/>
  <c r="I278" i="5" s="1"/>
  <c r="I277" i="5"/>
  <c r="H265" i="5"/>
  <c r="H789" i="5"/>
  <c r="I785" i="5" s="1"/>
  <c r="H258" i="5"/>
  <c r="H2401" i="5"/>
  <c r="H2395" i="5"/>
  <c r="H2301" i="5"/>
  <c r="I2300" i="5" s="1"/>
  <c r="H2267" i="5"/>
  <c r="I2264" i="5"/>
  <c r="H2124" i="5"/>
  <c r="I2122" i="5" s="1"/>
  <c r="H2116" i="5"/>
  <c r="I2108" i="5"/>
  <c r="H1131" i="5"/>
  <c r="I1128" i="5"/>
  <c r="H1725" i="5"/>
  <c r="I1724" i="5" s="1"/>
  <c r="H650" i="5"/>
  <c r="I648" i="5"/>
  <c r="H643" i="5"/>
  <c r="I642" i="5"/>
  <c r="H489" i="5"/>
  <c r="I487" i="5" s="1"/>
  <c r="H250" i="5"/>
  <c r="I248" i="5" s="1"/>
  <c r="H245" i="5"/>
  <c r="I242" i="5" s="1"/>
  <c r="I244" i="5"/>
  <c r="H1109" i="5"/>
  <c r="I1103" i="5"/>
  <c r="H1122" i="5"/>
  <c r="H1115" i="5"/>
  <c r="I1112" i="5"/>
  <c r="H2291" i="5"/>
  <c r="I2290" i="5"/>
  <c r="F2285" i="5"/>
  <c r="H2283" i="5"/>
  <c r="I2281" i="5" s="1"/>
  <c r="H2045" i="5"/>
  <c r="I2042" i="5"/>
  <c r="H1702" i="5"/>
  <c r="I1700" i="5"/>
  <c r="H2105" i="5"/>
  <c r="H2099" i="5"/>
  <c r="I2098" i="5" s="1"/>
  <c r="H2092" i="5"/>
  <c r="H2059" i="5"/>
  <c r="I2054" i="5"/>
  <c r="H1720" i="5"/>
  <c r="I1716" i="5"/>
  <c r="H1677" i="5"/>
  <c r="I1671" i="5"/>
  <c r="H1696" i="5"/>
  <c r="I1695" i="5" s="1"/>
  <c r="H1690" i="5"/>
  <c r="I1689" i="5"/>
  <c r="H1444" i="5"/>
  <c r="I1440" i="5" s="1"/>
  <c r="I1444" i="5" s="1"/>
  <c r="H1435" i="5"/>
  <c r="I1434" i="5" s="1"/>
  <c r="H1429" i="5"/>
  <c r="I1423" i="5"/>
  <c r="H1420" i="5"/>
  <c r="H1415" i="5"/>
  <c r="I1412" i="5"/>
  <c r="H879" i="5"/>
  <c r="I873" i="5" s="1"/>
  <c r="H636" i="5"/>
  <c r="I635" i="5" s="1"/>
  <c r="H630" i="5"/>
  <c r="I626" i="5" s="1"/>
  <c r="H238" i="5"/>
  <c r="I237" i="5" s="1"/>
  <c r="H219" i="5"/>
  <c r="I218" i="5"/>
  <c r="I219" i="5" s="1"/>
  <c r="H595" i="5"/>
  <c r="I590" i="5"/>
  <c r="H1683" i="5"/>
  <c r="I1681" i="5"/>
  <c r="H1894" i="5"/>
  <c r="I1892" i="5"/>
  <c r="H1886" i="5"/>
  <c r="I1885" i="5" s="1"/>
  <c r="H2084" i="5"/>
  <c r="I2083" i="5" s="1"/>
  <c r="H2077" i="5"/>
  <c r="I2076" i="5" s="1"/>
  <c r="H2072" i="5"/>
  <c r="I2070" i="5"/>
  <c r="I2072" i="5" s="1"/>
  <c r="H2066" i="5"/>
  <c r="I2064" i="5"/>
  <c r="H1399" i="5"/>
  <c r="I1396" i="5"/>
  <c r="H1406" i="5"/>
  <c r="I1404" i="5" s="1"/>
  <c r="H2389" i="5"/>
  <c r="H612" i="5"/>
  <c r="I611" i="5" s="1"/>
  <c r="H1648" i="5"/>
  <c r="I1646" i="5"/>
  <c r="H233" i="5"/>
  <c r="I230" i="5"/>
  <c r="H226" i="5"/>
  <c r="I222" i="5"/>
  <c r="H2384" i="5"/>
  <c r="H1997" i="5"/>
  <c r="I1990" i="5"/>
  <c r="H2050" i="5"/>
  <c r="I2048" i="5" s="1"/>
  <c r="I2049" i="5"/>
  <c r="H1666" i="5"/>
  <c r="H1656" i="5"/>
  <c r="I1655" i="5"/>
  <c r="H896" i="5"/>
  <c r="I893" i="5"/>
  <c r="H886" i="5"/>
  <c r="I882" i="5" s="1"/>
  <c r="H512" i="5"/>
  <c r="I510" i="5" s="1"/>
  <c r="H587" i="5"/>
  <c r="H577" i="5"/>
  <c r="I576" i="5" s="1"/>
  <c r="H1639" i="5"/>
  <c r="I1635" i="5" s="1"/>
  <c r="I1634" i="5"/>
  <c r="H1631" i="5"/>
  <c r="I1628" i="5" s="1"/>
  <c r="I1631" i="5" s="1"/>
  <c r="H213" i="5"/>
  <c r="I209" i="5" s="1"/>
  <c r="H2379" i="5"/>
  <c r="I2376" i="5"/>
  <c r="H2373" i="5"/>
  <c r="I2372" i="5" s="1"/>
  <c r="H868" i="5"/>
  <c r="I863" i="5"/>
  <c r="H858" i="5"/>
  <c r="I857" i="5"/>
  <c r="H847" i="5"/>
  <c r="I846" i="5" s="1"/>
  <c r="H829" i="5"/>
  <c r="I822" i="5" s="1"/>
  <c r="H2035" i="5"/>
  <c r="H2024" i="5"/>
  <c r="I2021" i="5" s="1"/>
  <c r="I2024" i="5" s="1"/>
  <c r="I2022" i="5"/>
  <c r="H1100" i="5"/>
  <c r="I1099" i="5"/>
  <c r="H1093" i="5"/>
  <c r="I1092" i="5"/>
  <c r="H1086" i="5"/>
  <c r="I1083" i="5" s="1"/>
  <c r="I1086" i="5" s="1"/>
  <c r="H1080" i="5"/>
  <c r="I1078" i="5"/>
  <c r="I1080" i="5" s="1"/>
  <c r="H987" i="5"/>
  <c r="I986" i="5" s="1"/>
  <c r="H1075" i="5"/>
  <c r="H1982" i="5"/>
  <c r="I1979" i="5" s="1"/>
  <c r="I1977" i="5"/>
  <c r="H2367" i="5"/>
  <c r="H1069" i="5"/>
  <c r="I1064" i="5"/>
  <c r="H1061" i="5"/>
  <c r="I1060" i="5" s="1"/>
  <c r="H1055" i="5"/>
  <c r="I1050" i="5" s="1"/>
  <c r="I1055" i="5" s="1"/>
  <c r="H204" i="5"/>
  <c r="H195" i="5"/>
  <c r="I193" i="5"/>
  <c r="H189" i="5"/>
  <c r="I188" i="5"/>
  <c r="I189" i="5" s="1"/>
  <c r="H184" i="5"/>
  <c r="I183" i="5" s="1"/>
  <c r="I184" i="5" s="1"/>
  <c r="H569" i="5"/>
  <c r="I567" i="5"/>
  <c r="H838" i="5"/>
  <c r="I836" i="5" s="1"/>
  <c r="H1625" i="5"/>
  <c r="I1624" i="5" s="1"/>
  <c r="H1615" i="5"/>
  <c r="I1614" i="5" s="1"/>
  <c r="H1389" i="5"/>
  <c r="H1046" i="5"/>
  <c r="I1044" i="5" s="1"/>
  <c r="I1043" i="5"/>
  <c r="H2276" i="5"/>
  <c r="I2270" i="5" s="1"/>
  <c r="I2275" i="5"/>
  <c r="H1040" i="5"/>
  <c r="I1034" i="5"/>
  <c r="H1607" i="5"/>
  <c r="I1606" i="5"/>
  <c r="H1823" i="5"/>
  <c r="I1820" i="5" s="1"/>
  <c r="H1382" i="5"/>
  <c r="I1381" i="5" s="1"/>
  <c r="H1030" i="5"/>
  <c r="I1029" i="5" s="1"/>
  <c r="H153" i="5"/>
  <c r="I151" i="5" s="1"/>
  <c r="I147" i="5"/>
  <c r="I153" i="5" s="1"/>
  <c r="H1601" i="5"/>
  <c r="I1598" i="5"/>
  <c r="H1023" i="5"/>
  <c r="I1020" i="5"/>
  <c r="H819" i="5"/>
  <c r="H563" i="5"/>
  <c r="I555" i="5"/>
  <c r="H552" i="5"/>
  <c r="I549" i="5" s="1"/>
  <c r="H542" i="5"/>
  <c r="H1377" i="5"/>
  <c r="I1374" i="5"/>
  <c r="H1368" i="5"/>
  <c r="I1364" i="5" s="1"/>
  <c r="I1367" i="5"/>
  <c r="H1362" i="5"/>
  <c r="I1360" i="5" s="1"/>
  <c r="H1357" i="5"/>
  <c r="I1355" i="5" s="1"/>
  <c r="I1356" i="5"/>
  <c r="H180" i="5"/>
  <c r="I177" i="5" s="1"/>
  <c r="H168" i="5"/>
  <c r="I165" i="5" s="1"/>
  <c r="H162" i="5"/>
  <c r="I161" i="5"/>
  <c r="H145" i="5"/>
  <c r="H139" i="5"/>
  <c r="I136" i="5" s="1"/>
  <c r="H2359" i="5"/>
  <c r="I2357" i="5" s="1"/>
  <c r="H2353" i="5"/>
  <c r="I2351" i="5"/>
  <c r="I2353" i="5" s="1"/>
  <c r="H1878" i="5"/>
  <c r="I1874" i="5"/>
  <c r="H2029" i="5"/>
  <c r="I2028" i="5" s="1"/>
  <c r="I2027" i="5"/>
  <c r="I2029" i="5" s="1"/>
  <c r="H1870" i="5"/>
  <c r="I1869" i="5" s="1"/>
  <c r="I1592" i="5"/>
  <c r="H1352" i="5"/>
  <c r="I1350" i="5"/>
  <c r="H535" i="5"/>
  <c r="I532" i="5" s="1"/>
  <c r="H2011" i="5"/>
  <c r="I2010" i="5" s="1"/>
  <c r="H1584" i="5"/>
  <c r="I1579" i="5"/>
  <c r="H123" i="5"/>
  <c r="I122" i="5"/>
  <c r="H1987" i="5"/>
  <c r="H1864" i="5"/>
  <c r="I1862" i="5"/>
  <c r="H520" i="5"/>
  <c r="I516" i="5"/>
  <c r="H103" i="5"/>
  <c r="I102" i="5"/>
  <c r="H1017" i="5"/>
  <c r="I1016" i="5" s="1"/>
  <c r="I133" i="5"/>
  <c r="H528" i="5"/>
  <c r="H1012" i="5"/>
  <c r="I1007" i="5"/>
  <c r="H2257" i="5"/>
  <c r="H2245" i="5"/>
  <c r="I2243" i="5"/>
  <c r="I2245" i="5" s="1"/>
  <c r="H2241" i="5"/>
  <c r="I2237" i="5"/>
  <c r="H2232" i="5"/>
  <c r="I2229" i="5" s="1"/>
  <c r="I2232" i="5" s="1"/>
  <c r="H2225" i="5"/>
  <c r="I2223" i="5" s="1"/>
  <c r="H2220" i="5"/>
  <c r="I2218" i="5" s="1"/>
  <c r="H2018" i="5"/>
  <c r="I2017" i="5" s="1"/>
  <c r="I2018" i="5" s="1"/>
  <c r="H2003" i="5"/>
  <c r="I2000" i="5" s="1"/>
  <c r="H1959" i="5"/>
  <c r="I1953" i="5"/>
  <c r="H1973" i="5"/>
  <c r="H1968" i="5"/>
  <c r="I1966" i="5" s="1"/>
  <c r="H1950" i="5"/>
  <c r="H1945" i="5"/>
  <c r="I1944" i="5"/>
  <c r="H1940" i="5"/>
  <c r="I1934" i="5" s="1"/>
  <c r="H1003" i="5"/>
  <c r="I1001" i="5" s="1"/>
  <c r="I1003" i="5" s="1"/>
  <c r="H993" i="5"/>
  <c r="I991" i="5" s="1"/>
  <c r="H998" i="5"/>
  <c r="H981" i="5"/>
  <c r="I979" i="5" s="1"/>
  <c r="H974" i="5"/>
  <c r="I972" i="5"/>
  <c r="I974" i="5" s="1"/>
  <c r="H969" i="5"/>
  <c r="I968" i="5"/>
  <c r="H953" i="5"/>
  <c r="I952" i="5" s="1"/>
  <c r="I950" i="5"/>
  <c r="H946" i="5"/>
  <c r="I941" i="5" s="1"/>
  <c r="H963" i="5"/>
  <c r="I959" i="5" s="1"/>
  <c r="I956" i="5"/>
  <c r="H1855" i="5"/>
  <c r="I1854" i="5"/>
  <c r="I1855" i="5" s="1"/>
  <c r="H1850" i="5"/>
  <c r="I1848" i="5"/>
  <c r="H1840" i="5"/>
  <c r="I1837" i="5" s="1"/>
  <c r="H1845" i="5"/>
  <c r="I1844" i="5" s="1"/>
  <c r="I1843" i="5"/>
  <c r="I1845" i="5" s="1"/>
  <c r="H1832" i="5"/>
  <c r="I1826" i="5" s="1"/>
  <c r="H1589" i="5"/>
  <c r="I1588" i="5" s="1"/>
  <c r="H1575" i="5"/>
  <c r="I1569" i="5"/>
  <c r="H1565" i="5"/>
  <c r="I1564" i="5"/>
  <c r="H1560" i="5"/>
  <c r="I1560" i="5"/>
  <c r="H1553" i="5"/>
  <c r="H1539" i="5"/>
  <c r="I1538" i="5"/>
  <c r="H1547" i="5"/>
  <c r="I1546" i="5" s="1"/>
  <c r="I1545" i="5"/>
  <c r="H1524" i="5"/>
  <c r="I1521" i="5" s="1"/>
  <c r="H1530" i="5"/>
  <c r="I1529" i="5"/>
  <c r="H1347" i="5"/>
  <c r="I1345" i="5"/>
  <c r="H1342" i="5"/>
  <c r="I1340" i="5" s="1"/>
  <c r="H1337" i="5"/>
  <c r="I1332" i="5" s="1"/>
  <c r="I1329" i="5"/>
  <c r="H1301" i="5"/>
  <c r="I1300" i="5"/>
  <c r="H1296" i="5"/>
  <c r="I1293" i="5"/>
  <c r="H1289" i="5"/>
  <c r="I1287" i="5" s="1"/>
  <c r="H1326" i="5"/>
  <c r="I1322" i="5" s="1"/>
  <c r="H1318" i="5"/>
  <c r="I1316" i="5"/>
  <c r="H1309" i="5"/>
  <c r="I1304" i="5" s="1"/>
  <c r="H1281" i="5"/>
  <c r="I1274" i="5"/>
  <c r="H814" i="5"/>
  <c r="I810" i="5"/>
  <c r="I814" i="5" s="1"/>
  <c r="H806" i="5"/>
  <c r="I805" i="5" s="1"/>
  <c r="I804" i="5"/>
  <c r="I806" i="5" s="1"/>
  <c r="H801" i="5"/>
  <c r="I799" i="5" s="1"/>
  <c r="I792" i="5"/>
  <c r="H780" i="5"/>
  <c r="I777" i="5"/>
  <c r="H507" i="5"/>
  <c r="I504" i="5"/>
  <c r="I498" i="5"/>
  <c r="H495" i="5"/>
  <c r="I493" i="5"/>
  <c r="I492" i="5"/>
  <c r="H130" i="5"/>
  <c r="I126" i="5"/>
  <c r="H115" i="5"/>
  <c r="H110" i="5"/>
  <c r="H92" i="5"/>
  <c r="H97" i="5"/>
  <c r="I96" i="5" s="1"/>
  <c r="I95" i="5"/>
  <c r="I97" i="5" s="1"/>
  <c r="H86" i="5"/>
  <c r="I84" i="5" s="1"/>
  <c r="H43" i="5"/>
  <c r="I40" i="5"/>
  <c r="H37" i="5"/>
  <c r="I34" i="5" s="1"/>
  <c r="H31" i="5"/>
  <c r="I30" i="5" s="1"/>
  <c r="I31" i="5" s="1"/>
  <c r="H57" i="5"/>
  <c r="I56" i="5" s="1"/>
  <c r="H49" i="5"/>
  <c r="H74" i="5"/>
  <c r="I77" i="5"/>
  <c r="I68" i="5"/>
  <c r="H65" i="5"/>
  <c r="H26" i="5"/>
  <c r="I24" i="5" s="1"/>
  <c r="H18" i="5"/>
  <c r="I12" i="5"/>
  <c r="E277" i="1"/>
  <c r="E276" i="1"/>
  <c r="E128" i="1"/>
  <c r="E275" i="1"/>
  <c r="E251" i="1"/>
  <c r="E250" i="1"/>
  <c r="E239" i="1"/>
  <c r="E238" i="1"/>
  <c r="J112" i="1"/>
  <c r="L112" i="1" s="1"/>
  <c r="J225" i="1"/>
  <c r="L225" i="1" s="1"/>
  <c r="J286" i="1"/>
  <c r="L286" i="1"/>
  <c r="J50" i="1"/>
  <c r="L50" i="1" s="1"/>
  <c r="I1098" i="5"/>
  <c r="I2453" i="5"/>
  <c r="I2449" i="5"/>
  <c r="I300" i="5"/>
  <c r="I934" i="5"/>
  <c r="I933" i="5"/>
  <c r="I422" i="5"/>
  <c r="I423" i="5"/>
  <c r="I1930" i="5"/>
  <c r="I2452" i="5"/>
  <c r="I302" i="5"/>
  <c r="I2451" i="5"/>
  <c r="I811" i="5"/>
  <c r="I2454" i="5"/>
  <c r="I2448" i="5"/>
  <c r="I1317" i="5"/>
  <c r="I1312" i="5"/>
  <c r="I301" i="5"/>
  <c r="I2415" i="5"/>
  <c r="I298" i="5"/>
  <c r="I303" i="5" s="1"/>
  <c r="I2405" i="5"/>
  <c r="I2467" i="5"/>
  <c r="I297" i="5"/>
  <c r="I1153" i="5"/>
  <c r="I2406" i="5"/>
  <c r="I2398" i="5"/>
  <c r="I2404" i="5"/>
  <c r="I2410" i="5" s="1"/>
  <c r="I1610" i="5"/>
  <c r="I2419" i="5"/>
  <c r="I241" i="5"/>
  <c r="I1097" i="5"/>
  <c r="I2466" i="5"/>
  <c r="I2053" i="5"/>
  <c r="I627" i="5"/>
  <c r="I630" i="5" s="1"/>
  <c r="I625" i="5"/>
  <c r="I1920" i="5"/>
  <c r="I2464" i="5"/>
  <c r="I2486" i="5"/>
  <c r="I2468" i="5"/>
  <c r="I370" i="5"/>
  <c r="I2430" i="5"/>
  <c r="I2484" i="5"/>
  <c r="I2304" i="5"/>
  <c r="I2307" i="5" s="1"/>
  <c r="I601" i="5"/>
  <c r="I927" i="5"/>
  <c r="I2409" i="5"/>
  <c r="I1915" i="5"/>
  <c r="I2306" i="5"/>
  <c r="I83" i="5"/>
  <c r="I1314" i="5"/>
  <c r="I1495" i="5"/>
  <c r="I704" i="5"/>
  <c r="I1750" i="5"/>
  <c r="I562" i="5"/>
  <c r="I1963" i="5"/>
  <c r="I375" i="5"/>
  <c r="I374" i="5"/>
  <c r="I141" i="5"/>
  <c r="I145" i="5" s="1"/>
  <c r="I143" i="5"/>
  <c r="I142" i="5"/>
  <c r="I144" i="5"/>
  <c r="I449" i="5"/>
  <c r="I1647" i="5"/>
  <c r="I558" i="5"/>
  <c r="I951" i="5"/>
  <c r="I580" i="5"/>
  <c r="I583" i="5"/>
  <c r="I582" i="5"/>
  <c r="I581" i="5"/>
  <c r="I949" i="5"/>
  <c r="I953" i="5" s="1"/>
  <c r="I878" i="5"/>
  <c r="I875" i="5"/>
  <c r="I560" i="5"/>
  <c r="I559" i="5"/>
  <c r="I1190" i="5"/>
  <c r="I1313" i="5"/>
  <c r="I1305" i="5"/>
  <c r="I1021" i="5"/>
  <c r="I2263" i="5"/>
  <c r="I2413" i="5"/>
  <c r="I1019" i="5"/>
  <c r="I1500" i="5"/>
  <c r="I2407" i="5"/>
  <c r="I85" i="5"/>
  <c r="I1022" i="5"/>
  <c r="I2408" i="5"/>
  <c r="I2418" i="5"/>
  <c r="I2110" i="5"/>
  <c r="I1544" i="5"/>
  <c r="I1547" i="5" s="1"/>
  <c r="I1315" i="5"/>
  <c r="I217" i="5"/>
  <c r="I2414" i="5"/>
  <c r="I2416" i="5"/>
  <c r="I460" i="5"/>
  <c r="I100" i="5"/>
  <c r="I216" i="5"/>
  <c r="I712" i="5"/>
  <c r="I1613" i="5"/>
  <c r="I985" i="5"/>
  <c r="I987" i="5" s="1"/>
  <c r="I101" i="5"/>
  <c r="I103" i="5" s="1"/>
  <c r="I1119" i="5"/>
  <c r="I1612" i="5"/>
  <c r="I1615" i="5" s="1"/>
  <c r="I231" i="5"/>
  <c r="I229" i="5"/>
  <c r="I1173" i="5"/>
  <c r="I1175" i="5"/>
  <c r="I1787" i="5"/>
  <c r="I2343" i="5"/>
  <c r="I1025" i="5"/>
  <c r="I1028" i="5"/>
  <c r="I1659" i="5"/>
  <c r="I1744" i="5"/>
  <c r="I440" i="5"/>
  <c r="I441" i="5"/>
  <c r="I1447" i="5"/>
  <c r="I1450" i="5"/>
  <c r="I1453" i="5"/>
  <c r="I1452" i="5"/>
  <c r="I967" i="5"/>
  <c r="I649" i="5"/>
  <c r="I647" i="5"/>
  <c r="I646" i="5"/>
  <c r="I650" i="5" s="1"/>
  <c r="I1239" i="5"/>
  <c r="I1242" i="5"/>
  <c r="I1307" i="5"/>
  <c r="I11" i="5"/>
  <c r="I1913" i="5"/>
  <c r="I703" i="5"/>
  <c r="I1914" i="5"/>
  <c r="I81" i="5"/>
  <c r="I874" i="5"/>
  <c r="J223" i="1"/>
  <c r="L223" i="1"/>
  <c r="J99" i="1"/>
  <c r="L99" i="1" s="1"/>
  <c r="J26" i="1"/>
  <c r="L26" i="1" s="1"/>
  <c r="J285" i="1"/>
  <c r="L285" i="1"/>
  <c r="I158" i="5"/>
  <c r="I566" i="5"/>
  <c r="I569" i="5" s="1"/>
  <c r="I308" i="5"/>
  <c r="I129" i="5"/>
  <c r="I128" i="5"/>
  <c r="I1191" i="5"/>
  <c r="I1187" i="5"/>
  <c r="I476" i="5"/>
  <c r="I486" i="5"/>
  <c r="I1662" i="5"/>
  <c r="I1449" i="5"/>
  <c r="I1451" i="5"/>
  <c r="I1454" i="5"/>
  <c r="I2133" i="5"/>
  <c r="I884" i="5"/>
  <c r="I360" i="5"/>
  <c r="I358" i="5"/>
  <c r="I362" i="5" s="1"/>
  <c r="I574" i="5"/>
  <c r="I14" i="5"/>
  <c r="I885" i="5"/>
  <c r="I1957" i="5"/>
  <c r="I1958" i="5"/>
  <c r="I1954" i="5"/>
  <c r="I1491" i="5"/>
  <c r="I1493" i="5"/>
  <c r="I1492" i="5"/>
  <c r="I1558" i="5"/>
  <c r="I1090" i="5"/>
  <c r="I962" i="5"/>
  <c r="I1027" i="5"/>
  <c r="I1030" i="5" s="1"/>
  <c r="I314" i="5"/>
  <c r="I1234" i="5"/>
  <c r="I1398" i="5"/>
  <c r="I1397" i="5"/>
  <c r="I2193" i="5"/>
  <c r="I1026" i="5"/>
  <c r="I1528" i="5"/>
  <c r="I1527" i="5"/>
  <c r="I1243" i="5"/>
  <c r="I1241" i="5"/>
  <c r="I1972" i="5"/>
  <c r="I1971" i="5"/>
  <c r="I1973" i="5" s="1"/>
  <c r="I2443" i="5"/>
  <c r="I2333" i="5"/>
  <c r="D19" i="3"/>
  <c r="L19" i="3"/>
  <c r="J180" i="1"/>
  <c r="L180" i="1" s="1"/>
  <c r="J183" i="1"/>
  <c r="L183" i="1"/>
  <c r="J182" i="1"/>
  <c r="L182" i="1"/>
  <c r="I23" i="5"/>
  <c r="I1135" i="5"/>
  <c r="I663" i="5"/>
  <c r="I1467" i="5"/>
  <c r="I548" i="5"/>
  <c r="I2477" i="5"/>
  <c r="I127" i="5"/>
  <c r="I990" i="5"/>
  <c r="I993" i="5" s="1"/>
  <c r="I2474" i="5"/>
  <c r="I2479" i="5" s="1"/>
  <c r="I458" i="5"/>
  <c r="I2434" i="5"/>
  <c r="I2436" i="5" s="1"/>
  <c r="I2113" i="5"/>
  <c r="I1380" i="5"/>
  <c r="I1382" i="5"/>
  <c r="I894" i="5"/>
  <c r="I671" i="5"/>
  <c r="I1568" i="5"/>
  <c r="I1160" i="5"/>
  <c r="I503" i="5"/>
  <c r="I22" i="5"/>
  <c r="I1159" i="5"/>
  <c r="I661" i="5"/>
  <c r="I665" i="5" s="1"/>
  <c r="I1365" i="5"/>
  <c r="I2112" i="5"/>
  <c r="I21" i="5"/>
  <c r="I2435" i="5"/>
  <c r="I853" i="5"/>
  <c r="I25" i="5"/>
  <c r="I660" i="5"/>
  <c r="I2433" i="5"/>
  <c r="I1664" i="5"/>
  <c r="I828" i="5"/>
  <c r="I2114" i="5"/>
  <c r="I2081" i="5"/>
  <c r="I533" i="5"/>
  <c r="I531" i="5"/>
  <c r="I2109" i="5"/>
  <c r="I534" i="5"/>
  <c r="I2082" i="5"/>
  <c r="I1573" i="5"/>
  <c r="I46" i="5"/>
  <c r="I1136" i="5"/>
  <c r="I1137" i="5" s="1"/>
  <c r="I1661" i="5"/>
  <c r="I1105" i="5"/>
  <c r="I2111" i="5"/>
  <c r="I2431" i="5"/>
  <c r="I463" i="5"/>
  <c r="I2080" i="5"/>
  <c r="I992" i="5"/>
  <c r="I891" i="5"/>
  <c r="I662" i="5"/>
  <c r="I2115" i="5"/>
  <c r="I427" i="5"/>
  <c r="I456" i="5"/>
  <c r="I1466" i="5"/>
  <c r="I889" i="5"/>
  <c r="I2473" i="5"/>
  <c r="I892" i="5"/>
  <c r="I1165" i="5"/>
  <c r="I1962" i="5"/>
  <c r="I726" i="5"/>
  <c r="I1195" i="5"/>
  <c r="I1621" i="5"/>
  <c r="I1213" i="5"/>
  <c r="I1217" i="5"/>
  <c r="I1955" i="5"/>
  <c r="I1469" i="5"/>
  <c r="I546" i="5"/>
  <c r="I1168" i="5"/>
  <c r="I915" i="5"/>
  <c r="I2478" i="5"/>
  <c r="I1009" i="5"/>
  <c r="I1709" i="5"/>
  <c r="I2261" i="5"/>
  <c r="I2267" i="5" s="1"/>
  <c r="I292" i="5"/>
  <c r="I1205" i="5"/>
  <c r="I2339" i="5"/>
  <c r="I725" i="5"/>
  <c r="I1470" i="5"/>
  <c r="I2119" i="5"/>
  <c r="I1167" i="5"/>
  <c r="I1170" i="5" s="1"/>
  <c r="I2423" i="5"/>
  <c r="I1073" i="5"/>
  <c r="I2378" i="5"/>
  <c r="I462" i="5"/>
  <c r="I554" i="5"/>
  <c r="I1643" i="5"/>
  <c r="I2120" i="5"/>
  <c r="I711" i="5"/>
  <c r="I1839" i="5"/>
  <c r="I2425" i="5"/>
  <c r="I2427" i="5" s="1"/>
  <c r="I1884" i="5"/>
  <c r="I1471" i="5"/>
  <c r="I1203" i="5"/>
  <c r="I2294" i="5"/>
  <c r="I1414" i="5"/>
  <c r="I2301" i="5"/>
  <c r="I917" i="5"/>
  <c r="I1199" i="5"/>
  <c r="I1113" i="5"/>
  <c r="I1883" i="5"/>
  <c r="I1694" i="5"/>
  <c r="I710" i="5"/>
  <c r="I1638" i="5"/>
  <c r="I2266" i="5"/>
  <c r="I2230" i="5"/>
  <c r="I2370" i="5"/>
  <c r="I2373" i="5" s="1"/>
  <c r="I2056" i="5"/>
  <c r="I461" i="5"/>
  <c r="I921" i="5"/>
  <c r="I1196" i="5"/>
  <c r="I1543" i="5"/>
  <c r="I2265" i="5"/>
  <c r="I1346" i="5"/>
  <c r="I1347" i="5" s="1"/>
  <c r="I2482" i="5"/>
  <c r="I2260" i="5"/>
  <c r="I1795" i="5"/>
  <c r="I1265" i="5"/>
  <c r="I634" i="5"/>
  <c r="I1438" i="5"/>
  <c r="I1143" i="5"/>
  <c r="I1065" i="5"/>
  <c r="I1682" i="5"/>
  <c r="I1683" i="5" s="1"/>
  <c r="I1792" i="5"/>
  <c r="I2377" i="5"/>
  <c r="I1882" i="5"/>
  <c r="I1204" i="5"/>
  <c r="I2121" i="5"/>
  <c r="I2231" i="5"/>
  <c r="I2371" i="5"/>
  <c r="I2298" i="5"/>
  <c r="I556" i="5"/>
  <c r="I918" i="5"/>
  <c r="I1197" i="5"/>
  <c r="I1542" i="5"/>
  <c r="I2057" i="5"/>
  <c r="I2483" i="5"/>
  <c r="I2487" i="5" s="1"/>
  <c r="I1794" i="5"/>
  <c r="I2228" i="5"/>
  <c r="I2295" i="5"/>
  <c r="I286" i="5"/>
  <c r="I919" i="5"/>
  <c r="I1198" i="5"/>
  <c r="I1068" i="5"/>
  <c r="I1853" i="5"/>
  <c r="I2274" i="5"/>
  <c r="I864" i="5"/>
  <c r="I1484" i="5"/>
  <c r="I2296" i="5"/>
  <c r="I920" i="5"/>
  <c r="I1066" i="5"/>
  <c r="I1964" i="5"/>
  <c r="I1216" i="5"/>
  <c r="I2426" i="5"/>
  <c r="I1067" i="5"/>
  <c r="I1166" i="5"/>
  <c r="I923" i="5"/>
  <c r="I2476" i="5"/>
  <c r="I1011" i="5"/>
  <c r="I2055" i="5"/>
  <c r="I2262" i="5"/>
  <c r="I1637" i="5"/>
  <c r="I709" i="5"/>
  <c r="I1299" i="5"/>
  <c r="I328" i="5"/>
  <c r="I2297" i="5"/>
  <c r="I922" i="5"/>
  <c r="I545" i="5"/>
  <c r="I2472" i="5"/>
  <c r="I1008" i="5"/>
  <c r="I2058" i="5"/>
  <c r="I457" i="5"/>
  <c r="I1642" i="5"/>
  <c r="I1648" i="5" s="1"/>
  <c r="I2337" i="5"/>
  <c r="I2340" i="5"/>
  <c r="I1107" i="5"/>
  <c r="I907" i="5"/>
  <c r="I827" i="5"/>
  <c r="I1458" i="5"/>
  <c r="I826" i="5"/>
  <c r="I890" i="5"/>
  <c r="I896" i="5" s="1"/>
  <c r="I775" i="5"/>
  <c r="I1188" i="5"/>
  <c r="I844" i="5"/>
  <c r="I825" i="5"/>
  <c r="I1742" i="5"/>
  <c r="I1943" i="5"/>
  <c r="I1945" i="5"/>
  <c r="I1410" i="5"/>
  <c r="I1037" i="5"/>
  <c r="I450" i="5"/>
  <c r="I1210" i="5"/>
  <c r="I1212" i="5"/>
  <c r="I823" i="5"/>
  <c r="I1006" i="5"/>
  <c r="I1903" i="5"/>
  <c r="I1937" i="5"/>
  <c r="I1059" i="5"/>
  <c r="I1182" i="5"/>
  <c r="I2204" i="5"/>
  <c r="I1215" i="5"/>
  <c r="I1935" i="5"/>
  <c r="I405" i="5"/>
  <c r="I1486" i="5"/>
  <c r="I1411" i="5"/>
  <c r="I766" i="5"/>
  <c r="I402" i="5"/>
  <c r="I152" i="5"/>
  <c r="I327" i="5"/>
  <c r="I1835" i="5"/>
  <c r="I2043" i="5"/>
  <c r="I478" i="5"/>
  <c r="I1010" i="5"/>
  <c r="I451" i="5"/>
  <c r="I401" i="5"/>
  <c r="I628" i="5"/>
  <c r="I1803" i="5"/>
  <c r="I150" i="5"/>
  <c r="I1485" i="5"/>
  <c r="I629" i="5"/>
  <c r="I2224" i="5"/>
  <c r="I2225" i="5" s="1"/>
  <c r="I2271" i="5"/>
  <c r="I433" i="5"/>
  <c r="I1800" i="5"/>
  <c r="I2069" i="5"/>
  <c r="I621" i="5"/>
  <c r="I2044" i="5"/>
  <c r="I479" i="5"/>
  <c r="I1162" i="5"/>
  <c r="I731" i="5"/>
  <c r="I2331" i="5"/>
  <c r="I610" i="5"/>
  <c r="I612" i="5" s="1"/>
  <c r="I404" i="5"/>
  <c r="I1409" i="5"/>
  <c r="I326" i="5"/>
  <c r="I1487" i="5"/>
  <c r="I1802" i="5"/>
  <c r="I1460" i="5"/>
  <c r="I1208" i="5"/>
  <c r="I2041" i="5"/>
  <c r="I599" i="5"/>
  <c r="I2091" i="5"/>
  <c r="I2192" i="5"/>
  <c r="I1209" i="5"/>
  <c r="I1219" i="5" s="1"/>
  <c r="I2038" i="5"/>
  <c r="I600" i="5"/>
  <c r="I1184" i="5"/>
  <c r="I895" i="5"/>
  <c r="I484" i="5"/>
  <c r="I2330" i="5"/>
  <c r="I1897" i="5"/>
  <c r="I494" i="5"/>
  <c r="I495" i="5"/>
  <c r="I1091" i="5"/>
  <c r="I605" i="5"/>
  <c r="I149" i="5"/>
  <c r="I333" i="5"/>
  <c r="I824" i="5"/>
  <c r="I488" i="5"/>
  <c r="I2195" i="5"/>
  <c r="I1218" i="5"/>
  <c r="I568" i="5"/>
  <c r="I2039" i="5"/>
  <c r="I602" i="5"/>
  <c r="I1186" i="5"/>
  <c r="I118" i="5"/>
  <c r="I2140" i="5"/>
  <c r="I1185" i="5"/>
  <c r="I1900" i="5"/>
  <c r="I1285" i="5"/>
  <c r="I1459" i="5"/>
  <c r="I1798" i="5"/>
  <c r="I2329" i="5"/>
  <c r="I2334" i="5" s="1"/>
  <c r="I2344" i="5"/>
  <c r="I2194" i="5"/>
  <c r="I1211" i="5"/>
  <c r="I1089" i="5"/>
  <c r="I1039" i="5"/>
  <c r="I1040" i="5" s="1"/>
  <c r="I603" i="5"/>
  <c r="I1181" i="5"/>
  <c r="I2071" i="5"/>
  <c r="I2138" i="5"/>
  <c r="I2145" i="5" s="1"/>
  <c r="I1899" i="5"/>
  <c r="I604" i="5"/>
  <c r="I446" i="5"/>
  <c r="I2199" i="5"/>
  <c r="I1361" i="5"/>
  <c r="I672" i="5"/>
  <c r="I1801" i="5"/>
  <c r="I1929" i="5"/>
  <c r="I119" i="5"/>
  <c r="I485" i="5"/>
  <c r="I908" i="5"/>
  <c r="I2347" i="5"/>
  <c r="I1286" i="5"/>
  <c r="I448" i="5"/>
  <c r="I2200" i="5"/>
  <c r="I668" i="5"/>
  <c r="I1413" i="5"/>
  <c r="I2062" i="5"/>
  <c r="I2244" i="5"/>
  <c r="I606" i="5"/>
  <c r="I776" i="5"/>
  <c r="I1189" i="5"/>
  <c r="I2345" i="5"/>
  <c r="I2348" i="5" s="1"/>
  <c r="I148" i="5"/>
  <c r="I1366" i="5"/>
  <c r="I1836" i="5"/>
  <c r="I353" i="5"/>
  <c r="I452" i="5"/>
  <c r="I453" i="5" s="1"/>
  <c r="I1582" i="5"/>
  <c r="I1584" i="5" s="1"/>
  <c r="I1902" i="5"/>
  <c r="I1699" i="5"/>
  <c r="I1702" i="5" s="1"/>
  <c r="I2167" i="5"/>
  <c r="I1571" i="5"/>
  <c r="I2015" i="5"/>
  <c r="I909" i="5"/>
  <c r="I1230" i="5"/>
  <c r="I813" i="5"/>
  <c r="I157" i="5"/>
  <c r="I1604" i="5"/>
  <c r="I1372" i="5"/>
  <c r="I2032" i="5"/>
  <c r="I1235" i="5"/>
  <c r="I438" i="5"/>
  <c r="I1605" i="5"/>
  <c r="I155" i="5"/>
  <c r="I1370" i="5"/>
  <c r="I192" i="5"/>
  <c r="I1921" i="5"/>
  <c r="I410" i="5"/>
  <c r="I2171" i="5"/>
  <c r="I2179" i="5"/>
  <c r="I1051" i="5"/>
  <c r="I697" i="5"/>
  <c r="I756" i="5"/>
  <c r="I2240" i="5"/>
  <c r="I2236" i="5"/>
  <c r="I1229" i="5"/>
  <c r="I439" i="5"/>
  <c r="I911" i="5"/>
  <c r="I1746" i="5"/>
  <c r="I865" i="5"/>
  <c r="I194" i="5"/>
  <c r="I2169" i="5"/>
  <c r="I936" i="5"/>
  <c r="I1294" i="5"/>
  <c r="I1373" i="5"/>
  <c r="I1819" i="5"/>
  <c r="I2170" i="5"/>
  <c r="I1376" i="5"/>
  <c r="I1743" i="5"/>
  <c r="I1563" i="5"/>
  <c r="I1565" i="5" s="1"/>
  <c r="I1260" i="5"/>
  <c r="I867" i="5"/>
  <c r="I1752" i="5"/>
  <c r="I2009" i="5"/>
  <c r="I1233" i="5"/>
  <c r="I1502" i="5"/>
  <c r="I1503" i="5"/>
  <c r="H1783" i="5"/>
  <c r="I1781" i="5" s="1"/>
  <c r="I1236" i="5"/>
  <c r="I639" i="5"/>
  <c r="I2096" i="5"/>
  <c r="I1231" i="5"/>
  <c r="I640" i="5"/>
  <c r="I1574" i="5"/>
  <c r="I778" i="5"/>
  <c r="I160" i="5"/>
  <c r="I641" i="5"/>
  <c r="I1751" i="5"/>
  <c r="I2352" i="5"/>
  <c r="I2358" i="5"/>
  <c r="I1147" i="5"/>
  <c r="I1375" i="5"/>
  <c r="I1053" i="5"/>
  <c r="I616" i="5"/>
  <c r="I359" i="5"/>
  <c r="I977" i="5"/>
  <c r="I1570" i="5"/>
  <c r="I774" i="5"/>
  <c r="I780" i="5" s="1"/>
  <c r="I900" i="5"/>
  <c r="I904" i="5" s="1"/>
  <c r="I1478" i="5"/>
  <c r="I1499" i="5"/>
  <c r="I1501" i="5"/>
  <c r="I2097" i="5"/>
  <c r="I159" i="5"/>
  <c r="I1651" i="5"/>
  <c r="I617" i="5"/>
  <c r="I1149" i="5"/>
  <c r="I1476" i="5"/>
  <c r="I1225" i="5"/>
  <c r="I1572" i="5"/>
  <c r="I1863" i="5"/>
  <c r="I517" i="5"/>
  <c r="I779" i="5"/>
  <c r="I910" i="5"/>
  <c r="I156" i="5"/>
  <c r="I434" i="5"/>
  <c r="I1706" i="5"/>
  <c r="I1475" i="5"/>
  <c r="I1710" i="5"/>
  <c r="I334" i="5"/>
  <c r="I1279" i="5"/>
  <c r="I518" i="5"/>
  <c r="I430" i="5"/>
  <c r="I1712" i="5"/>
  <c r="I2176" i="5"/>
  <c r="I1479" i="5"/>
  <c r="I1821" i="5"/>
  <c r="I1256" i="5"/>
  <c r="I1705" i="5"/>
  <c r="I786" i="5"/>
  <c r="I973" i="5"/>
  <c r="I2178" i="5"/>
  <c r="I2180" i="5" s="1"/>
  <c r="I620" i="5"/>
  <c r="I615" i="5"/>
  <c r="I809" i="5"/>
  <c r="I2235" i="5"/>
  <c r="I901" i="5"/>
  <c r="I432" i="5"/>
  <c r="I435" i="5" s="1"/>
  <c r="I2095" i="5"/>
  <c r="I1587" i="5"/>
  <c r="I1589" i="5" s="1"/>
  <c r="I784" i="5"/>
  <c r="I1817" i="5"/>
  <c r="I1922" i="5"/>
  <c r="I412" i="5"/>
  <c r="I1523" i="5"/>
  <c r="I984" i="5"/>
  <c r="I1371" i="5"/>
  <c r="I1377" i="5" s="1"/>
  <c r="I1257" i="5"/>
  <c r="I1711" i="5"/>
  <c r="I1713" i="5" s="1"/>
  <c r="I366" i="5"/>
  <c r="I367" i="5"/>
  <c r="I1818" i="5"/>
  <c r="I1258" i="5"/>
  <c r="I932" i="5"/>
  <c r="I2020" i="5"/>
  <c r="I928" i="5"/>
  <c r="I812" i="5"/>
  <c r="I1341" i="5"/>
  <c r="I1342" i="5"/>
  <c r="I442" i="5"/>
  <c r="I335" i="5"/>
  <c r="I337" i="5" s="1"/>
  <c r="I619" i="5"/>
  <c r="I2239" i="5"/>
  <c r="I2241" i="5" s="1"/>
  <c r="I899" i="5"/>
  <c r="I861" i="5"/>
  <c r="I2175" i="5"/>
  <c r="I1505" i="5"/>
  <c r="I1654" i="5"/>
  <c r="I1506" i="5"/>
  <c r="I706" i="5"/>
  <c r="I406" i="5"/>
  <c r="I1426" i="5"/>
  <c r="I931" i="5"/>
  <c r="I937" i="5" s="1"/>
  <c r="I2016" i="5"/>
  <c r="I2153" i="5"/>
  <c r="I2132" i="5"/>
  <c r="I1981" i="5"/>
  <c r="I2142" i="5"/>
  <c r="I1766" i="5"/>
  <c r="I287" i="5"/>
  <c r="I385" i="5"/>
  <c r="I389" i="5" s="1"/>
  <c r="I1393" i="5"/>
  <c r="I207" i="5"/>
  <c r="I2143" i="5"/>
  <c r="I1394" i="5"/>
  <c r="I1578" i="5"/>
  <c r="I866" i="5"/>
  <c r="I341" i="5"/>
  <c r="I343" i="5" s="1"/>
  <c r="I1251" i="5"/>
  <c r="I1443" i="5"/>
  <c r="I1266" i="5"/>
  <c r="I1268" i="5" s="1"/>
  <c r="I1831" i="5"/>
  <c r="I1015" i="5"/>
  <c r="I1017" i="5" s="1"/>
  <c r="I1351" i="5"/>
  <c r="I1352" i="5"/>
  <c r="I167" i="5"/>
  <c r="I320" i="5"/>
  <c r="I387" i="5"/>
  <c r="I1253" i="5"/>
  <c r="I1807" i="5"/>
  <c r="I285" i="5"/>
  <c r="I1580" i="5"/>
  <c r="I1806" i="5"/>
  <c r="I2160" i="5"/>
  <c r="I1392" i="5"/>
  <c r="I1516" i="5"/>
  <c r="I1036" i="5"/>
  <c r="I10" i="5"/>
  <c r="I966" i="5"/>
  <c r="I969" i="5"/>
  <c r="I1114" i="5"/>
  <c r="I1115" i="5"/>
  <c r="I212" i="5"/>
  <c r="I210" i="5"/>
  <c r="I213" i="5" s="1"/>
  <c r="I1035" i="5"/>
  <c r="I1085" i="5"/>
  <c r="I1583" i="5"/>
  <c r="I770" i="5"/>
  <c r="I2040" i="5"/>
  <c r="I1264" i="5"/>
  <c r="I187" i="5"/>
  <c r="I2158" i="5"/>
  <c r="I2163" i="5"/>
  <c r="I1428" i="5"/>
  <c r="I1429" i="5" s="1"/>
  <c r="I1530" i="5"/>
  <c r="I851" i="5"/>
  <c r="I1514" i="5"/>
  <c r="I1509" i="5"/>
  <c r="I351" i="5"/>
  <c r="I1084" i="5"/>
  <c r="I1276" i="5"/>
  <c r="I1652" i="5"/>
  <c r="I1442" i="5"/>
  <c r="I1318" i="5"/>
  <c r="I1838" i="5"/>
  <c r="I1002" i="5"/>
  <c r="I519" i="5"/>
  <c r="I388" i="5"/>
  <c r="I1515" i="5"/>
  <c r="I1223" i="5"/>
  <c r="I2141" i="5"/>
  <c r="I354" i="5"/>
  <c r="I1645" i="5"/>
  <c r="I633" i="5"/>
  <c r="I636" i="5" s="1"/>
  <c r="I1622" i="5"/>
  <c r="I1980" i="5"/>
  <c r="I1439" i="5"/>
  <c r="I271" i="5"/>
  <c r="I1513" i="5"/>
  <c r="I166" i="5"/>
  <c r="I347" i="5"/>
  <c r="I1277" i="5"/>
  <c r="I1644" i="5"/>
  <c r="I2469" i="5"/>
  <c r="I835" i="5"/>
  <c r="I1222" i="5"/>
  <c r="I1701" i="5"/>
  <c r="I1901" i="5"/>
  <c r="I1623" i="5"/>
  <c r="I1079" i="5"/>
  <c r="I1620" i="5"/>
  <c r="I2205" i="5"/>
  <c r="I2206" i="5" s="1"/>
  <c r="I1038" i="5"/>
  <c r="I2159" i="5"/>
  <c r="I1280" i="5"/>
  <c r="I1127" i="5"/>
  <c r="I856" i="5"/>
  <c r="I2161" i="5"/>
  <c r="I1278" i="5"/>
  <c r="I852" i="5"/>
  <c r="I1512" i="5"/>
  <c r="I283" i="5"/>
  <c r="I322" i="5"/>
  <c r="I2130" i="5"/>
  <c r="I1424" i="5"/>
  <c r="I862" i="5"/>
  <c r="I348" i="5"/>
  <c r="I1510" i="5"/>
  <c r="I1517" i="5" s="1"/>
  <c r="I1275" i="5"/>
  <c r="I1281" i="5" s="1"/>
  <c r="I771" i="5"/>
  <c r="I2162" i="5"/>
  <c r="I269" i="5"/>
  <c r="I832" i="5"/>
  <c r="I511" i="5"/>
  <c r="I512" i="5"/>
  <c r="I2442" i="5"/>
  <c r="I1978" i="5"/>
  <c r="I1611" i="5"/>
  <c r="I2155" i="5"/>
  <c r="I2445" i="5"/>
  <c r="I1126" i="5"/>
  <c r="I850" i="5"/>
  <c r="I858" i="5" s="1"/>
  <c r="I321" i="5"/>
  <c r="I2131" i="5"/>
  <c r="I1427" i="5"/>
  <c r="I350" i="5"/>
  <c r="I340" i="5"/>
  <c r="I1653" i="5"/>
  <c r="I1619" i="5"/>
  <c r="I1284" i="5"/>
  <c r="I225" i="5"/>
  <c r="I409" i="5"/>
  <c r="I2154" i="5"/>
  <c r="I2164" i="5" s="1"/>
  <c r="I2441" i="5"/>
  <c r="I1738" i="5"/>
  <c r="I223" i="5"/>
  <c r="I1033" i="5"/>
  <c r="I224" i="5"/>
  <c r="I2014" i="5"/>
  <c r="I349" i="5"/>
  <c r="I2128" i="5"/>
  <c r="I2134" i="5" s="1"/>
  <c r="I346" i="5"/>
  <c r="I138" i="5"/>
  <c r="I256" i="5"/>
  <c r="I833" i="5"/>
  <c r="I1263" i="5"/>
  <c r="I1581" i="5"/>
  <c r="I1976" i="5"/>
  <c r="I1982" i="5" s="1"/>
  <c r="I854" i="5"/>
  <c r="I1425" i="5"/>
  <c r="I2156" i="5"/>
  <c r="I2444" i="5"/>
  <c r="I1737" i="5"/>
  <c r="I1557" i="5"/>
  <c r="I855" i="5"/>
  <c r="I208" i="5"/>
  <c r="I1455" i="5"/>
  <c r="I2139" i="5"/>
  <c r="I41" i="5"/>
  <c r="I137" i="5"/>
  <c r="I1556" i="5"/>
  <c r="I273" i="5"/>
  <c r="I268" i="5"/>
  <c r="I940" i="5"/>
  <c r="I946" i="5" s="1"/>
  <c r="I270" i="5"/>
  <c r="I2439" i="5"/>
  <c r="I42" i="5"/>
  <c r="I2144" i="5"/>
  <c r="I211" i="5"/>
  <c r="I943" i="5"/>
  <c r="I1155" i="5"/>
  <c r="I2217" i="5"/>
  <c r="I524" i="5"/>
  <c r="I526" i="5"/>
  <c r="I525" i="5"/>
  <c r="I527" i="5"/>
  <c r="I541" i="5"/>
  <c r="I538" i="5"/>
  <c r="I539" i="5"/>
  <c r="I540" i="5"/>
  <c r="I654" i="5"/>
  <c r="I656" i="5"/>
  <c r="I655" i="5"/>
  <c r="I653" i="5"/>
  <c r="I203" i="5"/>
  <c r="I204" i="5" s="1"/>
  <c r="I200" i="5"/>
  <c r="I202" i="5"/>
  <c r="I199" i="5"/>
  <c r="I198" i="5"/>
  <c r="I201" i="5"/>
  <c r="I1774" i="5"/>
  <c r="I1775" i="5"/>
  <c r="I1776" i="5" s="1"/>
  <c r="I1773" i="5"/>
  <c r="I52" i="5"/>
  <c r="I55" i="5"/>
  <c r="I53" i="5"/>
  <c r="I57" i="5" s="1"/>
  <c r="I54" i="5"/>
  <c r="I1323" i="5"/>
  <c r="I1321" i="5"/>
  <c r="I1326" i="5" s="1"/>
  <c r="I1324" i="5"/>
  <c r="I1325" i="5"/>
  <c r="I523" i="5"/>
  <c r="I528" i="5" s="1"/>
  <c r="I960" i="5"/>
  <c r="I961" i="5"/>
  <c r="I2282" i="5"/>
  <c r="I2279" i="5"/>
  <c r="I2280" i="5"/>
  <c r="I797" i="5"/>
  <c r="I800" i="5"/>
  <c r="I798" i="5"/>
  <c r="I795" i="5"/>
  <c r="I796" i="5"/>
  <c r="I1893" i="5"/>
  <c r="I1889" i="5"/>
  <c r="I1890" i="5"/>
  <c r="I1891" i="5"/>
  <c r="I2388" i="5"/>
  <c r="I2387" i="5"/>
  <c r="I2389" i="5" s="1"/>
  <c r="I1673" i="5"/>
  <c r="I1676" i="5"/>
  <c r="I1674" i="5"/>
  <c r="I1672" i="5"/>
  <c r="I1669" i="5"/>
  <c r="I1675" i="5"/>
  <c r="I1670" i="5"/>
  <c r="I1759" i="5"/>
  <c r="I1760" i="5"/>
  <c r="I1757" i="5"/>
  <c r="I1761" i="5"/>
  <c r="I109" i="5"/>
  <c r="I106" i="5"/>
  <c r="I110" i="5" s="1"/>
  <c r="I107" i="5"/>
  <c r="I108" i="5"/>
  <c r="I1336" i="5"/>
  <c r="I550" i="5"/>
  <c r="I2216" i="5"/>
  <c r="I1867" i="5"/>
  <c r="I1176" i="5"/>
  <c r="I1174" i="5"/>
  <c r="I1178" i="5"/>
  <c r="I1246" i="5"/>
  <c r="I942" i="5"/>
  <c r="I762" i="5"/>
  <c r="I760" i="5"/>
  <c r="I29" i="5"/>
  <c r="I1860" i="5"/>
  <c r="I1335" i="5"/>
  <c r="I2286" i="5"/>
  <c r="I944" i="5"/>
  <c r="I2314" i="5"/>
  <c r="I1288" i="5"/>
  <c r="I1289" i="5" s="1"/>
  <c r="I740" i="5"/>
  <c r="I764" i="5"/>
  <c r="I686" i="5"/>
  <c r="I687" i="5" s="1"/>
  <c r="I254" i="5"/>
  <c r="I2023" i="5"/>
  <c r="I2356" i="5"/>
  <c r="I2359" i="5" s="1"/>
  <c r="I1247" i="5"/>
  <c r="I2313" i="5"/>
  <c r="I506" i="5"/>
  <c r="I1052" i="5"/>
  <c r="I264" i="5"/>
  <c r="I945" i="5"/>
  <c r="I684" i="5"/>
  <c r="I1522" i="5"/>
  <c r="I761" i="5"/>
  <c r="I1828" i="5"/>
  <c r="I1927" i="5"/>
  <c r="I1861" i="5"/>
  <c r="I1334" i="5"/>
  <c r="I1337" i="5" s="1"/>
  <c r="I2289" i="5"/>
  <c r="I2287" i="5"/>
  <c r="I2291" i="5" s="1"/>
  <c r="I1827" i="5"/>
  <c r="I1520" i="5"/>
  <c r="I1630" i="5"/>
  <c r="I765" i="5"/>
  <c r="I1693" i="5"/>
  <c r="I2075" i="5"/>
  <c r="I2077" i="5" s="1"/>
  <c r="I1096" i="5"/>
  <c r="I1100" i="5" s="1"/>
  <c r="I2238" i="5"/>
  <c r="I738" i="5"/>
  <c r="I1395" i="5"/>
  <c r="I515" i="5"/>
  <c r="I1441" i="5"/>
  <c r="I1830" i="5"/>
  <c r="I1813" i="5"/>
  <c r="I1858" i="5"/>
  <c r="I1812" i="5"/>
  <c r="I501" i="5"/>
  <c r="I1333" i="5"/>
  <c r="I2288" i="5"/>
  <c r="I2006" i="5"/>
  <c r="I2011" i="5" s="1"/>
  <c r="I505" i="5"/>
  <c r="I1049" i="5"/>
  <c r="I1859" i="5"/>
  <c r="I1864" i="5" s="1"/>
  <c r="I232" i="5"/>
  <c r="I233" i="5" s="1"/>
  <c r="I1829" i="5"/>
  <c r="I2007" i="5"/>
  <c r="I1559" i="5"/>
  <c r="I249" i="5"/>
  <c r="I250" i="5" s="1"/>
  <c r="I1707" i="5"/>
  <c r="I502" i="5"/>
  <c r="I1849" i="5"/>
  <c r="I1850" i="5"/>
  <c r="I1956" i="5"/>
  <c r="I1959" i="5"/>
  <c r="I1868" i="5"/>
  <c r="I1629" i="5"/>
  <c r="I1687" i="5"/>
  <c r="I293" i="5"/>
  <c r="I1717" i="5"/>
  <c r="I1688" i="5"/>
  <c r="I1718" i="5"/>
  <c r="I2008" i="5"/>
  <c r="I759" i="5"/>
  <c r="I1054" i="5"/>
  <c r="I2393" i="5"/>
  <c r="I2400" i="5"/>
  <c r="I2002" i="5"/>
  <c r="I1719" i="5"/>
  <c r="I1686" i="5"/>
  <c r="I573" i="5"/>
  <c r="I551" i="5"/>
  <c r="I723" i="5"/>
  <c r="I2001" i="5"/>
  <c r="I2003" i="5" s="1"/>
  <c r="I722" i="5"/>
  <c r="I727" i="5" s="1"/>
  <c r="I1788" i="5"/>
  <c r="I547" i="5"/>
  <c r="I1680" i="5"/>
  <c r="I1928" i="5"/>
  <c r="I330" i="5"/>
  <c r="I1069" i="5"/>
  <c r="I1012" i="5"/>
  <c r="I1780" i="5"/>
  <c r="I1783" i="5" s="1"/>
  <c r="I700" i="5"/>
  <c r="I1463" i="5"/>
  <c r="I480" i="5"/>
  <c r="I2059" i="5"/>
  <c r="I1696" i="5"/>
  <c r="I139" i="5"/>
  <c r="I1415" i="5"/>
  <c r="I643" i="5"/>
  <c r="I1924" i="5"/>
  <c r="I1150" i="5"/>
  <c r="I195" i="5"/>
  <c r="I1754" i="5"/>
  <c r="I168" i="5"/>
  <c r="I912" i="5"/>
  <c r="I2099" i="5"/>
  <c r="I1747" i="5"/>
  <c r="I1840" i="5"/>
  <c r="I2045" i="5"/>
  <c r="I1782" i="5"/>
  <c r="I1607" i="5"/>
  <c r="I413" i="5"/>
  <c r="I443" i="5"/>
  <c r="I43" i="5"/>
  <c r="I552" i="5"/>
  <c r="I1814" i="5"/>
  <c r="I1524" i="5"/>
  <c r="I520" i="5"/>
  <c r="I1739" i="5"/>
  <c r="I542" i="5"/>
  <c r="I1870" i="5"/>
  <c r="I1894" i="5"/>
  <c r="I1720" i="5"/>
  <c r="I1690" i="5"/>
  <c r="J25" i="4" l="1"/>
  <c r="C27" i="3"/>
  <c r="G25" i="4"/>
  <c r="L25" i="4"/>
  <c r="M27" i="3"/>
  <c r="B27" i="3"/>
  <c r="H27" i="3"/>
  <c r="E25" i="4"/>
  <c r="F27" i="3"/>
  <c r="M25" i="4"/>
  <c r="H25" i="4"/>
  <c r="I25" i="4"/>
  <c r="E27" i="3"/>
  <c r="C25" i="4"/>
  <c r="I27" i="3"/>
  <c r="D25" i="4"/>
  <c r="B25" i="4"/>
  <c r="K27" i="3"/>
  <c r="G27" i="3"/>
  <c r="F25" i="4"/>
  <c r="K25" i="4"/>
  <c r="D27" i="3"/>
  <c r="J27" i="3"/>
  <c r="L27" i="3"/>
  <c r="L123" i="1"/>
  <c r="J125" i="1" s="1"/>
  <c r="E18" i="2" s="1"/>
  <c r="I2276" i="5"/>
  <c r="I1917" i="5"/>
  <c r="I17" i="3"/>
  <c r="H15" i="4"/>
  <c r="L15" i="4"/>
  <c r="F17" i="3"/>
  <c r="C15" i="4"/>
  <c r="E17" i="3"/>
  <c r="H17" i="3"/>
  <c r="M17" i="3"/>
  <c r="K17" i="3"/>
  <c r="B15" i="4"/>
  <c r="K15" i="4"/>
  <c r="B17" i="3"/>
  <c r="C17" i="3"/>
  <c r="I15" i="4"/>
  <c r="J17" i="3"/>
  <c r="G17" i="3"/>
  <c r="F15" i="4"/>
  <c r="M15" i="4"/>
  <c r="D17" i="3"/>
  <c r="E15" i="4"/>
  <c r="L17" i="3"/>
  <c r="G15" i="4"/>
  <c r="J15" i="4"/>
  <c r="D15" i="4"/>
  <c r="I1639" i="5"/>
  <c r="I1550" i="5"/>
  <c r="I1552" i="5"/>
  <c r="I1551" i="5"/>
  <c r="M17" i="4"/>
  <c r="H17" i="4"/>
  <c r="J19" i="3"/>
  <c r="H19" i="3"/>
  <c r="B19" i="3"/>
  <c r="C17" i="4"/>
  <c r="E17" i="4"/>
  <c r="J17" i="4"/>
  <c r="E19" i="3"/>
  <c r="D17" i="4"/>
  <c r="G17" i="4"/>
  <c r="B17" i="4"/>
  <c r="I1597" i="5"/>
  <c r="I1599" i="5"/>
  <c r="I1596" i="5"/>
  <c r="I1595" i="5"/>
  <c r="I1600" i="5"/>
  <c r="I963" i="5"/>
  <c r="I607" i="5"/>
  <c r="I178" i="5"/>
  <c r="I868" i="5"/>
  <c r="I26" i="5"/>
  <c r="I47" i="5"/>
  <c r="I48" i="5"/>
  <c r="I1949" i="5"/>
  <c r="I1948" i="5"/>
  <c r="I1950" i="5" s="1"/>
  <c r="I2364" i="5"/>
  <c r="I2363" i="5"/>
  <c r="I2365" i="5"/>
  <c r="I2033" i="5"/>
  <c r="I2034" i="5"/>
  <c r="I1994" i="5"/>
  <c r="I1991" i="5"/>
  <c r="I1997" i="5" s="1"/>
  <c r="I1996" i="5"/>
  <c r="I1992" i="5"/>
  <c r="I2063" i="5"/>
  <c r="I2066" i="5" s="1"/>
  <c r="I2065" i="5"/>
  <c r="I680" i="5"/>
  <c r="I678" i="5"/>
  <c r="I681" i="5" s="1"/>
  <c r="I2459" i="5"/>
  <c r="I2460" i="5"/>
  <c r="I2457" i="5"/>
  <c r="I1993" i="5"/>
  <c r="I1636" i="5"/>
  <c r="I1399" i="5"/>
  <c r="I1995" i="5"/>
  <c r="C19" i="3"/>
  <c r="I1432" i="5"/>
  <c r="I2254" i="5"/>
  <c r="I2253" i="5"/>
  <c r="I2251" i="5"/>
  <c r="I2252" i="5"/>
  <c r="I2255" i="5"/>
  <c r="I2256" i="5"/>
  <c r="I121" i="5"/>
  <c r="I120" i="5"/>
  <c r="I123" i="5" s="1"/>
  <c r="I829" i="5"/>
  <c r="I2382" i="5"/>
  <c r="I2384" i="5" s="1"/>
  <c r="I2383" i="5"/>
  <c r="I253" i="5"/>
  <c r="I258" i="5" s="1"/>
  <c r="I257" i="5"/>
  <c r="I255" i="5"/>
  <c r="I1762" i="5"/>
  <c r="I307" i="5"/>
  <c r="I306" i="5"/>
  <c r="I309" i="5" s="1"/>
  <c r="J166" i="1"/>
  <c r="L166" i="1" s="1"/>
  <c r="I90" i="5"/>
  <c r="I91" i="5"/>
  <c r="I2104" i="5"/>
  <c r="I2103" i="5"/>
  <c r="I2283" i="5"/>
  <c r="I64" i="5"/>
  <c r="I62" i="5"/>
  <c r="I61" i="5"/>
  <c r="I60" i="5"/>
  <c r="I1908" i="5"/>
  <c r="I1907" i="5"/>
  <c r="I1909" i="5" s="1"/>
  <c r="I172" i="5"/>
  <c r="I1357" i="5"/>
  <c r="I1387" i="5"/>
  <c r="I1388" i="5"/>
  <c r="I1386" i="5"/>
  <c r="I1385" i="5"/>
  <c r="I1488" i="5"/>
  <c r="I1575" i="5"/>
  <c r="I2050" i="5"/>
  <c r="I692" i="5"/>
  <c r="I691" i="5"/>
  <c r="I693" i="5"/>
  <c r="I690" i="5"/>
  <c r="I694" i="5" s="1"/>
  <c r="I2150" i="5"/>
  <c r="I981" i="5"/>
  <c r="I2035" i="5"/>
  <c r="M19" i="3"/>
  <c r="I71" i="5"/>
  <c r="I73" i="5"/>
  <c r="J101" i="1"/>
  <c r="L101" i="1" s="1"/>
  <c r="I734" i="5"/>
  <c r="I733" i="5"/>
  <c r="I736" i="5"/>
  <c r="I739" i="5"/>
  <c r="I737" i="5"/>
  <c r="I730" i="5"/>
  <c r="L267" i="1"/>
  <c r="J269" i="1" s="1"/>
  <c r="E28" i="2" s="1"/>
  <c r="I507" i="5"/>
  <c r="I1656" i="5"/>
  <c r="I622" i="5"/>
  <c r="I1192" i="5"/>
  <c r="I2379" i="5"/>
  <c r="I1368" i="5"/>
  <c r="L17" i="4"/>
  <c r="I1433" i="5"/>
  <c r="I1967" i="5"/>
  <c r="I1965" i="5"/>
  <c r="I572" i="5"/>
  <c r="I575" i="5"/>
  <c r="I226" i="5"/>
  <c r="I1729" i="5"/>
  <c r="I1731" i="5"/>
  <c r="I1728" i="5"/>
  <c r="I1733" i="5" s="1"/>
  <c r="I1730" i="5"/>
  <c r="I63" i="5"/>
  <c r="K19" i="3"/>
  <c r="I1625" i="5"/>
  <c r="I2366" i="5"/>
  <c r="I1904" i="5"/>
  <c r="I535" i="5"/>
  <c r="G19" i="3"/>
  <c r="I1496" i="5"/>
  <c r="I1023" i="5"/>
  <c r="I1832" i="5"/>
  <c r="I1072" i="5"/>
  <c r="I1074" i="5"/>
  <c r="I841" i="5"/>
  <c r="I843" i="5"/>
  <c r="I845" i="5"/>
  <c r="I842" i="5"/>
  <c r="I1723" i="5"/>
  <c r="I1725" i="5" s="1"/>
  <c r="I788" i="5"/>
  <c r="I783" i="5"/>
  <c r="I789" i="5" s="1"/>
  <c r="I787" i="5"/>
  <c r="I1480" i="5"/>
  <c r="I263" i="5"/>
  <c r="I261" i="5"/>
  <c r="I262" i="5"/>
  <c r="L30" i="1"/>
  <c r="J32" i="1" s="1"/>
  <c r="E12" i="2" s="1"/>
  <c r="I1301" i="5"/>
  <c r="F17" i="4"/>
  <c r="I1875" i="5"/>
  <c r="I1876" i="5"/>
  <c r="I1877" i="5"/>
  <c r="I2420" i="5"/>
  <c r="I1677" i="5"/>
  <c r="I801" i="5"/>
  <c r="I657" i="5"/>
  <c r="I1045" i="5"/>
  <c r="I1046" i="5" s="1"/>
  <c r="I1093" i="5"/>
  <c r="I679" i="5"/>
  <c r="I2362" i="5"/>
  <c r="I2367" i="5" s="1"/>
  <c r="I72" i="5"/>
  <c r="I2401" i="5"/>
  <c r="I175" i="5"/>
  <c r="I173" i="5"/>
  <c r="I176" i="5"/>
  <c r="I179" i="5"/>
  <c r="I593" i="5"/>
  <c r="I591" i="5"/>
  <c r="I595" i="5" s="1"/>
  <c r="I1226" i="5"/>
  <c r="I1359" i="5"/>
  <c r="I1362" i="5" s="1"/>
  <c r="I732" i="5"/>
  <c r="I74" i="5"/>
  <c r="I592" i="5"/>
  <c r="I174" i="5"/>
  <c r="I1873" i="5"/>
  <c r="I1418" i="5"/>
  <c r="I1419" i="5"/>
  <c r="I2090" i="5"/>
  <c r="I2088" i="5"/>
  <c r="I2087" i="5"/>
  <c r="I2089" i="5"/>
  <c r="I1120" i="5"/>
  <c r="I1121" i="5"/>
  <c r="I1118" i="5"/>
  <c r="I1122" i="5" s="1"/>
  <c r="I1125" i="5"/>
  <c r="I1131" i="5" s="1"/>
  <c r="I1130" i="5"/>
  <c r="I1129" i="5"/>
  <c r="J242" i="1"/>
  <c r="L242" i="1" s="1"/>
  <c r="J160" i="1"/>
  <c r="L160" i="1" s="1"/>
  <c r="I17" i="4"/>
  <c r="I130" i="5"/>
  <c r="I2322" i="5"/>
  <c r="I2320" i="5"/>
  <c r="I2323" i="5"/>
  <c r="I2325" i="5"/>
  <c r="I2324" i="5"/>
  <c r="I2321" i="5"/>
  <c r="F19" i="3"/>
  <c r="I162" i="5"/>
  <c r="I594" i="5"/>
  <c r="I19" i="3"/>
  <c r="I978" i="5"/>
  <c r="I980" i="5"/>
  <c r="I817" i="5"/>
  <c r="I818" i="5"/>
  <c r="I2116" i="5"/>
  <c r="L244" i="1"/>
  <c r="J246" i="1" s="1"/>
  <c r="I1402" i="5"/>
  <c r="I1403" i="5"/>
  <c r="I1405" i="5"/>
  <c r="I114" i="5"/>
  <c r="I113" i="5"/>
  <c r="I89" i="5"/>
  <c r="I1986" i="5"/>
  <c r="I1984" i="5"/>
  <c r="I355" i="5"/>
  <c r="I1985" i="5"/>
  <c r="I2172" i="5"/>
  <c r="K17" i="4"/>
  <c r="I1292" i="5"/>
  <c r="I1295" i="5"/>
  <c r="I1536" i="5"/>
  <c r="I1535" i="5"/>
  <c r="I1537" i="5"/>
  <c r="I1534" i="5"/>
  <c r="I1533" i="5"/>
  <c r="I996" i="5"/>
  <c r="I997" i="5"/>
  <c r="I171" i="5"/>
  <c r="I2272" i="5"/>
  <c r="I2273" i="5"/>
  <c r="I2102" i="5"/>
  <c r="I2105" i="5" s="1"/>
  <c r="I1106" i="5"/>
  <c r="I1104" i="5"/>
  <c r="I1108" i="5"/>
  <c r="I1109" i="5" s="1"/>
  <c r="J209" i="1"/>
  <c r="L209" i="1" s="1"/>
  <c r="L214" i="1" s="1"/>
  <c r="J216" i="1" s="1"/>
  <c r="E22" i="2" s="1"/>
  <c r="I585" i="5"/>
  <c r="I584" i="5"/>
  <c r="I587" i="5" s="1"/>
  <c r="J283" i="1"/>
  <c r="L283" i="1" s="1"/>
  <c r="L287" i="1" s="1"/>
  <c r="J289" i="1" s="1"/>
  <c r="E30" i="2" s="1"/>
  <c r="I1881" i="5"/>
  <c r="I1886" i="5" s="1"/>
  <c r="I670" i="5"/>
  <c r="I877" i="5"/>
  <c r="I586" i="5"/>
  <c r="I837" i="5"/>
  <c r="I2123" i="5"/>
  <c r="I2124" i="5" s="1"/>
  <c r="J259" i="1"/>
  <c r="L259" i="1" s="1"/>
  <c r="J154" i="1"/>
  <c r="L154" i="1" s="1"/>
  <c r="I2299" i="5"/>
  <c r="I883" i="5"/>
  <c r="I886" i="5" s="1"/>
  <c r="J153" i="1"/>
  <c r="L153" i="1" s="1"/>
  <c r="L191" i="1" s="1"/>
  <c r="J193" i="1" s="1"/>
  <c r="E20" i="2" s="1"/>
  <c r="I2310" i="5"/>
  <c r="I2317" i="5" s="1"/>
  <c r="I35" i="5"/>
  <c r="I37" i="5" s="1"/>
  <c r="I483" i="5"/>
  <c r="I489" i="5" s="1"/>
  <c r="I236" i="5"/>
  <c r="I238" i="5" s="1"/>
  <c r="I1306" i="5"/>
  <c r="I834" i="5"/>
  <c r="I1308" i="5"/>
  <c r="I1309" i="5" s="1"/>
  <c r="I1938" i="5"/>
  <c r="I2219" i="5"/>
  <c r="I2220" i="5" s="1"/>
  <c r="I1822" i="5"/>
  <c r="I1823" i="5" s="1"/>
  <c r="I1058" i="5"/>
  <c r="I1061" i="5" s="1"/>
  <c r="I872" i="5"/>
  <c r="I669" i="5"/>
  <c r="I675" i="5" s="1"/>
  <c r="I1140" i="5"/>
  <c r="I1142" i="5"/>
  <c r="I1767" i="5"/>
  <c r="I2084" i="5"/>
  <c r="I2312" i="5"/>
  <c r="I871" i="5"/>
  <c r="I13" i="5"/>
  <c r="I16" i="5"/>
  <c r="I17" i="5"/>
  <c r="I2311" i="5"/>
  <c r="I673" i="5"/>
  <c r="I36" i="5"/>
  <c r="I80" i="5"/>
  <c r="I876" i="5"/>
  <c r="I714" i="5"/>
  <c r="I715" i="5" s="1"/>
  <c r="I243" i="5"/>
  <c r="I245" i="5" s="1"/>
  <c r="I82" i="5"/>
  <c r="I561" i="5"/>
  <c r="I557" i="5"/>
  <c r="I2399" i="5"/>
  <c r="I2392" i="5"/>
  <c r="I2394" i="5"/>
  <c r="J97" i="1"/>
  <c r="L97" i="1" s="1"/>
  <c r="J113" i="1"/>
  <c r="L113" i="1" s="1"/>
  <c r="I279" i="5"/>
  <c r="I280" i="5" s="1"/>
  <c r="I1765" i="5"/>
  <c r="I1769" i="5"/>
  <c r="I1939" i="5"/>
  <c r="I1936" i="5"/>
  <c r="I1940" i="5" s="1"/>
  <c r="I15" i="5"/>
  <c r="I18" i="5" s="1"/>
  <c r="I1663" i="5"/>
  <c r="I1666" i="5" s="1"/>
  <c r="I1665" i="5"/>
  <c r="I1660" i="5"/>
  <c r="J178" i="1"/>
  <c r="L178" i="1" s="1"/>
  <c r="I312" i="5"/>
  <c r="I1916" i="5"/>
  <c r="I2211" i="5"/>
  <c r="I2212" i="5"/>
  <c r="I313" i="5"/>
  <c r="I377" i="5"/>
  <c r="I379" i="5" s="1"/>
  <c r="F23" i="3" l="1"/>
  <c r="I23" i="3"/>
  <c r="J23" i="3"/>
  <c r="M21" i="4"/>
  <c r="L23" i="3"/>
  <c r="E23" i="3"/>
  <c r="L21" i="4"/>
  <c r="K23" i="3"/>
  <c r="J21" i="4"/>
  <c r="D23" i="3"/>
  <c r="C23" i="3"/>
  <c r="G21" i="4"/>
  <c r="F21" i="4"/>
  <c r="H23" i="3"/>
  <c r="B21" i="4"/>
  <c r="D21" i="4"/>
  <c r="I21" i="4"/>
  <c r="E21" i="4"/>
  <c r="C21" i="4"/>
  <c r="G23" i="3"/>
  <c r="M23" i="3"/>
  <c r="B23" i="3"/>
  <c r="K21" i="4"/>
  <c r="H21" i="4"/>
  <c r="G23" i="4"/>
  <c r="G25" i="3"/>
  <c r="F25" i="3"/>
  <c r="K23" i="4"/>
  <c r="B23" i="4"/>
  <c r="J25" i="3"/>
  <c r="M23" i="4"/>
  <c r="I25" i="3"/>
  <c r="M25" i="3"/>
  <c r="C25" i="3"/>
  <c r="E23" i="4"/>
  <c r="D23" i="4"/>
  <c r="B25" i="3"/>
  <c r="D25" i="3"/>
  <c r="C23" i="4"/>
  <c r="L25" i="3"/>
  <c r="J23" i="4"/>
  <c r="H25" i="3"/>
  <c r="K25" i="3"/>
  <c r="E25" i="3"/>
  <c r="H23" i="4"/>
  <c r="L23" i="4"/>
  <c r="I23" i="4"/>
  <c r="F23" i="4"/>
  <c r="J19" i="4"/>
  <c r="D19" i="4"/>
  <c r="D21" i="3"/>
  <c r="H21" i="3"/>
  <c r="C21" i="3"/>
  <c r="K21" i="3"/>
  <c r="F19" i="4"/>
  <c r="B21" i="3"/>
  <c r="I19" i="4"/>
  <c r="F21" i="3"/>
  <c r="E19" i="4"/>
  <c r="M19" i="4"/>
  <c r="I21" i="3"/>
  <c r="K19" i="4"/>
  <c r="L21" i="3"/>
  <c r="B19" i="4"/>
  <c r="G19" i="4"/>
  <c r="H19" i="4"/>
  <c r="E21" i="3"/>
  <c r="C19" i="4"/>
  <c r="J21" i="3"/>
  <c r="L19" i="4"/>
  <c r="G21" i="3"/>
  <c r="M21" i="3"/>
  <c r="I1144" i="5"/>
  <c r="I1406" i="5"/>
  <c r="I86" i="5"/>
  <c r="I1296" i="5"/>
  <c r="I2092" i="5"/>
  <c r="I577" i="5"/>
  <c r="I741" i="5"/>
  <c r="I65" i="5"/>
  <c r="I1770" i="5"/>
  <c r="I2326" i="5"/>
  <c r="I1968" i="5"/>
  <c r="I1435" i="5"/>
  <c r="I1075" i="5"/>
  <c r="D31" i="4"/>
  <c r="H33" i="3"/>
  <c r="M31" i="4"/>
  <c r="K31" i="4"/>
  <c r="G31" i="4"/>
  <c r="C33" i="3"/>
  <c r="I31" i="4"/>
  <c r="E31" i="4"/>
  <c r="I33" i="3"/>
  <c r="F33" i="3"/>
  <c r="D33" i="3"/>
  <c r="F31" i="4"/>
  <c r="J31" i="4"/>
  <c r="H31" i="4"/>
  <c r="J33" i="3"/>
  <c r="G33" i="3"/>
  <c r="K33" i="3"/>
  <c r="B33" i="3"/>
  <c r="B31" i="4"/>
  <c r="L33" i="3"/>
  <c r="E33" i="3"/>
  <c r="L31" i="4"/>
  <c r="M33" i="3"/>
  <c r="C31" i="4"/>
  <c r="F31" i="3"/>
  <c r="H31" i="3"/>
  <c r="G31" i="3"/>
  <c r="K31" i="3"/>
  <c r="J29" i="4"/>
  <c r="J31" i="3"/>
  <c r="B29" i="4"/>
  <c r="D31" i="3"/>
  <c r="I29" i="4"/>
  <c r="G29" i="4"/>
  <c r="M31" i="3"/>
  <c r="E31" i="3"/>
  <c r="L29" i="4"/>
  <c r="D29" i="4"/>
  <c r="M29" i="4"/>
  <c r="F29" i="4"/>
  <c r="C31" i="3"/>
  <c r="K29" i="4"/>
  <c r="C29" i="4"/>
  <c r="B31" i="3"/>
  <c r="L31" i="3"/>
  <c r="H29" i="4"/>
  <c r="E29" i="4"/>
  <c r="I31" i="3"/>
  <c r="I2257" i="5"/>
  <c r="I2214" i="5"/>
  <c r="I1878" i="5"/>
  <c r="I819" i="5"/>
  <c r="M13" i="4"/>
  <c r="M15" i="3"/>
  <c r="L15" i="3"/>
  <c r="F15" i="3"/>
  <c r="B13" i="4"/>
  <c r="H13" i="4"/>
  <c r="J15" i="3"/>
  <c r="C15" i="3"/>
  <c r="C13" i="4"/>
  <c r="D15" i="3"/>
  <c r="J13" i="4"/>
  <c r="I13" i="4"/>
  <c r="G13" i="4"/>
  <c r="B15" i="3"/>
  <c r="G15" i="3"/>
  <c r="K15" i="3"/>
  <c r="E13" i="4"/>
  <c r="H15" i="3"/>
  <c r="E15" i="3"/>
  <c r="F13" i="4"/>
  <c r="K13" i="4"/>
  <c r="L13" i="4"/>
  <c r="D13" i="4"/>
  <c r="I15" i="3"/>
  <c r="I265" i="5"/>
  <c r="I49" i="5"/>
  <c r="I180" i="5"/>
  <c r="I316" i="5"/>
  <c r="I2395" i="5"/>
  <c r="I838" i="5"/>
  <c r="I1389" i="5"/>
  <c r="I879" i="5"/>
  <c r="I998" i="5"/>
  <c r="I92" i="5"/>
  <c r="I2461" i="5"/>
  <c r="I1601" i="5"/>
  <c r="I1553" i="5"/>
  <c r="I1420" i="5"/>
  <c r="I1987" i="5"/>
  <c r="I563" i="5"/>
  <c r="I1539" i="5"/>
  <c r="I115" i="5"/>
  <c r="I847" i="5"/>
</calcChain>
</file>

<file path=xl/sharedStrings.xml><?xml version="1.0" encoding="utf-8"?>
<sst xmlns="http://schemas.openxmlformats.org/spreadsheetml/2006/main" count="4231" uniqueCount="772">
  <si>
    <t>Const Cost</t>
  </si>
  <si>
    <t>12/31 Const</t>
  </si>
  <si>
    <t>Space Type</t>
  </si>
  <si>
    <t>Per GSF</t>
  </si>
  <si>
    <t>ENR Cost</t>
  </si>
  <si>
    <t>Cost</t>
  </si>
  <si>
    <t>Const Costs</t>
  </si>
  <si>
    <t>and Univ</t>
  </si>
  <si>
    <t>BOR No</t>
  </si>
  <si>
    <t>Projects</t>
  </si>
  <si>
    <t>ENR</t>
  </si>
  <si>
    <t>Factor</t>
  </si>
  <si>
    <t>GSF</t>
  </si>
  <si>
    <t>in $</t>
  </si>
  <si>
    <t xml:space="preserve">  $</t>
  </si>
  <si>
    <t xml:space="preserve"> $</t>
  </si>
  <si>
    <t>Classrooms</t>
  </si>
  <si>
    <t>USF</t>
  </si>
  <si>
    <t>FAMU</t>
  </si>
  <si>
    <t>FSU</t>
  </si>
  <si>
    <t>UCF</t>
  </si>
  <si>
    <t>UNF</t>
  </si>
  <si>
    <t>FIU</t>
  </si>
  <si>
    <t>FAU</t>
  </si>
  <si>
    <t>UF</t>
  </si>
  <si>
    <t>Academic Advisement Center</t>
  </si>
  <si>
    <t>Appleton Museum Expansion</t>
  </si>
  <si>
    <t>College of Business Addition</t>
  </si>
  <si>
    <t>Communications Building</t>
  </si>
  <si>
    <t>UWF</t>
  </si>
  <si>
    <t>Psychology Building</t>
  </si>
  <si>
    <t>New College Fine Arts Gallery/Studio</t>
  </si>
  <si>
    <t>04-97</t>
  </si>
  <si>
    <t>TOTAL</t>
  </si>
  <si>
    <t>Weighted Average Construction Cost for Classrooms</t>
  </si>
  <si>
    <t>Teaching Laboratories</t>
  </si>
  <si>
    <t>05-93</t>
  </si>
  <si>
    <t>Arts Complex</t>
  </si>
  <si>
    <t>Computer Center Expansion</t>
  </si>
  <si>
    <t>08-94</t>
  </si>
  <si>
    <t>Astronomy Laboratory</t>
  </si>
  <si>
    <t>Weighted Average Construction Cost for Teaching Laboratories</t>
  </si>
  <si>
    <t>Study</t>
  </si>
  <si>
    <t>Engineering/Science Library Complex</t>
  </si>
  <si>
    <t>02-84</t>
  </si>
  <si>
    <t>Sarasota Campus Branch Library</t>
  </si>
  <si>
    <t>01-84</t>
  </si>
  <si>
    <t>Coleman Library Addition</t>
  </si>
  <si>
    <t>04-88</t>
  </si>
  <si>
    <t>J. Wayne Reitz Union</t>
  </si>
  <si>
    <t>01-95</t>
  </si>
  <si>
    <t>Weighted Average Construction Cost for Study</t>
  </si>
  <si>
    <t>Research Laboratories</t>
  </si>
  <si>
    <t>UF-IFAS</t>
  </si>
  <si>
    <t>02-81</t>
  </si>
  <si>
    <t>10-87</t>
  </si>
  <si>
    <t>01-93</t>
  </si>
  <si>
    <t xml:space="preserve"> 12-93</t>
  </si>
  <si>
    <t>Biotechnology Center</t>
  </si>
  <si>
    <t xml:space="preserve"> 01-94</t>
  </si>
  <si>
    <t>Science Research Facility</t>
  </si>
  <si>
    <t>Archeology Conservatory and Museum</t>
  </si>
  <si>
    <t>Weighted Average Construction Cost for Research Laboratories</t>
  </si>
  <si>
    <t>Offices</t>
  </si>
  <si>
    <t>Multi-Purpose Stadium</t>
  </si>
  <si>
    <t>Police Building</t>
  </si>
  <si>
    <t>12-94</t>
  </si>
  <si>
    <t>CUTR</t>
  </si>
  <si>
    <t>Mildred and Claude Pepper Building</t>
  </si>
  <si>
    <t>Housing Administration Building</t>
  </si>
  <si>
    <t>09-96</t>
  </si>
  <si>
    <t>Multipurpose Educational Complex</t>
  </si>
  <si>
    <t>Public Safety Facility</t>
  </si>
  <si>
    <t>Weighted Average Construction Cost for Offices</t>
  </si>
  <si>
    <t>Auditorium/Exhibition</t>
  </si>
  <si>
    <t>University Center Renovation/Expansion</t>
  </si>
  <si>
    <t>Lifelong Learning Center</t>
  </si>
  <si>
    <t>Weighted Average Construction Cost for Auditorium/Exhibition</t>
  </si>
  <si>
    <t>Instructional Media</t>
  </si>
  <si>
    <t>Public Broadcasting Facilities</t>
  </si>
  <si>
    <t>WUSF-TV/FM Broadcasting Facility</t>
  </si>
  <si>
    <t>WUWF Public Radio Station/TV</t>
  </si>
  <si>
    <t>09-91</t>
  </si>
  <si>
    <t>Weighted Average Construction Cost for Instructional Media</t>
  </si>
  <si>
    <t>Student Academic Support</t>
  </si>
  <si>
    <t>Student Union</t>
  </si>
  <si>
    <t xml:space="preserve"> 12-92</t>
  </si>
  <si>
    <t>Recreational Sports Facility</t>
  </si>
  <si>
    <t>Graham Center Addition</t>
  </si>
  <si>
    <t>Conference Center</t>
  </si>
  <si>
    <t>Weighted Average Construction Cost for Student Academic Support</t>
  </si>
  <si>
    <t>Gymnasium</t>
  </si>
  <si>
    <t>Teaching Gymnasium</t>
  </si>
  <si>
    <t>07-91</t>
  </si>
  <si>
    <t>Tampa Recreational/Sun Dome</t>
  </si>
  <si>
    <t>Fitness Center</t>
  </si>
  <si>
    <t>Leach Center Expansion</t>
  </si>
  <si>
    <t xml:space="preserve"> Weighted Average Construction Cost for Gymnasium</t>
  </si>
  <si>
    <t>Campus Support Services</t>
  </si>
  <si>
    <t>Campus Support and Utilities</t>
  </si>
  <si>
    <t xml:space="preserve"> 04-94</t>
  </si>
  <si>
    <t>Campus Service Support Facility</t>
  </si>
  <si>
    <t>HVAC Facility</t>
  </si>
  <si>
    <t>03-95</t>
  </si>
  <si>
    <t>Campus Support Complex</t>
  </si>
  <si>
    <t>Weighted Average Construction Cost for Campus Support Services</t>
  </si>
  <si>
    <t>per GSF</t>
  </si>
  <si>
    <t>Teaching Labs</t>
  </si>
  <si>
    <t>Research Labs</t>
  </si>
  <si>
    <t>Auditorium/Exhibits</t>
  </si>
  <si>
    <t>Classroom Building - Phase I</t>
  </si>
  <si>
    <t>Health and Public Affairs Building</t>
  </si>
  <si>
    <t>Science Lecture Lab/Demonstration Classrooms</t>
  </si>
  <si>
    <t>IFAS Aquatic Food Products Laboratory</t>
  </si>
  <si>
    <t>Anchin Center/Education II Addition</t>
  </si>
  <si>
    <t>Physical Sciences Building</t>
  </si>
  <si>
    <t>Brain Institute</t>
  </si>
  <si>
    <t>Physics Building</t>
  </si>
  <si>
    <t>Engineering Res. Cntr. For Part. Sci. &amp; Tech.</t>
  </si>
  <si>
    <t>Central Florida Combined REC, Apopka</t>
  </si>
  <si>
    <t>General Classroom Building - Phase I</t>
  </si>
  <si>
    <t>Pediatrics Research</t>
  </si>
  <si>
    <t>Health Sciences Research</t>
  </si>
  <si>
    <t>Student Life Building</t>
  </si>
  <si>
    <t>Academic Center/University Center, East Complex (Ph. A)</t>
  </si>
  <si>
    <t>Academic Center/University Center, West Complex (Ph. B)</t>
  </si>
  <si>
    <t>FGCU</t>
  </si>
  <si>
    <t>Campus Support Building</t>
  </si>
  <si>
    <t>Classroom Building/Academic 3</t>
  </si>
  <si>
    <t>FLMNH Exhibition Hall (Powell Hall)</t>
  </si>
  <si>
    <t>Stavros Center</t>
  </si>
  <si>
    <t>UF (E&amp;G),</t>
  </si>
  <si>
    <t>USF (Tampa)</t>
  </si>
  <si>
    <t>and</t>
  </si>
  <si>
    <t>UF (Health Ctr)</t>
  </si>
  <si>
    <t>(Palm Beach)</t>
  </si>
  <si>
    <t>FIU (North Miami)</t>
  </si>
  <si>
    <t>and USF</t>
  </si>
  <si>
    <t>Space</t>
  </si>
  <si>
    <t>(Panama City)</t>
  </si>
  <si>
    <t>FSU (Asolo)</t>
  </si>
  <si>
    <t>(Health Ctr)</t>
  </si>
  <si>
    <t>(St. Pete)</t>
  </si>
  <si>
    <t>Category</t>
  </si>
  <si>
    <t>Auditoriums/Exhibition</t>
  </si>
  <si>
    <t>Gymnasiums</t>
  </si>
  <si>
    <t xml:space="preserve">       Actual cost experience has been adjusted for changes in construction by applying the Engineering News Record Index for </t>
  </si>
  <si>
    <t>UF (IFAS) and UNF</t>
  </si>
  <si>
    <t xml:space="preserve">       Construction Management projects have been added to the database.</t>
  </si>
  <si>
    <t xml:space="preserve">       such as inspections services, artwork, furnishings and equipment, contingency and professional fees.</t>
  </si>
  <si>
    <t>Life Long Learning Center Addition</t>
  </si>
  <si>
    <t>Engineering Building II</t>
  </si>
  <si>
    <t>Fine Arts Building</t>
  </si>
  <si>
    <t>Student Union IV</t>
  </si>
  <si>
    <t>WUSF- TV</t>
  </si>
  <si>
    <t>New College Marine Biology Building</t>
  </si>
  <si>
    <t>Ft. Myers Branch Campus - Phase I</t>
  </si>
  <si>
    <t>Business &amp; Industry Building</t>
  </si>
  <si>
    <t>Panama City Branch Campus - Phase I</t>
  </si>
  <si>
    <t>09-83</t>
  </si>
  <si>
    <t>Engineering Building</t>
  </si>
  <si>
    <t>Physical Science Building</t>
  </si>
  <si>
    <t>Public Health Building</t>
  </si>
  <si>
    <t>Communication and Information Science Bldg</t>
  </si>
  <si>
    <t>10-89</t>
  </si>
  <si>
    <t>Southeast Davie Campus</t>
  </si>
  <si>
    <t>Joint Center for Conflict Resolution</t>
  </si>
  <si>
    <t>05-78</t>
  </si>
  <si>
    <t>12-80</t>
  </si>
  <si>
    <t>Computer Services/Systems Science</t>
  </si>
  <si>
    <t>Fine and Performing Arts</t>
  </si>
  <si>
    <t>12-89</t>
  </si>
  <si>
    <t>Art Complex</t>
  </si>
  <si>
    <t>Education Building</t>
  </si>
  <si>
    <t>DF Schmidt Fine Art Center</t>
  </si>
  <si>
    <t>Health Science Building</t>
  </si>
  <si>
    <t>School of Business &amp; Industry Addition</t>
  </si>
  <si>
    <t>Veterinary Medicine Academic Wing</t>
  </si>
  <si>
    <t>Animal Science</t>
  </si>
  <si>
    <t>Dairy Science</t>
  </si>
  <si>
    <t>03-84</t>
  </si>
  <si>
    <t>Chemistry Building</t>
  </si>
  <si>
    <t>Entomology/Nematology Building</t>
  </si>
  <si>
    <t>Belle Glade Facility</t>
  </si>
  <si>
    <t>Bio-Science Academic Facility</t>
  </si>
  <si>
    <t>Microbiology Cell Science</t>
  </si>
  <si>
    <t>12-92</t>
  </si>
  <si>
    <t>Solar Energy Center</t>
  </si>
  <si>
    <t>Journalism &amp; Communications</t>
  </si>
  <si>
    <t>Educational Research Development Center</t>
  </si>
  <si>
    <t>06-78</t>
  </si>
  <si>
    <t>Student Services Building - NMC/BV</t>
  </si>
  <si>
    <t>Nursing &amp; Allied Health</t>
  </si>
  <si>
    <t>Campus Support Complex - BV</t>
  </si>
  <si>
    <t>Broward Campus - Downtown Ft. Lauderdale</t>
  </si>
  <si>
    <t>Sponsored Research Office Building</t>
  </si>
  <si>
    <t>Social Science Building</t>
  </si>
  <si>
    <t>Student Services Support Facility</t>
  </si>
  <si>
    <t>H. Lee Moffitt Cancer Center Addition</t>
  </si>
  <si>
    <t>Police &amp; Traffic Administration</t>
  </si>
  <si>
    <t>11-77</t>
  </si>
  <si>
    <t>Educational Research Developmental Center</t>
  </si>
  <si>
    <t>Activities</t>
  </si>
  <si>
    <t>Boathouse Pavilion Replacement</t>
  </si>
  <si>
    <t>07-79</t>
  </si>
  <si>
    <t>Student Services Facilities</t>
  </si>
  <si>
    <t>08-79</t>
  </si>
  <si>
    <t>Addition to Student Life Center</t>
  </si>
  <si>
    <t>02-88</t>
  </si>
  <si>
    <t>Student Rec/Fitness Center</t>
  </si>
  <si>
    <t>Reitz Student Union Addition</t>
  </si>
  <si>
    <t>04-90</t>
  </si>
  <si>
    <t>12-81</t>
  </si>
  <si>
    <t>Multi-Purpose Gymnasium/Natatorium</t>
  </si>
  <si>
    <t>Fieldhouse and Track</t>
  </si>
  <si>
    <t>02-90</t>
  </si>
  <si>
    <t>Maintenance Complex</t>
  </si>
  <si>
    <t>9704</t>
  </si>
  <si>
    <t>Duplicating Center</t>
  </si>
  <si>
    <t>03-80</t>
  </si>
  <si>
    <t>Physical Plant Expansion</t>
  </si>
  <si>
    <t>Hazardous Waste Mgmt Fac</t>
  </si>
  <si>
    <t>Plant Operations Building</t>
  </si>
  <si>
    <t xml:space="preserve"> 09-93</t>
  </si>
  <si>
    <t>FAU (Broward),</t>
  </si>
  <si>
    <t>and FAU</t>
  </si>
  <si>
    <t>Projects Included in the Construction Cost Base by NASF Type</t>
  </si>
  <si>
    <t>Univ</t>
  </si>
  <si>
    <t>BOR No.</t>
  </si>
  <si>
    <t>Const. Delivery Method</t>
  </si>
  <si>
    <t>NASF by Type</t>
  </si>
  <si>
    <t>% of NASF         by Type</t>
  </si>
  <si>
    <t>Space Type Recommended to be Included in Construction Base</t>
  </si>
  <si>
    <t>159</t>
  </si>
  <si>
    <t>Bid</t>
  </si>
  <si>
    <t>05/78</t>
  </si>
  <si>
    <t xml:space="preserve"> </t>
  </si>
  <si>
    <t xml:space="preserve">  Classroom</t>
  </si>
  <si>
    <t xml:space="preserve">  Teaching Laboratories</t>
  </si>
  <si>
    <t xml:space="preserve">  Research Laboratories</t>
  </si>
  <si>
    <t xml:space="preserve">  Offices</t>
  </si>
  <si>
    <t xml:space="preserve">  Library</t>
  </si>
  <si>
    <t xml:space="preserve">  Instructional Media</t>
  </si>
  <si>
    <t xml:space="preserve">  Student Services</t>
  </si>
  <si>
    <t xml:space="preserve">  Campus Support Services</t>
  </si>
  <si>
    <t>108</t>
  </si>
  <si>
    <t>02/81</t>
  </si>
  <si>
    <t>125</t>
  </si>
  <si>
    <t>Engineering/Library Complex</t>
  </si>
  <si>
    <t>02/84</t>
  </si>
  <si>
    <t>151</t>
  </si>
  <si>
    <t>03/84</t>
  </si>
  <si>
    <t>154</t>
  </si>
  <si>
    <t>Immokalee Agricultural Research Center</t>
  </si>
  <si>
    <t>12/86</t>
  </si>
  <si>
    <t>184</t>
  </si>
  <si>
    <t>Microkelvin Lab Program</t>
  </si>
  <si>
    <t>10/87</t>
  </si>
  <si>
    <t xml:space="preserve">  Mechanical Room</t>
  </si>
  <si>
    <t>139</t>
  </si>
  <si>
    <t>04/88</t>
  </si>
  <si>
    <t xml:space="preserve">  Classrooms</t>
  </si>
  <si>
    <t xml:space="preserve">  Auditorium/Exhibition</t>
  </si>
  <si>
    <t>173</t>
  </si>
  <si>
    <t>11/88</t>
  </si>
  <si>
    <t>105</t>
  </si>
  <si>
    <t>Student Recreation/Fitness Center</t>
  </si>
  <si>
    <t>12/89</t>
  </si>
  <si>
    <t>190</t>
  </si>
  <si>
    <t>116</t>
  </si>
  <si>
    <t>04/90</t>
  </si>
  <si>
    <t>122</t>
  </si>
  <si>
    <t>12/92</t>
  </si>
  <si>
    <t>152</t>
  </si>
  <si>
    <t>01/93</t>
  </si>
  <si>
    <t>146</t>
  </si>
  <si>
    <t>Hazardous Waste Management Facility</t>
  </si>
  <si>
    <t>05/93</t>
  </si>
  <si>
    <t>Physical Therapy Educational Building</t>
  </si>
  <si>
    <t>10/93</t>
  </si>
  <si>
    <t>12/93</t>
  </si>
  <si>
    <t>01/94</t>
  </si>
  <si>
    <t>03/94</t>
  </si>
  <si>
    <t>01/95</t>
  </si>
  <si>
    <t xml:space="preserve">  Study</t>
  </si>
  <si>
    <t xml:space="preserve">  Other Assignable</t>
  </si>
  <si>
    <t>Specific Pathogen Free Animal Facility</t>
  </si>
  <si>
    <t>10/96</t>
  </si>
  <si>
    <t xml:space="preserve">  Office/Computer</t>
  </si>
  <si>
    <t>CM</t>
  </si>
  <si>
    <t xml:space="preserve">  Teaching Labs</t>
  </si>
  <si>
    <t xml:space="preserve">  Research Labs</t>
  </si>
  <si>
    <t xml:space="preserve">  Support Services</t>
  </si>
  <si>
    <t xml:space="preserve">  Student Academic Support</t>
  </si>
  <si>
    <t>Engineering Res. Cntr. For Particle Sci. &amp; Tech.</t>
  </si>
  <si>
    <t>244</t>
  </si>
  <si>
    <t>Public Broadcasting Facility</t>
  </si>
  <si>
    <t>239</t>
  </si>
  <si>
    <t>Panama City Branch Campus</t>
  </si>
  <si>
    <t>09/83</t>
  </si>
  <si>
    <t>286</t>
  </si>
  <si>
    <t>Multi-Purpose Gymnasium/Natorium</t>
  </si>
  <si>
    <t>10/89</t>
  </si>
  <si>
    <t xml:space="preserve">  Gymnasium</t>
  </si>
  <si>
    <t>209</t>
  </si>
  <si>
    <t>National Magnetic Laboratory</t>
  </si>
  <si>
    <t>08/91</t>
  </si>
  <si>
    <t>204</t>
  </si>
  <si>
    <t>University Center - Phase A</t>
  </si>
  <si>
    <t>12/91</t>
  </si>
  <si>
    <t>08/94</t>
  </si>
  <si>
    <t>11/94</t>
  </si>
  <si>
    <t>05/96</t>
  </si>
  <si>
    <t>07/97</t>
  </si>
  <si>
    <t xml:space="preserve">  Teaching Gymnasium</t>
  </si>
  <si>
    <t>334</t>
  </si>
  <si>
    <t>12/80</t>
  </si>
  <si>
    <t>335</t>
  </si>
  <si>
    <t>11/81</t>
  </si>
  <si>
    <t>353</t>
  </si>
  <si>
    <t>381</t>
  </si>
  <si>
    <t>06/93</t>
  </si>
  <si>
    <t>09/93</t>
  </si>
  <si>
    <t>431</t>
  </si>
  <si>
    <t>10/83</t>
  </si>
  <si>
    <t>448</t>
  </si>
  <si>
    <t>Business Administration Building</t>
  </si>
  <si>
    <t>09/87</t>
  </si>
  <si>
    <t>442</t>
  </si>
  <si>
    <t>02/90</t>
  </si>
  <si>
    <t>456</t>
  </si>
  <si>
    <t>03/90</t>
  </si>
  <si>
    <t>476</t>
  </si>
  <si>
    <t>452</t>
  </si>
  <si>
    <t>467</t>
  </si>
  <si>
    <t>CEBA III Research Facility/CREOL</t>
  </si>
  <si>
    <t>11/93</t>
  </si>
  <si>
    <t>09/94</t>
  </si>
  <si>
    <t>03/95</t>
  </si>
  <si>
    <t>02/96</t>
  </si>
  <si>
    <t>09/96</t>
  </si>
  <si>
    <t>559</t>
  </si>
  <si>
    <t>08/80</t>
  </si>
  <si>
    <t>565</t>
  </si>
  <si>
    <t>01/84</t>
  </si>
  <si>
    <t>550B</t>
  </si>
  <si>
    <t>Fine Arts</t>
  </si>
  <si>
    <t>01/87</t>
  </si>
  <si>
    <t>587</t>
  </si>
  <si>
    <t>WUSF Broadcasting Facility</t>
  </si>
  <si>
    <t>517</t>
  </si>
  <si>
    <t>06/89</t>
  </si>
  <si>
    <t>516</t>
  </si>
  <si>
    <t>513</t>
  </si>
  <si>
    <t>12/90</t>
  </si>
  <si>
    <t>534</t>
  </si>
  <si>
    <t>521</t>
  </si>
  <si>
    <t>Fine Arts Center at Naples</t>
  </si>
  <si>
    <t xml:space="preserve">  Teaching Laboratories              </t>
  </si>
  <si>
    <t>535</t>
  </si>
  <si>
    <t>11/95</t>
  </si>
  <si>
    <t>04/97</t>
  </si>
  <si>
    <t>Stavros Center/Second Floor Addition</t>
  </si>
  <si>
    <t>WUSF-TV</t>
  </si>
  <si>
    <t>609</t>
  </si>
  <si>
    <t>603</t>
  </si>
  <si>
    <t>12/81</t>
  </si>
  <si>
    <t>621</t>
  </si>
  <si>
    <t>Broward Campus - DT Ft. Lauderdale</t>
  </si>
  <si>
    <t>630</t>
  </si>
  <si>
    <t>8/88</t>
  </si>
  <si>
    <t xml:space="preserve">  Office</t>
  </si>
  <si>
    <t>629</t>
  </si>
  <si>
    <t>Science/Engineering Building</t>
  </si>
  <si>
    <t>03/88</t>
  </si>
  <si>
    <t>640</t>
  </si>
  <si>
    <t>02/92</t>
  </si>
  <si>
    <t>686</t>
  </si>
  <si>
    <t>658</t>
  </si>
  <si>
    <t>678</t>
  </si>
  <si>
    <t>04/93</t>
  </si>
  <si>
    <t>08/97</t>
  </si>
  <si>
    <t>725</t>
  </si>
  <si>
    <t>06/78</t>
  </si>
  <si>
    <t>750</t>
  </si>
  <si>
    <t>756</t>
  </si>
  <si>
    <t>03/89</t>
  </si>
  <si>
    <t>771</t>
  </si>
  <si>
    <t>Classroom Lab/Office Building</t>
  </si>
  <si>
    <t>762</t>
  </si>
  <si>
    <t>01/90</t>
  </si>
  <si>
    <t>785</t>
  </si>
  <si>
    <t>09/91</t>
  </si>
  <si>
    <t>12/94</t>
  </si>
  <si>
    <t>12/97</t>
  </si>
  <si>
    <t>824</t>
  </si>
  <si>
    <t>03/80</t>
  </si>
  <si>
    <t>834</t>
  </si>
  <si>
    <t>858</t>
  </si>
  <si>
    <t>12/87</t>
  </si>
  <si>
    <t>861</t>
  </si>
  <si>
    <t>08/88</t>
  </si>
  <si>
    <t>865</t>
  </si>
  <si>
    <t>888</t>
  </si>
  <si>
    <t>09/97</t>
  </si>
  <si>
    <t>941</t>
  </si>
  <si>
    <t>Student Life Center Addition</t>
  </si>
  <si>
    <t>02/88</t>
  </si>
  <si>
    <t>955</t>
  </si>
  <si>
    <t>07/91</t>
  </si>
  <si>
    <t>967</t>
  </si>
  <si>
    <t>04/94</t>
  </si>
  <si>
    <t>02/95</t>
  </si>
  <si>
    <t>02/97</t>
  </si>
  <si>
    <t>Classroom Building / Academic 3</t>
  </si>
  <si>
    <t xml:space="preserve">  Office Computer</t>
  </si>
  <si>
    <t>Bio-Medical Science Building</t>
  </si>
  <si>
    <t>Co-Ed Multi-Use Indoor Athletic Facility</t>
  </si>
  <si>
    <t>School of Business and Industry, West Wing</t>
  </si>
  <si>
    <t>Ware Rhaney Expansion/Remodeling</t>
  </si>
  <si>
    <t>Engineering Building III</t>
  </si>
  <si>
    <t>Business School Hospitality Program Improvements</t>
  </si>
  <si>
    <t>Southwest Recreation Center Expansion Phase II</t>
  </si>
  <si>
    <t>Reitz Union Expansion</t>
  </si>
  <si>
    <t>North Florida Research &amp; Education Center, Phase II</t>
  </si>
  <si>
    <t>Indian River Research &amp; Education Center</t>
  </si>
  <si>
    <t>Center for Public Safety</t>
  </si>
  <si>
    <t>Health &amp; Public Affairs II</t>
  </si>
  <si>
    <t>Recreational Services Facility</t>
  </si>
  <si>
    <t>Science, Math &amp; Technology Building</t>
  </si>
  <si>
    <t>Business Administration Building II</t>
  </si>
  <si>
    <t>Biological Sciences Annex</t>
  </si>
  <si>
    <t>Honors College</t>
  </si>
  <si>
    <t>Multi-Lingual Multi-Cultural Center</t>
  </si>
  <si>
    <t>Teaching Center-Academy</t>
  </si>
  <si>
    <t>n/a</t>
  </si>
  <si>
    <t>Multi-Function Support Complex</t>
  </si>
  <si>
    <t>School of Architecture</t>
  </si>
  <si>
    <t>Science &amp; Engineering</t>
  </si>
  <si>
    <t xml:space="preserve">  Research Labs </t>
  </si>
  <si>
    <t>FAMU/FSU</t>
  </si>
  <si>
    <t>FAMU/</t>
  </si>
  <si>
    <t>Challenger Learning Center</t>
  </si>
  <si>
    <t>School of Business &amp; Industry, West Wing</t>
  </si>
  <si>
    <t>Pharmacy Building</t>
  </si>
  <si>
    <t>Teaching Gym</t>
  </si>
  <si>
    <t>Academic 4 - Fine Arts</t>
  </si>
  <si>
    <t>M. E. Rinker Sr. Hall, School of Building Construction</t>
  </si>
  <si>
    <t xml:space="preserve">  Stud Acad Suppt.</t>
  </si>
  <si>
    <t>629A</t>
  </si>
  <si>
    <t>Campus Support Services Building</t>
  </si>
  <si>
    <t>Life Behavioral Science Complex</t>
  </si>
  <si>
    <t>Hibel Museum of Art, North Palm Beach Campus</t>
  </si>
  <si>
    <t>Student Services Facility in Parking Garage #2</t>
  </si>
  <si>
    <t>Tibbals Learning Center</t>
  </si>
  <si>
    <t>School of Journalism, Media &amp; Graphic Arts Building</t>
  </si>
  <si>
    <t>Coleman Library Expansion Phase II</t>
  </si>
  <si>
    <t xml:space="preserve"> Study</t>
  </si>
  <si>
    <t>Pharmacy Building &amp; Pharmaceutical Research Center</t>
  </si>
  <si>
    <t>Student Support Services Building</t>
  </si>
  <si>
    <t>Life Behavioral Science Complex Phase II</t>
  </si>
  <si>
    <t>Health Care &amp; Wellness Center</t>
  </si>
  <si>
    <t>FIU/FMC Cooperative Use Facility</t>
  </si>
  <si>
    <t>Multipurpose Building</t>
  </si>
  <si>
    <t>Constans Theatre Addition</t>
  </si>
  <si>
    <t>Accounting Classroom Building</t>
  </si>
  <si>
    <t>McGuire Center for Lepidoptera Research</t>
  </si>
  <si>
    <t>Medical School/Basic Sciences Complex</t>
  </si>
  <si>
    <t xml:space="preserve">  Stud Academic Support</t>
  </si>
  <si>
    <t>Alumni Center</t>
  </si>
  <si>
    <t>Student Support Center</t>
  </si>
  <si>
    <t>Quinn Hall COBA Building Expansion</t>
  </si>
  <si>
    <t>Natural &amp; Environmental Science Building</t>
  </si>
  <si>
    <t xml:space="preserve">  Other</t>
  </si>
  <si>
    <t>Recreation Center</t>
  </si>
  <si>
    <t>Recreational Center</t>
  </si>
  <si>
    <t>Health &amp; Life Sciences Phase II</t>
  </si>
  <si>
    <t>International House Village/Classroom Facility</t>
  </si>
  <si>
    <t>Health Leisure &amp; Sports Facility</t>
  </si>
  <si>
    <t xml:space="preserve">  Teaching Gym</t>
  </si>
  <si>
    <t>College of Business</t>
  </si>
  <si>
    <t>DeSantis Pavillion</t>
  </si>
  <si>
    <t>Jupiter Library Expansion &amp; Classroom Building</t>
  </si>
  <si>
    <t>Mary Ann Harn Cofrin Pavilion</t>
  </si>
  <si>
    <t>Psychology Center Phase 1 and 2</t>
  </si>
  <si>
    <t>Asolo Theatre/Visitors Services Center</t>
  </si>
  <si>
    <t>Main Galleries Expansion</t>
  </si>
  <si>
    <t>College of Law</t>
  </si>
  <si>
    <t>Health Care &amp; Education Ctr Children's Medical Services Facility</t>
  </si>
  <si>
    <t>College of Nursing Expansion and Renovations</t>
  </si>
  <si>
    <t>Nanotechnology 1 Facility</t>
  </si>
  <si>
    <t>USF-SM Instructional Facility Building</t>
  </si>
  <si>
    <t>FAU/Scripps Joint Use Facility</t>
  </si>
  <si>
    <t>College of Nursing</t>
  </si>
  <si>
    <t>Louis &amp; Anne Green Memory &amp; Wellness Center</t>
  </si>
  <si>
    <t>Marine Biology</t>
  </si>
  <si>
    <t>Patrica &amp; Phillip Frost Museum</t>
  </si>
  <si>
    <t>Central Utilities Plan Sub Station - Part B</t>
  </si>
  <si>
    <t>Lifelong Learning Complex</t>
  </si>
  <si>
    <t>School of Law</t>
  </si>
  <si>
    <t>Library Addition</t>
  </si>
  <si>
    <t>BID</t>
  </si>
  <si>
    <t>Health Education Center</t>
  </si>
  <si>
    <t>Student Health Center</t>
  </si>
  <si>
    <t>000</t>
  </si>
  <si>
    <t>Veterinary Medicine Food Animal Facility</t>
  </si>
  <si>
    <t>DB</t>
  </si>
  <si>
    <t>Powell Structures and Materials Testing Laboratory</t>
  </si>
  <si>
    <t>Whitney Center for Marine Studies</t>
  </si>
  <si>
    <t>New Chemistry Research Building</t>
  </si>
  <si>
    <t>FSU New Classroom Building</t>
  </si>
  <si>
    <t>Marine Science Partnership</t>
  </si>
  <si>
    <t>FAU/HBOI Marine Science Partnership</t>
  </si>
  <si>
    <t>Library Expansion/Renovation</t>
  </si>
  <si>
    <t>Psychology</t>
  </si>
  <si>
    <t>GRADUATE SCHOOL OF BUSINESS</t>
  </si>
  <si>
    <t>Social Science Building - Building #51</t>
  </si>
  <si>
    <t xml:space="preserve">  Student Academic Support </t>
  </si>
  <si>
    <t>Academic 5 Bldg</t>
  </si>
  <si>
    <t xml:space="preserve">       Construction Management projects have been added to the database.  A factor of 20.3 is included for BOG allowable add-ons</t>
  </si>
  <si>
    <t>USF Sar/Manatee</t>
  </si>
  <si>
    <t>New College and</t>
  </si>
  <si>
    <t>FIU (Univ Park)</t>
  </si>
  <si>
    <t xml:space="preserve">Construction Cost Workpapers </t>
  </si>
  <si>
    <t>New Classroom Building</t>
  </si>
  <si>
    <t>BOARD OF GOVERNORS</t>
  </si>
  <si>
    <t xml:space="preserve">STATE UNIVERSITY SYSTEM OF FLORIDA </t>
  </si>
  <si>
    <t>Nanoscale Research Facility</t>
  </si>
  <si>
    <t>Graham Center at Pugh Hall</t>
  </si>
  <si>
    <t>Indian River REC Biological and Agricultural Research</t>
  </si>
  <si>
    <t>Psychology Building Phase II</t>
  </si>
  <si>
    <t>Life Sciences</t>
  </si>
  <si>
    <t>Academic Center</t>
  </si>
  <si>
    <t>Administrative Services Center</t>
  </si>
  <si>
    <t xml:space="preserve">  Campus Support</t>
  </si>
  <si>
    <t>Student Activity Center Davie</t>
  </si>
  <si>
    <t>Bldg 22 Computer Center Expansion</t>
  </si>
  <si>
    <t>D/B</t>
  </si>
  <si>
    <t>Joint Military Sciences Leadership Center</t>
  </si>
  <si>
    <t>Materials Research Building</t>
  </si>
  <si>
    <t>Student Success Center</t>
  </si>
  <si>
    <t>Port St. Lucie  - Phase II Classroom Facility</t>
  </si>
  <si>
    <t>COB Office Depot Center for Executive Education</t>
  </si>
  <si>
    <t>Marleen &amp; Harold Forkas Alumni Center</t>
  </si>
  <si>
    <t>Bio Medical Science Center</t>
  </si>
  <si>
    <t>Biomedical Sciences Building</t>
  </si>
  <si>
    <t>George Steinbrenner Band Building</t>
  </si>
  <si>
    <t>Parking Services Building</t>
  </si>
  <si>
    <t>Brooks College of Health Addition</t>
  </si>
  <si>
    <t>College of Education &amp; Human Services</t>
  </si>
  <si>
    <t>Hospitality Management</t>
  </si>
  <si>
    <t>Teaching Gymnasium MultiPurpose Center</t>
  </si>
  <si>
    <t xml:space="preserve">Factor= </t>
  </si>
  <si>
    <t>Hough Hall Graduate Studies Building</t>
  </si>
  <si>
    <t>Pathogen Research Facility</t>
  </si>
  <si>
    <t>284A</t>
  </si>
  <si>
    <t>Student Success Center Phase II</t>
  </si>
  <si>
    <t>USF-StP Science/Tech/General Academic</t>
  </si>
  <si>
    <t>College of Nursing &amp; Health Sciences Lab Clinic</t>
  </si>
  <si>
    <t>Academic 7</t>
  </si>
  <si>
    <t>Student Success Center-Phase II</t>
  </si>
  <si>
    <t>Hazardous Waste Expansion</t>
  </si>
  <si>
    <t>Counseling &amp; Wellness Center</t>
  </si>
  <si>
    <t>Dental Clinic</t>
  </si>
  <si>
    <t>Classroom</t>
  </si>
  <si>
    <t>Physical Sciences Phase II</t>
  </si>
  <si>
    <t>Arts Complex II - Performance</t>
  </si>
  <si>
    <t>Partnership III Building</t>
  </si>
  <si>
    <t>Visual and Performing Arts Teaching Facility</t>
  </si>
  <si>
    <t>Patel Center for Global Solutions</t>
  </si>
  <si>
    <t>Davie Campus FAU/UF Joint Use Facility</t>
  </si>
  <si>
    <t>General Classroom Building Phase I</t>
  </si>
  <si>
    <t xml:space="preserve">Offices </t>
  </si>
  <si>
    <t>Science &amp; Technology</t>
  </si>
  <si>
    <t xml:space="preserve">  Instructional Media </t>
  </si>
  <si>
    <t>Physical Science Building Phase II</t>
  </si>
  <si>
    <t>Physical Sciences Building Phase II</t>
  </si>
  <si>
    <t>Science &amp; Humanities Building</t>
  </si>
  <si>
    <t xml:space="preserve">   Research Laboratories</t>
  </si>
  <si>
    <t>Science &amp; Humanities</t>
  </si>
  <si>
    <t>Academic 8</t>
  </si>
  <si>
    <t xml:space="preserve">   Classrooms</t>
  </si>
  <si>
    <t xml:space="preserve">   Teaching Laboratories</t>
  </si>
  <si>
    <t xml:space="preserve">   Study</t>
  </si>
  <si>
    <t xml:space="preserve">   Auditorium/Exhibition</t>
  </si>
  <si>
    <t xml:space="preserve">   Offices</t>
  </si>
  <si>
    <t xml:space="preserve">   Campus Support Services</t>
  </si>
  <si>
    <t>NCF</t>
  </si>
  <si>
    <t>New Academic Center</t>
  </si>
  <si>
    <t xml:space="preserve">   Office/Computer</t>
  </si>
  <si>
    <t xml:space="preserve">   Other</t>
  </si>
  <si>
    <t>Tibbals Learning Center Phase II</t>
  </si>
  <si>
    <t>Aeropropulsion Mechatronics</t>
  </si>
  <si>
    <t xml:space="preserve">   Research labs</t>
  </si>
  <si>
    <t xml:space="preserve">   Instructional Media</t>
  </si>
  <si>
    <t xml:space="preserve">   Support Services</t>
  </si>
  <si>
    <t>Office/Computer</t>
  </si>
  <si>
    <t>Aeropropulsion Mechatronics and Energy Building</t>
  </si>
  <si>
    <t>College of Education Multipurpose Facility</t>
  </si>
  <si>
    <t xml:space="preserve">   Teaching Gymnasium</t>
  </si>
  <si>
    <t>Interdisciplinary Science Teaching &amp; Research Fac</t>
  </si>
  <si>
    <t>Harn Museum Asian Art Wing</t>
  </si>
  <si>
    <t>Innovation Hub</t>
  </si>
  <si>
    <t xml:space="preserve">   Research Labs</t>
  </si>
  <si>
    <t>IFAS Professional Development</t>
  </si>
  <si>
    <t>School of International &amp; Public Affairs</t>
  </si>
  <si>
    <t>Research &amp; Academic Center @ Lake Nona</t>
  </si>
  <si>
    <t>Institute on Aging Clinical Translational Research</t>
  </si>
  <si>
    <t>Chemical Engineering Building Addition</t>
  </si>
  <si>
    <t>Morgridge International Reading Center</t>
  </si>
  <si>
    <t>Support Services</t>
  </si>
  <si>
    <t>Multi-Purpose Student Center</t>
  </si>
  <si>
    <t>USFSP</t>
  </si>
  <si>
    <t>Health/Wellness/Counseling Center</t>
  </si>
  <si>
    <t>US Century Bank Arena Expansion</t>
  </si>
  <si>
    <t xml:space="preserve">   Other Assignable</t>
  </si>
  <si>
    <t>Disability Resource Center</t>
  </si>
  <si>
    <t>Cellulosic Ethanol Plant</t>
  </si>
  <si>
    <t>Health &amp; Wellness Center</t>
  </si>
  <si>
    <t>CM at Risk</t>
  </si>
  <si>
    <t>College of Business Education Center</t>
  </si>
  <si>
    <t>*Bid costs collected up until 2011. Beginning in 2012 actual costs collected upon completion.</t>
  </si>
  <si>
    <t xml:space="preserve">(a)  </t>
  </si>
  <si>
    <t xml:space="preserve"> (a)   Actual cost experience has been adjusted for changes in construction by applying the Engineering News Record Index for </t>
  </si>
  <si>
    <t>Bid date prior</t>
  </si>
  <si>
    <t xml:space="preserve">to 2012. </t>
  </si>
  <si>
    <t>Academic Health Center 4</t>
  </si>
  <si>
    <t xml:space="preserve">   Teaching Labs</t>
  </si>
  <si>
    <t xml:space="preserve">   Stud. Acad. Suppt.</t>
  </si>
  <si>
    <t xml:space="preserve">Johnston Annex/Honors Scholars Fellows House </t>
  </si>
  <si>
    <t>Institute on Aging/Clinical Translational Research Building</t>
  </si>
  <si>
    <t>East Campus Data Center</t>
  </si>
  <si>
    <t>Johnston Annex/Honors Scholars Fellows House</t>
  </si>
  <si>
    <t>ENR - Month of CO</t>
  </si>
  <si>
    <t>Institute on Aging/Critical Translational Research Building</t>
  </si>
  <si>
    <t>Certificate of Occupancy date after 2012</t>
  </si>
  <si>
    <t>Classroom Building II - ROTC</t>
  </si>
  <si>
    <t>Management and New Growth Opportunities (MANGO)</t>
  </si>
  <si>
    <t>AHC5 - Academic Health Center 5</t>
  </si>
  <si>
    <t>FPU</t>
  </si>
  <si>
    <t>Innovation, Science and Technology Building</t>
  </si>
  <si>
    <t>Heavener Hall</t>
  </si>
  <si>
    <t>Factor =</t>
  </si>
  <si>
    <t>Factor=</t>
  </si>
  <si>
    <t>**This is no longer a required category as of July 1, 2014, as referenced in the "Space Formula Factors Spreadsheet"</t>
  </si>
  <si>
    <t>Study*</t>
  </si>
  <si>
    <t>Instructional Media*</t>
  </si>
  <si>
    <t>Gymnasium*</t>
  </si>
  <si>
    <t>Campus Support Services*</t>
  </si>
  <si>
    <t>Harrell Medical Education Building</t>
  </si>
  <si>
    <t>Asian Art Study Center</t>
  </si>
  <si>
    <t>Jun - 15</t>
  </si>
  <si>
    <t>Pharmacy Building Phase II</t>
  </si>
  <si>
    <t>Parking Garage 6</t>
  </si>
  <si>
    <t>Chemistry/ Chemical Biology Building</t>
  </si>
  <si>
    <t xml:space="preserve">   Auditorium/Exhibiton</t>
  </si>
  <si>
    <t>Kate Tiedemann College of Business</t>
  </si>
  <si>
    <t>Office Building One - FAU Building 104</t>
  </si>
  <si>
    <t>Global UCF</t>
  </si>
  <si>
    <t>Wayne Densch Center Student Athlete Leadership</t>
  </si>
  <si>
    <t>Student Academic Success Center</t>
  </si>
  <si>
    <t>Campus Support</t>
  </si>
  <si>
    <t>Innovation Hub Research - Emergent Technologies Institute</t>
  </si>
  <si>
    <t>Shelled Building, skews figures</t>
  </si>
  <si>
    <t xml:space="preserve">Research I </t>
  </si>
  <si>
    <t xml:space="preserve">Research </t>
  </si>
  <si>
    <t xml:space="preserve">Office </t>
  </si>
  <si>
    <t xml:space="preserve">Construction Cost </t>
  </si>
  <si>
    <t>Recreation Center Expansion</t>
  </si>
  <si>
    <t>Other Assignable</t>
  </si>
  <si>
    <t>FAMU Student Services Building Renovation &amp; Addition</t>
  </si>
  <si>
    <t>Skinner Jones Hall (N&amp;S)</t>
  </si>
  <si>
    <t>Innovation Hub Phase 2</t>
  </si>
  <si>
    <t>Office</t>
  </si>
  <si>
    <t>Heiser Natural Sciences Complex Addition</t>
  </si>
  <si>
    <t>Other Assignable (Gym)</t>
  </si>
  <si>
    <t xml:space="preserve">Jim Moran School of Entrepreneurship/Jim Moran Institute </t>
  </si>
  <si>
    <t xml:space="preserve">IFAS Bee Unit Facility </t>
  </si>
  <si>
    <t>Jan-18</t>
  </si>
  <si>
    <t xml:space="preserve">Office/Computer </t>
  </si>
  <si>
    <t xml:space="preserve">Universtiy Park Center </t>
  </si>
  <si>
    <t>Completion Date</t>
  </si>
  <si>
    <t>University Park Center</t>
  </si>
  <si>
    <t xml:space="preserve">Trevor Colbourn Hall Colbourn Hall </t>
  </si>
  <si>
    <t xml:space="preserve">Schmidt Family Complex for Academic and Athletic Excellence </t>
  </si>
  <si>
    <t xml:space="preserve">Earth, Ocean &amp; Atmospheric Science Building (EOAS) </t>
  </si>
  <si>
    <t>Dec-2019</t>
  </si>
  <si>
    <t>Research Lab</t>
  </si>
  <si>
    <t xml:space="preserve">Technology Services Building Renovation </t>
  </si>
  <si>
    <t>April-2019</t>
  </si>
  <si>
    <t xml:space="preserve">Other/Assignable </t>
  </si>
  <si>
    <t xml:space="preserve">Dr. Phillips Academic Commons </t>
  </si>
  <si>
    <t>CREOL Expansion</t>
  </si>
  <si>
    <t>Sept.-19</t>
  </si>
  <si>
    <t xml:space="preserve">Downtown Parking Garage </t>
  </si>
  <si>
    <t xml:space="preserve">Campus Support Services </t>
  </si>
  <si>
    <t xml:space="preserve">Downtown Energy Plant </t>
  </si>
  <si>
    <t>Oct. 2019</t>
  </si>
  <si>
    <t>UCF Communication and Media Building Renovation</t>
  </si>
  <si>
    <t>Institute of Black Culture &amp; Institute of Hispanic Latino Culture Facility</t>
  </si>
  <si>
    <t>Office Computer</t>
  </si>
  <si>
    <t>Laboratory Sciences Annex Phase I, II, and III</t>
  </si>
  <si>
    <t xml:space="preserve">FAU </t>
  </si>
  <si>
    <t>Earth, Ocean &amp; Atmospheric Science Building (EOAS)</t>
  </si>
  <si>
    <t>SUS Construction Cost Database report pursuant to section 1013.64(6)(d)1, F.S.</t>
  </si>
  <si>
    <t>John C. Hitt Library Renovation Phase 1A</t>
  </si>
  <si>
    <t xml:space="preserve">Auditorium/Exhibition </t>
  </si>
  <si>
    <t>**This is no longer a valid category as of July 1, 2014, as referenced in the "Space Formula Factors Spreadsheet"</t>
  </si>
  <si>
    <r>
      <t xml:space="preserve">  </t>
    </r>
    <r>
      <rPr>
        <sz val="9"/>
        <rFont val="Arial"/>
        <family val="2"/>
      </rPr>
      <t>Office/Computer</t>
    </r>
  </si>
  <si>
    <r>
      <t xml:space="preserve">   </t>
    </r>
    <r>
      <rPr>
        <sz val="9"/>
        <rFont val="Arial"/>
        <family val="2"/>
      </rPr>
      <t>Study</t>
    </r>
  </si>
  <si>
    <r>
      <t xml:space="preserve">   </t>
    </r>
    <r>
      <rPr>
        <sz val="9"/>
        <rFont val="Arial"/>
        <family val="2"/>
      </rPr>
      <t>Auditorium/Exhibition</t>
    </r>
  </si>
  <si>
    <r>
      <t xml:space="preserve">   </t>
    </r>
    <r>
      <rPr>
        <sz val="9"/>
        <rFont val="Arial"/>
        <family val="2"/>
      </rPr>
      <t>Other Assignable</t>
    </r>
  </si>
  <si>
    <r>
      <t xml:space="preserve">  </t>
    </r>
    <r>
      <rPr>
        <sz val="9"/>
        <rFont val="Arial"/>
        <family val="2"/>
      </rPr>
      <t>Study</t>
    </r>
  </si>
  <si>
    <r>
      <t xml:space="preserve">  </t>
    </r>
    <r>
      <rPr>
        <sz val="9"/>
        <rFont val="Arial"/>
        <family val="2"/>
      </rPr>
      <t>Auditorium/Exhibition</t>
    </r>
  </si>
  <si>
    <t>FAMU Student Affairs Center for Access and Student Success (CASS)</t>
  </si>
  <si>
    <t>Student Affairs Center for Access and Student Success</t>
  </si>
  <si>
    <t xml:space="preserve"> Classrooms</t>
  </si>
  <si>
    <t xml:space="preserve"> Instructional Media</t>
  </si>
  <si>
    <t xml:space="preserve"> Office/Computer</t>
  </si>
  <si>
    <t xml:space="preserve"> Campus Support Services</t>
  </si>
  <si>
    <t xml:space="preserve"> Other Assignable</t>
  </si>
  <si>
    <t xml:space="preserve">College of Education Center Addition </t>
  </si>
  <si>
    <t>College of Education Center Addition</t>
  </si>
  <si>
    <t>These figures have been adjusted from 2015 submission.</t>
  </si>
  <si>
    <t>(Bay)</t>
  </si>
  <si>
    <t>(Escambia)</t>
  </si>
  <si>
    <t>(Dade)</t>
  </si>
  <si>
    <t>(Broward &amp; Palm Beach)</t>
  </si>
  <si>
    <t>(Lee)</t>
  </si>
  <si>
    <t>(Leon)</t>
  </si>
  <si>
    <t>(Alachua &amp; Duval)</t>
  </si>
  <si>
    <t>(Manatee)</t>
  </si>
  <si>
    <t>(Hillsborough)</t>
  </si>
  <si>
    <t>(Pinellas)</t>
  </si>
  <si>
    <t>(Orange)</t>
  </si>
  <si>
    <t>(Polk)</t>
  </si>
  <si>
    <t>IFAS Blueberry Research Facility</t>
  </si>
  <si>
    <t>FLMNH Special Collection Building</t>
  </si>
  <si>
    <t>Applied Research Center</t>
  </si>
  <si>
    <t>PG-5 Emergency Operations Center Expansion</t>
  </si>
  <si>
    <t>PG-5 Emergency Operation Center Expasion</t>
  </si>
  <si>
    <t>PG-5 Emergency Operation Center Expansion</t>
  </si>
  <si>
    <t>Jupiter STEM Research Facility</t>
  </si>
  <si>
    <t>Integrated Watershed Coastal Studies (AB9)</t>
  </si>
  <si>
    <t xml:space="preserve">   Campus Support</t>
  </si>
  <si>
    <t xml:space="preserve">Data Science and Information Technology </t>
  </si>
  <si>
    <t>University Public Safety</t>
  </si>
  <si>
    <t>Judy Genshaft Honors College</t>
  </si>
  <si>
    <t>Data Science and Information Technology</t>
  </si>
  <si>
    <t>December 2024</t>
  </si>
  <si>
    <t>F</t>
  </si>
  <si>
    <t>Business &amp; Industry</t>
  </si>
  <si>
    <t>School of Business and Industry</t>
  </si>
  <si>
    <t>Science Research facility</t>
  </si>
  <si>
    <t>Art Complet</t>
  </si>
  <si>
    <t>Astronomy Lab</t>
  </si>
  <si>
    <t>Science /Engineering Building</t>
  </si>
  <si>
    <t>Educational Building</t>
  </si>
  <si>
    <t>Veterinary Academic Building V1-200 Anatomy Lab Additon</t>
  </si>
  <si>
    <t xml:space="preserve">       December, 2025.  Regional cost differences are based on 2025 calendar year construction cost indices provided by FDOE.</t>
  </si>
  <si>
    <t>December 31, 2025 Revision of Construction Cost by Zone for New Facilities (a)</t>
  </si>
  <si>
    <t>2025 Construction Cost</t>
  </si>
  <si>
    <t>Based on Projects from January 1, 2003 to December 31, 2025</t>
  </si>
  <si>
    <t>December 31, 2025 - Revision of Project Cost by Zone for New Facilities (a)</t>
  </si>
  <si>
    <t>(Projects Between July 1, 2003 and December 31, 2025)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</si>
  <si>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 xml:space="preserve"> Actual cost experience (2002-2025) has been adjusted for changes in construction cost by applying the revised December 2025 Engineering News-Record index. Only includes projects with 50% or more concentration in an E&amp;G Space Category
*Construction cost estimates for these categories include pre-2003 adjusted data due to the small pool size.</t>
    </r>
  </si>
  <si>
    <t>Whitney Laboratory for Marine Bioscience</t>
  </si>
  <si>
    <t>Research labs</t>
  </si>
  <si>
    <t xml:space="preserve">   Office</t>
  </si>
  <si>
    <t>Whitney Labortory for Marine Bioscience</t>
  </si>
  <si>
    <t>School of International Public Affairs (SIPA) Phanse II</t>
  </si>
  <si>
    <t>School of International Public Affairs (SIPA) Phase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</si>
</sst>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General_)"/>
    <numFmt numFmtId="165" formatCode="0.00_)"/>
    <numFmt numFmtId="166" formatCode="0.00000_)"/>
    <numFmt numFmtId="167" formatCode="&quot;$&quot;#,##0.00"/>
    <numFmt numFmtId="168" formatCode="0.00000"/>
    <numFmt numFmtId="169" formatCode="0_);\(0\)"/>
    <numFmt numFmtId="170" formatCode="#,##0;[Red]#,##0"/>
    <numFmt numFmtId="171" formatCode="0.0000;[Red]0.0000"/>
    <numFmt numFmtId="172" formatCode="[$-409]mmm\-yy;@"/>
    <numFmt numFmtId="173" formatCode="&quot;$&quot;#,##0"/>
  </numFmts>
  <fonts count="27" x14ac:knownFonts="1">
    <font>
      <sz val="8"/>
      <name val="Helv"/>
    </font>
    <font>
      <sz val="10"/>
      <name val="MS Sans Serif"/>
      <family val="2"/>
    </font>
    <font>
      <b/>
      <sz val="8"/>
      <name val="Helv"/>
    </font>
    <font>
      <sz val="8"/>
      <name val="Helv"/>
    </font>
    <font>
      <sz val="10"/>
      <name val="Helv"/>
    </font>
    <font>
      <b/>
      <sz val="10"/>
      <name val="Helv"/>
    </font>
    <font>
      <sz val="10"/>
      <name val="Courier"/>
      <family val="3"/>
    </font>
    <font>
      <sz val="8"/>
      <name val="MS Sans Serif"/>
      <family val="2"/>
    </font>
    <font>
      <sz val="8"/>
      <name val="Helv"/>
    </font>
    <font>
      <sz val="8"/>
      <name val="Courier"/>
      <family val="3"/>
    </font>
    <font>
      <sz val="8"/>
      <name val="Courier"/>
      <family val="3"/>
    </font>
    <font>
      <b/>
      <sz val="10"/>
      <name val="Courier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8.5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Helv"/>
    </font>
  </fonts>
  <fills count="15">
    <fill>
      <patternFill patternType="none"/>
    </fill>
    <fill>
      <patternFill patternType="gray125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164" fontId="0" fillId="0" borderId="0"/>
    <xf numFmtId="8" fontId="1" fillId="0" borderId="0" applyFont="0" applyFill="0" applyBorder="0" applyAlignment="0" applyProtection="0"/>
    <xf numFmtId="37" fontId="6" fillId="0" borderId="0"/>
    <xf numFmtId="9" fontId="1" fillId="0" borderId="0" applyFont="0" applyFill="0" applyBorder="0" applyAlignment="0" applyProtection="0"/>
  </cellStyleXfs>
  <cellXfs count="258">
    <xf numFmtId="164" fontId="0" fillId="0" borderId="0" xfId="0"/>
    <xf numFmtId="165" fontId="0" fillId="0" borderId="0" xfId="0" applyNumberFormat="1"/>
    <xf numFmtId="37" fontId="0" fillId="0" borderId="0" xfId="0" applyNumberFormat="1"/>
    <xf numFmtId="164" fontId="3" fillId="0" borderId="0" xfId="0" applyFont="1" applyAlignment="1">
      <alignment horizontal="centerContinuous"/>
    </xf>
    <xf numFmtId="165" fontId="5" fillId="0" borderId="0" xfId="0" quotePrefix="1" applyNumberFormat="1" applyFont="1" applyAlignment="1">
      <alignment horizontal="left"/>
    </xf>
    <xf numFmtId="167" fontId="0" fillId="0" borderId="0" xfId="0" applyNumberFormat="1"/>
    <xf numFmtId="37" fontId="6" fillId="0" borderId="0" xfId="2"/>
    <xf numFmtId="37" fontId="7" fillId="0" borderId="0" xfId="2" applyFont="1"/>
    <xf numFmtId="10" fontId="6" fillId="0" borderId="0" xfId="2" applyNumberFormat="1"/>
    <xf numFmtId="164" fontId="0" fillId="2" borderId="0" xfId="0" applyFill="1"/>
    <xf numFmtId="37" fontId="6" fillId="3" borderId="0" xfId="2" applyFill="1"/>
    <xf numFmtId="164" fontId="8" fillId="0" borderId="0" xfId="0" applyFont="1"/>
    <xf numFmtId="39" fontId="6" fillId="0" borderId="0" xfId="2" applyNumberFormat="1"/>
    <xf numFmtId="10" fontId="0" fillId="0" borderId="0" xfId="0" applyNumberFormat="1"/>
    <xf numFmtId="37" fontId="9" fillId="0" borderId="0" xfId="2" applyFont="1"/>
    <xf numFmtId="164" fontId="2" fillId="0" borderId="0" xfId="0" applyFont="1"/>
    <xf numFmtId="37" fontId="10" fillId="0" borderId="0" xfId="2" applyFont="1"/>
    <xf numFmtId="164" fontId="0" fillId="7" borderId="0" xfId="0" applyFill="1"/>
    <xf numFmtId="164" fontId="2" fillId="8" borderId="0" xfId="0" applyFont="1" applyFill="1"/>
    <xf numFmtId="164" fontId="0" fillId="8" borderId="0" xfId="0" applyFill="1"/>
    <xf numFmtId="37" fontId="6" fillId="8" borderId="0" xfId="2" applyFill="1"/>
    <xf numFmtId="0" fontId="12" fillId="0" borderId="0" xfId="0" applyNumberFormat="1" applyFont="1" applyAlignment="1">
      <alignment horizontal="centerContinuous"/>
    </xf>
    <xf numFmtId="165" fontId="13" fillId="0" borderId="0" xfId="0" applyNumberFormat="1" applyFont="1" applyAlignment="1">
      <alignment horizontal="centerContinuous"/>
    </xf>
    <xf numFmtId="164" fontId="13" fillId="0" borderId="0" xfId="0" applyFont="1"/>
    <xf numFmtId="165" fontId="12" fillId="0" borderId="0" xfId="0" applyNumberFormat="1" applyFont="1" applyAlignment="1">
      <alignment horizontal="centerContinuous"/>
    </xf>
    <xf numFmtId="165" fontId="13" fillId="0" borderId="0" xfId="0" applyNumberFormat="1" applyFont="1" applyAlignment="1">
      <alignment horizontal="left"/>
    </xf>
    <xf numFmtId="165" fontId="13" fillId="0" borderId="0" xfId="0" applyNumberFormat="1" applyFont="1"/>
    <xf numFmtId="164" fontId="13" fillId="0" borderId="1" xfId="0" applyFont="1" applyBorder="1"/>
    <xf numFmtId="165" fontId="12" fillId="0" borderId="2" xfId="0" applyNumberFormat="1" applyFont="1" applyBorder="1"/>
    <xf numFmtId="165" fontId="12" fillId="0" borderId="2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left"/>
    </xf>
    <xf numFmtId="165" fontId="12" fillId="0" borderId="0" xfId="0" quotePrefix="1" applyNumberFormat="1" applyFont="1" applyAlignment="1">
      <alignment horizontal="left"/>
    </xf>
    <xf numFmtId="165" fontId="15" fillId="0" borderId="0" xfId="0" applyNumberFormat="1" applyFont="1"/>
    <xf numFmtId="164" fontId="17" fillId="0" borderId="0" xfId="0" applyFont="1"/>
    <xf numFmtId="165" fontId="19" fillId="0" borderId="0" xfId="0" applyNumberFormat="1" applyFont="1" applyAlignment="1">
      <alignment horizontal="centerContinuous"/>
    </xf>
    <xf numFmtId="164" fontId="19" fillId="0" borderId="0" xfId="0" applyFont="1"/>
    <xf numFmtId="165" fontId="19" fillId="0" borderId="0" xfId="0" applyNumberFormat="1" applyFont="1" applyAlignment="1">
      <alignment horizontal="left"/>
    </xf>
    <xf numFmtId="165" fontId="19" fillId="0" borderId="0" xfId="0" applyNumberFormat="1" applyFont="1"/>
    <xf numFmtId="165" fontId="20" fillId="0" borderId="0" xfId="0" applyNumberFormat="1" applyFont="1"/>
    <xf numFmtId="164" fontId="19" fillId="0" borderId="1" xfId="0" applyFont="1" applyBorder="1"/>
    <xf numFmtId="7" fontId="19" fillId="0" borderId="0" xfId="0" applyNumberFormat="1" applyFont="1"/>
    <xf numFmtId="7" fontId="19" fillId="0" borderId="0" xfId="0" applyNumberFormat="1" applyFont="1" applyAlignment="1">
      <alignment horizontal="center"/>
    </xf>
    <xf numFmtId="164" fontId="19" fillId="0" borderId="0" xfId="0" applyFont="1" applyAlignment="1">
      <alignment horizontal="centerContinuous"/>
    </xf>
    <xf numFmtId="164" fontId="12" fillId="0" borderId="0" xfId="0" applyFont="1" applyAlignment="1">
      <alignment horizontal="centerContinuous"/>
    </xf>
    <xf numFmtId="164" fontId="12" fillId="0" borderId="2" xfId="0" applyFont="1" applyBorder="1" applyAlignment="1">
      <alignment horizontal="center"/>
    </xf>
    <xf numFmtId="164" fontId="12" fillId="0" borderId="2" xfId="0" applyFont="1" applyBorder="1"/>
    <xf numFmtId="164" fontId="12" fillId="0" borderId="4" xfId="0" applyFont="1" applyBorder="1"/>
    <xf numFmtId="164" fontId="12" fillId="0" borderId="4" xfId="0" applyFont="1" applyBorder="1" applyAlignment="1">
      <alignment horizontal="center"/>
    </xf>
    <xf numFmtId="164" fontId="19" fillId="0" borderId="0" xfId="0" applyFont="1" applyAlignment="1">
      <alignment horizontal="left"/>
    </xf>
    <xf numFmtId="164" fontId="19" fillId="4" borderId="0" xfId="0" applyFont="1" applyFill="1" applyAlignment="1">
      <alignment horizontal="left"/>
    </xf>
    <xf numFmtId="164" fontId="19" fillId="4" borderId="0" xfId="0" applyFont="1" applyFill="1"/>
    <xf numFmtId="164" fontId="12" fillId="0" borderId="0" xfId="0" applyFont="1"/>
    <xf numFmtId="164" fontId="20" fillId="0" borderId="0" xfId="0" applyFont="1"/>
    <xf numFmtId="173" fontId="19" fillId="0" borderId="0" xfId="0" applyNumberFormat="1" applyFont="1" applyAlignment="1">
      <alignment horizontal="center"/>
    </xf>
    <xf numFmtId="5" fontId="19" fillId="4" borderId="0" xfId="0" applyNumberFormat="1" applyFont="1" applyFill="1" applyAlignment="1">
      <alignment horizontal="center"/>
    </xf>
    <xf numFmtId="7" fontId="19" fillId="4" borderId="0" xfId="0" applyNumberFormat="1" applyFont="1" applyFill="1" applyAlignment="1">
      <alignment horizontal="center"/>
    </xf>
    <xf numFmtId="164" fontId="13" fillId="0" borderId="0" xfId="0" applyFont="1" applyAlignment="1">
      <alignment horizontal="centerContinuous"/>
    </xf>
    <xf numFmtId="164" fontId="15" fillId="0" borderId="0" xfId="0" applyFont="1" applyAlignment="1">
      <alignment horizontal="centerContinuous"/>
    </xf>
    <xf numFmtId="164" fontId="15" fillId="0" borderId="2" xfId="0" applyFont="1" applyBorder="1"/>
    <xf numFmtId="164" fontId="15" fillId="0" borderId="2" xfId="0" applyFont="1" applyBorder="1" applyAlignment="1">
      <alignment horizontal="center"/>
    </xf>
    <xf numFmtId="164" fontId="15" fillId="0" borderId="0" xfId="0" applyFont="1" applyAlignment="1">
      <alignment horizontal="center"/>
    </xf>
    <xf numFmtId="164" fontId="15" fillId="0" borderId="0" xfId="0" applyFont="1"/>
    <xf numFmtId="164" fontId="15" fillId="0" borderId="0" xfId="0" quotePrefix="1" applyFont="1" applyAlignment="1">
      <alignment horizontal="center"/>
    </xf>
    <xf numFmtId="164" fontId="15" fillId="0" borderId="4" xfId="0" applyFont="1" applyBorder="1" applyAlignment="1">
      <alignment horizontal="center"/>
    </xf>
    <xf numFmtId="164" fontId="15" fillId="0" borderId="4" xfId="0" applyFont="1" applyBorder="1"/>
    <xf numFmtId="164" fontId="15" fillId="0" borderId="4" xfId="0" applyFont="1" applyBorder="1" applyAlignment="1">
      <alignment horizontal="center" wrapText="1"/>
    </xf>
    <xf numFmtId="164" fontId="15" fillId="0" borderId="0" xfId="0" applyFont="1" applyAlignment="1">
      <alignment horizontal="left"/>
    </xf>
    <xf numFmtId="164" fontId="22" fillId="0" borderId="0" xfId="0" applyFont="1" applyAlignment="1">
      <alignment horizontal="left"/>
    </xf>
    <xf numFmtId="164" fontId="13" fillId="0" borderId="0" xfId="0" applyFont="1" applyAlignment="1">
      <alignment horizontal="left"/>
    </xf>
    <xf numFmtId="2" fontId="13" fillId="0" borderId="0" xfId="0" applyNumberFormat="1" applyFont="1"/>
    <xf numFmtId="164" fontId="13" fillId="0" borderId="0" xfId="0" quotePrefix="1" applyFont="1" applyAlignment="1">
      <alignment horizontal="center"/>
    </xf>
    <xf numFmtId="4" fontId="13" fillId="0" borderId="0" xfId="0" applyNumberFormat="1" applyFont="1"/>
    <xf numFmtId="168" fontId="13" fillId="0" borderId="0" xfId="0" applyNumberFormat="1" applyFont="1"/>
    <xf numFmtId="3" fontId="13" fillId="0" borderId="0" xfId="0" applyNumberFormat="1" applyFont="1"/>
    <xf numFmtId="164" fontId="15" fillId="4" borderId="0" xfId="0" applyFont="1" applyFill="1" applyAlignment="1">
      <alignment horizontal="center"/>
    </xf>
    <xf numFmtId="164" fontId="13" fillId="4" borderId="0" xfId="0" applyFont="1" applyFill="1" applyAlignment="1">
      <alignment horizontal="left"/>
    </xf>
    <xf numFmtId="164" fontId="13" fillId="4" borderId="0" xfId="0" applyFont="1" applyFill="1"/>
    <xf numFmtId="2" fontId="13" fillId="4" borderId="0" xfId="0" applyNumberFormat="1" applyFont="1" applyFill="1"/>
    <xf numFmtId="17" fontId="13" fillId="4" borderId="0" xfId="0" quotePrefix="1" applyNumberFormat="1" applyFont="1" applyFill="1" applyAlignment="1">
      <alignment horizontal="center"/>
    </xf>
    <xf numFmtId="4" fontId="13" fillId="4" borderId="0" xfId="0" applyNumberFormat="1" applyFont="1" applyFill="1"/>
    <xf numFmtId="168" fontId="13" fillId="4" borderId="0" xfId="0" applyNumberFormat="1" applyFont="1" applyFill="1"/>
    <xf numFmtId="3" fontId="13" fillId="4" borderId="0" xfId="0" applyNumberFormat="1" applyFont="1" applyFill="1"/>
    <xf numFmtId="17" fontId="13" fillId="0" borderId="0" xfId="0" quotePrefix="1" applyNumberFormat="1" applyFont="1" applyAlignment="1">
      <alignment horizontal="center"/>
    </xf>
    <xf numFmtId="37" fontId="13" fillId="0" borderId="0" xfId="2" applyFont="1"/>
    <xf numFmtId="3" fontId="13" fillId="0" borderId="0" xfId="2" applyNumberFormat="1" applyFont="1"/>
    <xf numFmtId="17" fontId="13" fillId="0" borderId="0" xfId="2" quotePrefix="1" applyNumberFormat="1" applyFont="1" applyAlignment="1">
      <alignment horizontal="center"/>
    </xf>
    <xf numFmtId="4" fontId="13" fillId="9" borderId="0" xfId="0" applyNumberFormat="1" applyFont="1" applyFill="1"/>
    <xf numFmtId="37" fontId="13" fillId="0" borderId="0" xfId="2" applyFont="1" applyAlignment="1">
      <alignment horizontal="left"/>
    </xf>
    <xf numFmtId="17" fontId="13" fillId="0" borderId="0" xfId="2" applyNumberFormat="1" applyFont="1" applyAlignment="1">
      <alignment horizontal="center"/>
    </xf>
    <xf numFmtId="37" fontId="15" fillId="0" borderId="0" xfId="2" applyFont="1" applyAlignment="1">
      <alignment horizontal="center"/>
    </xf>
    <xf numFmtId="0" fontId="15" fillId="0" borderId="0" xfId="2" applyNumberFormat="1" applyFont="1" applyAlignment="1">
      <alignment horizontal="center"/>
    </xf>
    <xf numFmtId="164" fontId="13" fillId="0" borderId="0" xfId="0" applyFont="1" applyAlignment="1">
      <alignment horizontal="center"/>
    </xf>
    <xf numFmtId="172" fontId="13" fillId="0" borderId="0" xfId="2" applyNumberFormat="1" applyFont="1" applyAlignment="1">
      <alignment horizontal="center" vertical="center"/>
    </xf>
    <xf numFmtId="166" fontId="15" fillId="0" borderId="0" xfId="0" applyNumberFormat="1" applyFont="1"/>
    <xf numFmtId="3" fontId="15" fillId="0" borderId="5" xfId="0" applyNumberFormat="1" applyFont="1" applyBorder="1"/>
    <xf numFmtId="166" fontId="13" fillId="0" borderId="0" xfId="0" applyNumberFormat="1" applyFont="1"/>
    <xf numFmtId="37" fontId="13" fillId="0" borderId="0" xfId="0" applyNumberFormat="1" applyFont="1"/>
    <xf numFmtId="7" fontId="15" fillId="0" borderId="0" xfId="0" applyNumberFormat="1" applyFont="1"/>
    <xf numFmtId="164" fontId="15" fillId="8" borderId="0" xfId="0" applyFont="1" applyFill="1" applyAlignment="1">
      <alignment horizontal="center"/>
    </xf>
    <xf numFmtId="164" fontId="13" fillId="8" borderId="0" xfId="0" applyFont="1" applyFill="1" applyAlignment="1">
      <alignment horizontal="center"/>
    </xf>
    <xf numFmtId="164" fontId="13" fillId="8" borderId="0" xfId="0" applyFont="1" applyFill="1"/>
    <xf numFmtId="2" fontId="13" fillId="8" borderId="0" xfId="0" applyNumberFormat="1" applyFont="1" applyFill="1"/>
    <xf numFmtId="17" fontId="13" fillId="8" borderId="0" xfId="2" applyNumberFormat="1" applyFont="1" applyFill="1" applyAlignment="1">
      <alignment horizontal="center"/>
    </xf>
    <xf numFmtId="4" fontId="13" fillId="8" borderId="0" xfId="0" applyNumberFormat="1" applyFont="1" applyFill="1"/>
    <xf numFmtId="168" fontId="13" fillId="8" borderId="0" xfId="0" applyNumberFormat="1" applyFont="1" applyFill="1"/>
    <xf numFmtId="3" fontId="13" fillId="8" borderId="0" xfId="2" applyNumberFormat="1" applyFont="1" applyFill="1"/>
    <xf numFmtId="3" fontId="13" fillId="8" borderId="0" xfId="0" applyNumberFormat="1" applyFont="1" applyFill="1"/>
    <xf numFmtId="4" fontId="15" fillId="0" borderId="0" xfId="0" applyNumberFormat="1" applyFont="1"/>
    <xf numFmtId="37" fontId="15" fillId="0" borderId="0" xfId="0" applyNumberFormat="1" applyFont="1"/>
    <xf numFmtId="170" fontId="13" fillId="0" borderId="0" xfId="2" applyNumberFormat="1" applyFont="1"/>
    <xf numFmtId="172" fontId="13" fillId="0" borderId="0" xfId="2" applyNumberFormat="1" applyFont="1" applyAlignment="1">
      <alignment horizontal="center"/>
    </xf>
    <xf numFmtId="5" fontId="13" fillId="0" borderId="0" xfId="2" applyNumberFormat="1" applyFont="1"/>
    <xf numFmtId="168" fontId="13" fillId="0" borderId="0" xfId="0" applyNumberFormat="1" applyFont="1" applyAlignment="1">
      <alignment horizontal="right"/>
    </xf>
    <xf numFmtId="0" fontId="13" fillId="0" borderId="0" xfId="2" applyNumberFormat="1" applyFont="1" applyAlignment="1">
      <alignment horizontal="left"/>
    </xf>
    <xf numFmtId="17" fontId="13" fillId="0" borderId="0" xfId="0" applyNumberFormat="1" applyFont="1" applyAlignment="1">
      <alignment horizontal="center"/>
    </xf>
    <xf numFmtId="165" fontId="14" fillId="0" borderId="0" xfId="0" applyNumberFormat="1" applyFont="1"/>
    <xf numFmtId="164" fontId="22" fillId="7" borderId="0" xfId="0" applyFont="1" applyFill="1" applyAlignment="1">
      <alignment horizontal="left"/>
    </xf>
    <xf numFmtId="164" fontId="15" fillId="7" borderId="0" xfId="0" applyFont="1" applyFill="1"/>
    <xf numFmtId="164" fontId="13" fillId="7" borderId="0" xfId="0" applyFont="1" applyFill="1"/>
    <xf numFmtId="165" fontId="15" fillId="7" borderId="0" xfId="0" applyNumberFormat="1" applyFont="1" applyFill="1"/>
    <xf numFmtId="164" fontId="13" fillId="7" borderId="0" xfId="0" applyFont="1" applyFill="1" applyAlignment="1">
      <alignment horizontal="center"/>
    </xf>
    <xf numFmtId="165" fontId="13" fillId="7" borderId="0" xfId="0" applyNumberFormat="1" applyFont="1" applyFill="1"/>
    <xf numFmtId="166" fontId="13" fillId="7" borderId="0" xfId="0" applyNumberFormat="1" applyFont="1" applyFill="1"/>
    <xf numFmtId="37" fontId="13" fillId="7" borderId="0" xfId="0" applyNumberFormat="1" applyFont="1" applyFill="1"/>
    <xf numFmtId="166" fontId="13" fillId="4" borderId="0" xfId="0" applyNumberFormat="1" applyFont="1" applyFill="1"/>
    <xf numFmtId="164" fontId="15" fillId="7" borderId="0" xfId="0" applyFont="1" applyFill="1" applyAlignment="1">
      <alignment horizontal="left"/>
    </xf>
    <xf numFmtId="166" fontId="15" fillId="7" borderId="0" xfId="0" applyNumberFormat="1" applyFont="1" applyFill="1"/>
    <xf numFmtId="7" fontId="15" fillId="7" borderId="0" xfId="0" applyNumberFormat="1" applyFont="1" applyFill="1"/>
    <xf numFmtId="171" fontId="13" fillId="0" borderId="0" xfId="0" applyNumberFormat="1" applyFont="1"/>
    <xf numFmtId="171" fontId="13" fillId="4" borderId="0" xfId="0" applyNumberFormat="1" applyFont="1" applyFill="1"/>
    <xf numFmtId="37" fontId="13" fillId="8" borderId="0" xfId="2" applyFont="1" applyFill="1" applyAlignment="1">
      <alignment horizontal="left"/>
    </xf>
    <xf numFmtId="17" fontId="13" fillId="8" borderId="0" xfId="0" applyNumberFormat="1" applyFont="1" applyFill="1" applyAlignment="1">
      <alignment horizontal="center"/>
    </xf>
    <xf numFmtId="171" fontId="13" fillId="8" borderId="0" xfId="0" applyNumberFormat="1" applyFont="1" applyFill="1"/>
    <xf numFmtId="164" fontId="13" fillId="4" borderId="0" xfId="0" quotePrefix="1" applyFont="1" applyFill="1" applyAlignment="1">
      <alignment horizontal="center"/>
    </xf>
    <xf numFmtId="167" fontId="13" fillId="0" borderId="0" xfId="0" applyNumberFormat="1" applyFont="1"/>
    <xf numFmtId="37" fontId="19" fillId="0" borderId="0" xfId="2" applyFont="1"/>
    <xf numFmtId="37" fontId="19" fillId="8" borderId="0" xfId="2" applyFont="1" applyFill="1"/>
    <xf numFmtId="10" fontId="19" fillId="0" borderId="0" xfId="2" applyNumberFormat="1" applyFont="1"/>
    <xf numFmtId="7" fontId="12" fillId="10" borderId="0" xfId="0" applyNumberFormat="1" applyFont="1" applyFill="1" applyAlignment="1">
      <alignment horizontal="center"/>
    </xf>
    <xf numFmtId="164" fontId="19" fillId="10" borderId="0" xfId="0" applyFont="1" applyFill="1"/>
    <xf numFmtId="7" fontId="24" fillId="10" borderId="0" xfId="0" applyNumberFormat="1" applyFont="1" applyFill="1" applyAlignment="1">
      <alignment horizontal="left"/>
    </xf>
    <xf numFmtId="167" fontId="24" fillId="10" borderId="0" xfId="0" applyNumberFormat="1" applyFont="1" applyFill="1" applyAlignment="1">
      <alignment horizontal="left"/>
    </xf>
    <xf numFmtId="164" fontId="4" fillId="0" borderId="0" xfId="0" applyFont="1"/>
    <xf numFmtId="37" fontId="17" fillId="0" borderId="0" xfId="2" applyFont="1"/>
    <xf numFmtId="37" fontId="16" fillId="0" borderId="0" xfId="2" applyFont="1" applyAlignment="1">
      <alignment horizontal="center"/>
    </xf>
    <xf numFmtId="37" fontId="17" fillId="0" borderId="0" xfId="2" applyFont="1" applyAlignment="1">
      <alignment horizontal="left"/>
    </xf>
    <xf numFmtId="5" fontId="17" fillId="0" borderId="0" xfId="2" applyNumberFormat="1" applyFont="1"/>
    <xf numFmtId="37" fontId="16" fillId="0" borderId="0" xfId="2" applyFont="1"/>
    <xf numFmtId="10" fontId="17" fillId="0" borderId="0" xfId="2" applyNumberFormat="1" applyFont="1"/>
    <xf numFmtId="37" fontId="16" fillId="0" borderId="0" xfId="2" applyFont="1" applyAlignment="1">
      <alignment horizontal="left"/>
    </xf>
    <xf numFmtId="37" fontId="17" fillId="0" borderId="0" xfId="2" quotePrefix="1" applyFont="1" applyAlignment="1">
      <alignment horizontal="left"/>
    </xf>
    <xf numFmtId="37" fontId="17" fillId="5" borderId="0" xfId="2" applyFont="1" applyFill="1"/>
    <xf numFmtId="10" fontId="17" fillId="5" borderId="0" xfId="2" applyNumberFormat="1" applyFont="1" applyFill="1"/>
    <xf numFmtId="37" fontId="17" fillId="4" borderId="0" xfId="2" applyFont="1" applyFill="1"/>
    <xf numFmtId="10" fontId="17" fillId="4" borderId="0" xfId="2" applyNumberFormat="1" applyFont="1" applyFill="1"/>
    <xf numFmtId="37" fontId="16" fillId="0" borderId="0" xfId="2" quotePrefix="1" applyFont="1" applyAlignment="1">
      <alignment horizontal="left"/>
    </xf>
    <xf numFmtId="0" fontId="16" fillId="0" borderId="0" xfId="2" applyNumberFormat="1" applyFont="1" applyAlignment="1">
      <alignment horizontal="center"/>
    </xf>
    <xf numFmtId="38" fontId="17" fillId="0" borderId="0" xfId="0" applyNumberFormat="1" applyFont="1"/>
    <xf numFmtId="173" fontId="17" fillId="0" borderId="0" xfId="0" applyNumberFormat="1" applyFont="1" applyAlignment="1">
      <alignment wrapText="1"/>
    </xf>
    <xf numFmtId="3" fontId="17" fillId="0" borderId="0" xfId="0" applyNumberFormat="1" applyFont="1"/>
    <xf numFmtId="37" fontId="16" fillId="0" borderId="0" xfId="2" quotePrefix="1" applyFont="1" applyAlignment="1">
      <alignment horizontal="center"/>
    </xf>
    <xf numFmtId="172" fontId="17" fillId="0" borderId="0" xfId="2" applyNumberFormat="1" applyFont="1" applyAlignment="1">
      <alignment horizontal="center"/>
    </xf>
    <xf numFmtId="37" fontId="18" fillId="0" borderId="0" xfId="2" applyFont="1"/>
    <xf numFmtId="37" fontId="17" fillId="11" borderId="0" xfId="2" applyFont="1" applyFill="1"/>
    <xf numFmtId="10" fontId="17" fillId="11" borderId="0" xfId="2" applyNumberFormat="1" applyFont="1" applyFill="1"/>
    <xf numFmtId="37" fontId="17" fillId="0" borderId="0" xfId="2" applyFont="1" applyAlignment="1">
      <alignment horizontal="center"/>
    </xf>
    <xf numFmtId="37" fontId="17" fillId="0" borderId="0" xfId="2" applyFont="1" applyAlignment="1">
      <alignment horizontal="left" vertical="center"/>
    </xf>
    <xf numFmtId="37" fontId="17" fillId="0" borderId="0" xfId="2" applyFont="1" applyAlignment="1">
      <alignment vertical="top"/>
    </xf>
    <xf numFmtId="37" fontId="17" fillId="0" borderId="0" xfId="2" applyFont="1" applyAlignment="1">
      <alignment horizontal="left" vertical="top" indent="1"/>
    </xf>
    <xf numFmtId="37" fontId="16" fillId="8" borderId="0" xfId="2" applyFont="1" applyFill="1" applyAlignment="1">
      <alignment horizontal="center"/>
    </xf>
    <xf numFmtId="37" fontId="17" fillId="8" borderId="0" xfId="2" applyFont="1" applyFill="1" applyAlignment="1">
      <alignment vertical="top"/>
    </xf>
    <xf numFmtId="172" fontId="17" fillId="8" borderId="0" xfId="2" applyNumberFormat="1" applyFont="1" applyFill="1" applyAlignment="1">
      <alignment horizontal="center"/>
    </xf>
    <xf numFmtId="5" fontId="17" fillId="8" borderId="0" xfId="2" applyNumberFormat="1" applyFont="1" applyFill="1"/>
    <xf numFmtId="37" fontId="17" fillId="8" borderId="0" xfId="2" applyFont="1" applyFill="1"/>
    <xf numFmtId="10" fontId="17" fillId="8" borderId="0" xfId="2" applyNumberFormat="1" applyFont="1" applyFill="1"/>
    <xf numFmtId="37" fontId="16" fillId="4" borderId="0" xfId="2" applyFont="1" applyFill="1"/>
    <xf numFmtId="173" fontId="17" fillId="0" borderId="0" xfId="0" applyNumberFormat="1" applyFont="1"/>
    <xf numFmtId="39" fontId="17" fillId="0" borderId="0" xfId="2" applyNumberFormat="1" applyFont="1"/>
    <xf numFmtId="10" fontId="17" fillId="5" borderId="0" xfId="3" applyNumberFormat="1" applyFont="1" applyFill="1"/>
    <xf numFmtId="10" fontId="17" fillId="0" borderId="0" xfId="3" applyNumberFormat="1" applyFont="1" applyFill="1"/>
    <xf numFmtId="10" fontId="17" fillId="11" borderId="0" xfId="3" applyNumberFormat="1" applyFont="1" applyFill="1"/>
    <xf numFmtId="9" fontId="17" fillId="11" borderId="0" xfId="3" applyFont="1" applyFill="1"/>
    <xf numFmtId="6" fontId="17" fillId="0" borderId="0" xfId="1" applyNumberFormat="1" applyFont="1" applyFill="1"/>
    <xf numFmtId="37" fontId="17" fillId="8" borderId="0" xfId="2" applyFont="1" applyFill="1" applyAlignment="1">
      <alignment horizontal="center"/>
    </xf>
    <xf numFmtId="37" fontId="17" fillId="8" borderId="0" xfId="2" applyFont="1" applyFill="1" applyAlignment="1">
      <alignment horizontal="left"/>
    </xf>
    <xf numFmtId="6" fontId="17" fillId="8" borderId="0" xfId="1" applyNumberFormat="1" applyFont="1" applyFill="1"/>
    <xf numFmtId="10" fontId="17" fillId="8" borderId="0" xfId="3" applyNumberFormat="1" applyFont="1" applyFill="1"/>
    <xf numFmtId="37" fontId="17" fillId="0" borderId="0" xfId="2" applyFont="1" applyAlignment="1">
      <alignment horizontal="left" indent="1"/>
    </xf>
    <xf numFmtId="0" fontId="16" fillId="0" borderId="0" xfId="2" quotePrefix="1" applyNumberFormat="1" applyFont="1" applyAlignment="1">
      <alignment horizontal="center"/>
    </xf>
    <xf numFmtId="37" fontId="18" fillId="0" borderId="0" xfId="2" applyFont="1" applyAlignment="1">
      <alignment horizontal="center"/>
    </xf>
    <xf numFmtId="173" fontId="17" fillId="0" borderId="0" xfId="1" applyNumberFormat="1" applyFont="1" applyFill="1" applyBorder="1" applyAlignment="1"/>
    <xf numFmtId="9" fontId="17" fillId="0" borderId="0" xfId="3" applyFont="1" applyFill="1"/>
    <xf numFmtId="37" fontId="17" fillId="6" borderId="0" xfId="2" applyFont="1" applyFill="1"/>
    <xf numFmtId="10" fontId="17" fillId="6" borderId="0" xfId="2" applyNumberFormat="1" applyFont="1" applyFill="1"/>
    <xf numFmtId="5" fontId="16" fillId="0" borderId="0" xfId="2" applyNumberFormat="1" applyFont="1" applyAlignment="1">
      <alignment horizontal="center"/>
    </xf>
    <xf numFmtId="5" fontId="16" fillId="0" borderId="0" xfId="2" applyNumberFormat="1" applyFont="1"/>
    <xf numFmtId="172" fontId="17" fillId="0" borderId="0" xfId="2" applyNumberFormat="1" applyFont="1" applyAlignment="1">
      <alignment horizontal="center" vertical="center"/>
    </xf>
    <xf numFmtId="37" fontId="17" fillId="8" borderId="0" xfId="2" applyFont="1" applyFill="1" applyAlignment="1">
      <alignment horizontal="left" indent="1"/>
    </xf>
    <xf numFmtId="37" fontId="16" fillId="8" borderId="0" xfId="2" applyFont="1" applyFill="1"/>
    <xf numFmtId="37" fontId="16" fillId="0" borderId="0" xfId="2" applyFont="1" applyAlignment="1">
      <alignment horizontal="left" indent="1"/>
    </xf>
    <xf numFmtId="172" fontId="17" fillId="0" borderId="0" xfId="2" quotePrefix="1" applyNumberFormat="1" applyFont="1" applyAlignment="1">
      <alignment horizontal="center"/>
    </xf>
    <xf numFmtId="169" fontId="16" fillId="0" borderId="0" xfId="2" applyNumberFormat="1" applyFont="1" applyAlignment="1">
      <alignment horizontal="center"/>
    </xf>
    <xf numFmtId="169" fontId="17" fillId="0" borderId="0" xfId="2" applyNumberFormat="1" applyFont="1"/>
    <xf numFmtId="167" fontId="19" fillId="0" borderId="0" xfId="0" applyNumberFormat="1" applyFont="1" applyAlignment="1">
      <alignment horizontal="center"/>
    </xf>
    <xf numFmtId="165" fontId="19" fillId="10" borderId="0" xfId="0" applyNumberFormat="1" applyFont="1" applyFill="1" applyAlignment="1">
      <alignment horizontal="left"/>
    </xf>
    <xf numFmtId="167" fontId="25" fillId="10" borderId="0" xfId="0" applyNumberFormat="1" applyFont="1" applyFill="1" applyAlignment="1">
      <alignment horizontal="center"/>
    </xf>
    <xf numFmtId="167" fontId="19" fillId="10" borderId="0" xfId="0" applyNumberFormat="1" applyFont="1" applyFill="1" applyAlignment="1">
      <alignment horizontal="center"/>
    </xf>
    <xf numFmtId="37" fontId="19" fillId="0" borderId="0" xfId="2" applyFont="1" applyAlignment="1">
      <alignment horizontal="center"/>
    </xf>
    <xf numFmtId="37" fontId="6" fillId="0" borderId="0" xfId="2" applyAlignment="1">
      <alignment horizontal="center"/>
    </xf>
    <xf numFmtId="172" fontId="19" fillId="0" borderId="0" xfId="2" applyNumberFormat="1" applyFont="1" applyAlignment="1">
      <alignment horizontal="center"/>
    </xf>
    <xf numFmtId="172" fontId="18" fillId="0" borderId="0" xfId="2" applyNumberFormat="1" applyFont="1" applyAlignment="1">
      <alignment horizontal="center"/>
    </xf>
    <xf numFmtId="172" fontId="17" fillId="8" borderId="0" xfId="2" quotePrefix="1" applyNumberFormat="1" applyFont="1" applyFill="1" applyAlignment="1">
      <alignment horizontal="center"/>
    </xf>
    <xf numFmtId="172" fontId="6" fillId="0" borderId="0" xfId="2" applyNumberFormat="1" applyAlignment="1">
      <alignment horizontal="center"/>
    </xf>
    <xf numFmtId="37" fontId="19" fillId="0" borderId="0" xfId="2" applyFont="1" applyAlignment="1">
      <alignment horizontal="left"/>
    </xf>
    <xf numFmtId="37" fontId="6" fillId="0" borderId="0" xfId="2" applyAlignment="1">
      <alignment horizontal="left"/>
    </xf>
    <xf numFmtId="37" fontId="17" fillId="12" borderId="0" xfId="2" applyFont="1" applyFill="1"/>
    <xf numFmtId="10" fontId="17" fillId="12" borderId="0" xfId="2" applyNumberFormat="1" applyFont="1" applyFill="1"/>
    <xf numFmtId="37" fontId="16" fillId="13" borderId="0" xfId="2" applyFont="1" applyFill="1"/>
    <xf numFmtId="37" fontId="16" fillId="13" borderId="0" xfId="2" applyFont="1" applyFill="1" applyAlignment="1">
      <alignment horizontal="center"/>
    </xf>
    <xf numFmtId="37" fontId="17" fillId="13" borderId="0" xfId="2" applyFont="1" applyFill="1" applyAlignment="1">
      <alignment horizontal="left"/>
    </xf>
    <xf numFmtId="172" fontId="17" fillId="13" borderId="0" xfId="2" applyNumberFormat="1" applyFont="1" applyFill="1" applyAlignment="1">
      <alignment horizontal="center"/>
    </xf>
    <xf numFmtId="5" fontId="17" fillId="13" borderId="0" xfId="2" applyNumberFormat="1" applyFont="1" applyFill="1"/>
    <xf numFmtId="37" fontId="17" fillId="13" borderId="0" xfId="2" applyFont="1" applyFill="1"/>
    <xf numFmtId="10" fontId="17" fillId="13" borderId="0" xfId="2" applyNumberFormat="1" applyFont="1" applyFill="1"/>
    <xf numFmtId="37" fontId="12" fillId="13" borderId="0" xfId="2" applyFont="1" applyFill="1"/>
    <xf numFmtId="37" fontId="11" fillId="13" borderId="0" xfId="2" applyFont="1" applyFill="1"/>
    <xf numFmtId="37" fontId="6" fillId="13" borderId="0" xfId="2" applyFill="1"/>
    <xf numFmtId="172" fontId="13" fillId="0" borderId="0" xfId="0" applyNumberFormat="1" applyFont="1" applyAlignment="1">
      <alignment horizontal="center"/>
    </xf>
    <xf numFmtId="172" fontId="13" fillId="0" borderId="0" xfId="0" quotePrefix="1" applyNumberFormat="1" applyFont="1" applyAlignment="1">
      <alignment horizontal="center"/>
    </xf>
    <xf numFmtId="37" fontId="16" fillId="14" borderId="0" xfId="2" applyFont="1" applyFill="1" applyAlignment="1">
      <alignment horizontal="center"/>
    </xf>
    <xf numFmtId="37" fontId="16" fillId="14" borderId="0" xfId="2" applyFont="1" applyFill="1"/>
    <xf numFmtId="37" fontId="17" fillId="14" borderId="0" xfId="2" applyFont="1" applyFill="1" applyAlignment="1">
      <alignment horizontal="left"/>
    </xf>
    <xf numFmtId="172" fontId="17" fillId="14" borderId="0" xfId="2" applyNumberFormat="1" applyFont="1" applyFill="1" applyAlignment="1">
      <alignment horizontal="center"/>
    </xf>
    <xf numFmtId="5" fontId="17" fillId="14" borderId="0" xfId="2" applyNumberFormat="1" applyFont="1" applyFill="1"/>
    <xf numFmtId="37" fontId="17" fillId="14" borderId="0" xfId="2" applyFont="1" applyFill="1"/>
    <xf numFmtId="10" fontId="17" fillId="14" borderId="0" xfId="2" applyNumberFormat="1" applyFont="1" applyFill="1"/>
    <xf numFmtId="37" fontId="23" fillId="0" borderId="0" xfId="2" applyFont="1"/>
    <xf numFmtId="37" fontId="17" fillId="14" borderId="0" xfId="2" applyFont="1" applyFill="1" applyAlignment="1">
      <alignment horizontal="center"/>
    </xf>
    <xf numFmtId="164" fontId="26" fillId="0" borderId="0" xfId="0" applyFont="1" applyAlignment="1">
      <alignment horizontal="center" wrapText="1"/>
    </xf>
    <xf numFmtId="164" fontId="12" fillId="0" borderId="0" xfId="0" applyFont="1" applyAlignment="1">
      <alignment wrapText="1"/>
    </xf>
    <xf numFmtId="164" fontId="0" fillId="0" borderId="0" xfId="0" applyAlignment="1">
      <alignment wrapText="1"/>
    </xf>
    <xf numFmtId="164" fontId="19" fillId="0" borderId="0" xfId="0" applyFont="1" applyAlignment="1">
      <alignment horizontal="left" wrapText="1"/>
    </xf>
    <xf numFmtId="164" fontId="19" fillId="0" borderId="0" xfId="0" applyFont="1" applyAlignment="1">
      <alignment horizontal="left"/>
    </xf>
    <xf numFmtId="37" fontId="21" fillId="0" borderId="0" xfId="2" applyFont="1" applyAlignment="1">
      <alignment horizontal="center"/>
    </xf>
    <xf numFmtId="37" fontId="16" fillId="0" borderId="3" xfId="2" applyFont="1" applyBorder="1" applyAlignment="1">
      <alignment horizontal="center" wrapText="1"/>
    </xf>
    <xf numFmtId="37" fontId="17" fillId="0" borderId="1" xfId="2" applyFont="1" applyBorder="1" applyAlignment="1">
      <alignment horizontal="center" wrapText="1"/>
    </xf>
    <xf numFmtId="37" fontId="16" fillId="0" borderId="3" xfId="2" applyFont="1" applyBorder="1" applyAlignment="1">
      <alignment horizontal="center" vertical="center" wrapText="1"/>
    </xf>
    <xf numFmtId="37" fontId="17" fillId="0" borderId="1" xfId="2" applyFont="1" applyBorder="1" applyAlignment="1">
      <alignment horizontal="center" vertical="center" wrapText="1"/>
    </xf>
    <xf numFmtId="37" fontId="17" fillId="0" borderId="1" xfId="2" applyFont="1" applyBorder="1" applyAlignment="1">
      <alignment vertical="center" wrapText="1"/>
    </xf>
    <xf numFmtId="172" fontId="16" fillId="0" borderId="3" xfId="2" applyNumberFormat="1" applyFont="1" applyBorder="1" applyAlignment="1">
      <alignment horizontal="center" vertical="center" wrapText="1"/>
    </xf>
    <xf numFmtId="172" fontId="17" fillId="0" borderId="1" xfId="2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/>
    </xf>
    <xf numFmtId="37" fontId="19" fillId="0" borderId="0" xfId="2" applyFont="1" applyAlignment="1">
      <alignment horizontal="center"/>
    </xf>
    <xf numFmtId="37" fontId="19" fillId="0" borderId="1" xfId="2" applyFont="1" applyBorder="1" applyAlignment="1">
      <alignment horizontal="center"/>
    </xf>
  </cellXfs>
  <cellStyles count="4">
    <cellStyle name="Currency" xfId="1" builtinId="4"/>
    <cellStyle name="Normal" xfId="0" builtinId="0"/>
    <cellStyle name="Normal_SUS COSTBASE 1999" xfId="2" xr:uid="{0B389FEF-B2EE-4A55-AED6-0C840439084F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F1A4-2973-4F45-B5C2-C120777705BC}">
  <sheetPr syncVertical="1" syncRef="A1" transitionEvaluation="1">
    <pageSetUpPr fitToPage="1"/>
  </sheetPr>
  <dimension ref="A1:M41"/>
  <sheetViews>
    <sheetView showGridLines="0" tabSelected="1" zoomScale="90" zoomScaleNormal="90" workbookViewId="0">
      <selection activeCell="F48" sqref="F48"/>
    </sheetView>
  </sheetViews>
  <sheetFormatPr defaultColWidth="11.6640625" defaultRowHeight="10.5" x14ac:dyDescent="0.15"/>
  <cols>
    <col min="1" max="1" width="34.83203125" customWidth="1"/>
    <col min="2" max="3" width="18.83203125" customWidth="1"/>
    <col min="4" max="4" width="23.6640625" customWidth="1"/>
    <col min="5" max="5" width="27.83203125" bestFit="1" customWidth="1"/>
    <col min="6" max="7" width="18.83203125" customWidth="1"/>
    <col min="8" max="9" width="22.83203125" customWidth="1"/>
    <col min="10" max="12" width="18.83203125" customWidth="1"/>
    <col min="13" max="13" width="14.6640625" customWidth="1"/>
  </cols>
  <sheetData>
    <row r="1" spans="1:13" ht="12.75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2.75" x14ac:dyDescent="0.2">
      <c r="A2" s="21" t="s">
        <v>526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12.75" x14ac:dyDescent="0.2">
      <c r="A3" s="21" t="s">
        <v>525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ht="12.75" x14ac:dyDescent="0.2">
      <c r="A4" s="24" t="s">
        <v>760</v>
      </c>
      <c r="B4" s="24"/>
      <c r="C4" s="24"/>
      <c r="D4" s="24"/>
      <c r="E4" s="38"/>
      <c r="F4" s="38"/>
      <c r="G4" s="24"/>
      <c r="H4" s="24"/>
      <c r="I4" s="24"/>
      <c r="J4" s="24"/>
      <c r="K4" s="38"/>
      <c r="L4" s="38"/>
      <c r="M4" s="39"/>
    </row>
    <row r="5" spans="1:13" ht="12.75" x14ac:dyDescent="0.2">
      <c r="A5" s="40"/>
      <c r="B5" s="38"/>
      <c r="C5" s="38"/>
      <c r="D5" s="38"/>
      <c r="E5" s="38"/>
      <c r="F5" s="38"/>
      <c r="G5" s="38"/>
      <c r="H5" s="38"/>
      <c r="I5" s="38"/>
      <c r="J5" s="38"/>
      <c r="K5" s="38"/>
      <c r="L5" s="41"/>
      <c r="M5" s="39"/>
    </row>
    <row r="6" spans="1:13" ht="12.75" x14ac:dyDescent="0.2">
      <c r="A6" s="33" t="s">
        <v>704</v>
      </c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  <c r="M6" s="43"/>
    </row>
    <row r="7" spans="1:13" ht="12.2" customHeight="1" x14ac:dyDescent="0.2">
      <c r="A7" s="28"/>
      <c r="B7" s="29"/>
      <c r="C7" s="29"/>
      <c r="D7" s="29"/>
      <c r="E7" s="29" t="s">
        <v>224</v>
      </c>
      <c r="F7" s="29"/>
      <c r="G7" s="29" t="s">
        <v>19</v>
      </c>
      <c r="H7" s="30" t="s">
        <v>131</v>
      </c>
      <c r="I7" s="29" t="s">
        <v>520</v>
      </c>
      <c r="J7" s="29" t="s">
        <v>132</v>
      </c>
      <c r="K7" s="29"/>
      <c r="L7" s="29"/>
      <c r="M7" s="39"/>
    </row>
    <row r="8" spans="1:13" ht="12.75" customHeight="1" x14ac:dyDescent="0.2">
      <c r="A8" s="41"/>
      <c r="B8" s="31" t="s">
        <v>19</v>
      </c>
      <c r="C8" s="41"/>
      <c r="D8" s="31" t="s">
        <v>522</v>
      </c>
      <c r="E8" s="31" t="s">
        <v>225</v>
      </c>
      <c r="F8" s="41"/>
      <c r="G8" s="31" t="s">
        <v>133</v>
      </c>
      <c r="H8" s="31" t="s">
        <v>134</v>
      </c>
      <c r="I8" s="31" t="s">
        <v>521</v>
      </c>
      <c r="J8" s="31" t="s">
        <v>137</v>
      </c>
      <c r="K8" s="31" t="s">
        <v>17</v>
      </c>
      <c r="L8" s="41"/>
      <c r="M8" s="39"/>
    </row>
    <row r="9" spans="1:13" ht="12.75" customHeight="1" x14ac:dyDescent="0.2">
      <c r="A9" s="31" t="s">
        <v>138</v>
      </c>
      <c r="B9" s="31" t="s">
        <v>139</v>
      </c>
      <c r="C9" s="31" t="s">
        <v>29</v>
      </c>
      <c r="D9" s="31" t="s">
        <v>136</v>
      </c>
      <c r="E9" s="31" t="s">
        <v>135</v>
      </c>
      <c r="F9" s="31" t="s">
        <v>126</v>
      </c>
      <c r="G9" s="31" t="s">
        <v>18</v>
      </c>
      <c r="H9" s="31" t="s">
        <v>147</v>
      </c>
      <c r="I9" s="31" t="s">
        <v>140</v>
      </c>
      <c r="J9" s="31" t="s">
        <v>141</v>
      </c>
      <c r="K9" s="31" t="s">
        <v>142</v>
      </c>
      <c r="L9" s="31" t="s">
        <v>20</v>
      </c>
      <c r="M9" s="31" t="s">
        <v>639</v>
      </c>
    </row>
    <row r="10" spans="1:13" ht="12.75" customHeight="1" x14ac:dyDescent="0.2">
      <c r="A10" s="31"/>
      <c r="B10" s="31" t="s">
        <v>724</v>
      </c>
      <c r="C10" s="31" t="s">
        <v>725</v>
      </c>
      <c r="D10" s="31" t="s">
        <v>726</v>
      </c>
      <c r="E10" s="31" t="s">
        <v>727</v>
      </c>
      <c r="F10" s="31" t="s">
        <v>728</v>
      </c>
      <c r="G10" s="31" t="s">
        <v>729</v>
      </c>
      <c r="H10" s="31" t="s">
        <v>730</v>
      </c>
      <c r="I10" s="31" t="s">
        <v>731</v>
      </c>
      <c r="J10" s="31" t="s">
        <v>732</v>
      </c>
      <c r="K10" s="31" t="s">
        <v>733</v>
      </c>
      <c r="L10" s="31" t="s">
        <v>734</v>
      </c>
      <c r="M10" s="31" t="s">
        <v>735</v>
      </c>
    </row>
    <row r="11" spans="1:13" ht="12.75" customHeight="1" x14ac:dyDescent="0.2">
      <c r="A11" s="31" t="s">
        <v>143</v>
      </c>
      <c r="B11" s="31" t="s">
        <v>552</v>
      </c>
      <c r="C11" s="31" t="s">
        <v>552</v>
      </c>
      <c r="D11" s="31" t="s">
        <v>552</v>
      </c>
      <c r="E11" s="31" t="s">
        <v>552</v>
      </c>
      <c r="F11" s="31" t="s">
        <v>552</v>
      </c>
      <c r="G11" s="31" t="s">
        <v>552</v>
      </c>
      <c r="H11" s="31" t="s">
        <v>552</v>
      </c>
      <c r="I11" s="31" t="s">
        <v>552</v>
      </c>
      <c r="J11" s="31" t="s">
        <v>552</v>
      </c>
      <c r="K11" s="31" t="s">
        <v>552</v>
      </c>
      <c r="L11" s="31" t="s">
        <v>552</v>
      </c>
      <c r="M11" s="31" t="s">
        <v>642</v>
      </c>
    </row>
    <row r="12" spans="1:13" ht="12.75" customHeight="1" x14ac:dyDescent="0.2">
      <c r="A12" s="32"/>
      <c r="B12" s="32">
        <v>0.86</v>
      </c>
      <c r="C12" s="32">
        <v>0.89</v>
      </c>
      <c r="D12" s="32">
        <v>1.02</v>
      </c>
      <c r="E12" s="32">
        <v>1.02</v>
      </c>
      <c r="F12" s="32">
        <v>0.99</v>
      </c>
      <c r="G12" s="32">
        <v>0.98</v>
      </c>
      <c r="H12" s="32">
        <v>0.99</v>
      </c>
      <c r="I12" s="32">
        <v>1.01</v>
      </c>
      <c r="J12" s="32">
        <v>1.04</v>
      </c>
      <c r="K12" s="32">
        <v>1.04</v>
      </c>
      <c r="L12" s="32">
        <v>1.03</v>
      </c>
      <c r="M12" s="32">
        <v>1.02</v>
      </c>
    </row>
    <row r="13" spans="1:13" ht="12.75" customHeight="1" x14ac:dyDescent="0.2">
      <c r="A13" s="4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9"/>
    </row>
    <row r="14" spans="1:13" ht="12.75" customHeight="1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9"/>
    </row>
    <row r="15" spans="1:13" ht="12.75" customHeight="1" x14ac:dyDescent="0.2">
      <c r="A15" s="40" t="s">
        <v>16</v>
      </c>
      <c r="B15" s="207">
        <f>$B$12*'const-cost'!E12</f>
        <v>396.2364</v>
      </c>
      <c r="C15" s="207">
        <f>$C$12*'const-cost'!E12</f>
        <v>410.05860000000001</v>
      </c>
      <c r="D15" s="207">
        <f>$D$12*'const-cost'!E12</f>
        <v>469.95480000000003</v>
      </c>
      <c r="E15" s="207">
        <f>$E$12*'const-cost'!E12</f>
        <v>469.95480000000003</v>
      </c>
      <c r="F15" s="207">
        <f>$F$12*'const-cost'!E12</f>
        <v>456.13260000000002</v>
      </c>
      <c r="G15" s="207">
        <f>$G$12*'const-cost'!E12</f>
        <v>451.52519999999998</v>
      </c>
      <c r="H15" s="207">
        <f>$H$12*'const-cost'!E12</f>
        <v>456.13260000000002</v>
      </c>
      <c r="I15" s="207">
        <f>$I$12*'const-cost'!E12</f>
        <v>465.34739999999999</v>
      </c>
      <c r="J15" s="207">
        <f>$J$12*'const-cost'!E12</f>
        <v>479.1696</v>
      </c>
      <c r="K15" s="207">
        <f>$K$12*'const-cost'!E12</f>
        <v>479.1696</v>
      </c>
      <c r="L15" s="207">
        <f>$L$12*'const-cost'!E12</f>
        <v>474.56220000000002</v>
      </c>
      <c r="M15" s="207">
        <f>$M$12*'const-cost'!E12</f>
        <v>469.95480000000003</v>
      </c>
    </row>
    <row r="16" spans="1:13" ht="12.75" customHeight="1" x14ac:dyDescent="0.2">
      <c r="A16" s="41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39"/>
    </row>
    <row r="17" spans="1:13" ht="12.75" customHeight="1" x14ac:dyDescent="0.2">
      <c r="A17" s="40" t="s">
        <v>35</v>
      </c>
      <c r="B17" s="207">
        <f>$B$12*'const-cost'!E14</f>
        <v>435.12559999999996</v>
      </c>
      <c r="C17" s="207">
        <f>$C$12*'const-cost'!E14</f>
        <v>450.30439999999999</v>
      </c>
      <c r="D17" s="207">
        <f>$D$12*'const-cost'!E14</f>
        <v>516.07920000000001</v>
      </c>
      <c r="E17" s="207">
        <f>$E$12*'const-cost'!E14</f>
        <v>516.07920000000001</v>
      </c>
      <c r="F17" s="207">
        <f>$F$12*'const-cost'!E14</f>
        <v>500.90039999999999</v>
      </c>
      <c r="G17" s="207">
        <f>$G$12*'const-cost'!E14</f>
        <v>495.84079999999994</v>
      </c>
      <c r="H17" s="207">
        <f>$H$12*'const-cost'!E14</f>
        <v>500.90039999999999</v>
      </c>
      <c r="I17" s="207">
        <f>$I$12*'const-cost'!E14</f>
        <v>511.01959999999997</v>
      </c>
      <c r="J17" s="207">
        <f>$J$12*'const-cost'!E14</f>
        <v>526.19839999999999</v>
      </c>
      <c r="K17" s="207">
        <f>$K$12*'const-cost'!E14</f>
        <v>526.19839999999999</v>
      </c>
      <c r="L17" s="207">
        <f>$L$12*'const-cost'!E14</f>
        <v>521.13879999999995</v>
      </c>
      <c r="M17" s="207">
        <f>$M$12*'const-cost'!E14</f>
        <v>516.07920000000001</v>
      </c>
    </row>
    <row r="18" spans="1:13" ht="12.75" customHeight="1" x14ac:dyDescent="0.2">
      <c r="A18" s="41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39"/>
    </row>
    <row r="19" spans="1:13" ht="12.75" customHeight="1" x14ac:dyDescent="0.2">
      <c r="A19" s="40" t="s">
        <v>42</v>
      </c>
      <c r="B19" s="207">
        <f>$B$12*'const-cost'!E16</f>
        <v>314.29559999999998</v>
      </c>
      <c r="C19" s="207">
        <f>$C$12*'const-cost'!E16</f>
        <v>325.25939999999997</v>
      </c>
      <c r="D19" s="207">
        <f>$D$12*'const-cost'!E16</f>
        <v>372.76920000000001</v>
      </c>
      <c r="E19" s="207">
        <f>$E$12*'const-cost'!E16</f>
        <v>372.76920000000001</v>
      </c>
      <c r="F19" s="207">
        <f>$F$12*'const-cost'!E16</f>
        <v>361.80539999999996</v>
      </c>
      <c r="G19" s="207">
        <f>$G$12*'const-cost'!E16</f>
        <v>358.15079999999995</v>
      </c>
      <c r="H19" s="207">
        <f>$H$12*'const-cost'!E16</f>
        <v>361.80539999999996</v>
      </c>
      <c r="I19" s="207">
        <f>$I$12*'const-cost'!E16</f>
        <v>369.1146</v>
      </c>
      <c r="J19" s="207">
        <f>$J$12*'const-cost'!E16</f>
        <v>380.07839999999999</v>
      </c>
      <c r="K19" s="207">
        <f>$K$12*'const-cost'!E16</f>
        <v>380.07839999999999</v>
      </c>
      <c r="L19" s="207">
        <f>$L$12*'const-cost'!E16</f>
        <v>376.42379999999997</v>
      </c>
      <c r="M19" s="207">
        <f>$M$12*'const-cost'!E16</f>
        <v>372.76920000000001</v>
      </c>
    </row>
    <row r="20" spans="1:13" ht="12.75" customHeight="1" x14ac:dyDescent="0.2">
      <c r="A20" s="41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39"/>
    </row>
    <row r="21" spans="1:13" ht="12.75" customHeight="1" x14ac:dyDescent="0.2">
      <c r="A21" s="40" t="s">
        <v>52</v>
      </c>
      <c r="B21" s="207">
        <f>$B$12*'const-cost'!E18</f>
        <v>534.30939999999998</v>
      </c>
      <c r="C21" s="207">
        <f>$C$12*'const-cost'!E18</f>
        <v>552.94809999999995</v>
      </c>
      <c r="D21" s="207">
        <f>$D$12*'const-cost'!E18</f>
        <v>633.71579999999994</v>
      </c>
      <c r="E21" s="207">
        <f>$E$12*'const-cost'!E18</f>
        <v>633.71579999999994</v>
      </c>
      <c r="F21" s="207">
        <f>$F$12*'const-cost'!E18</f>
        <v>615.07709999999997</v>
      </c>
      <c r="G21" s="207">
        <f>$G$12*'const-cost'!E18</f>
        <v>608.86419999999998</v>
      </c>
      <c r="H21" s="207">
        <f>$H$12*'const-cost'!E18</f>
        <v>615.07709999999997</v>
      </c>
      <c r="I21" s="207">
        <f>$I$12*'const-cost'!E18</f>
        <v>627.50289999999995</v>
      </c>
      <c r="J21" s="207">
        <f>$J$12*'const-cost'!E18</f>
        <v>646.14160000000004</v>
      </c>
      <c r="K21" s="207">
        <f>$K$12*'const-cost'!E18</f>
        <v>646.14160000000004</v>
      </c>
      <c r="L21" s="207">
        <f>$L$12*'const-cost'!E18</f>
        <v>639.92869999999994</v>
      </c>
      <c r="M21" s="207">
        <f>$M$12*'const-cost'!E18</f>
        <v>633.71579999999994</v>
      </c>
    </row>
    <row r="22" spans="1:13" ht="12.75" customHeight="1" x14ac:dyDescent="0.2">
      <c r="A22" s="41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39"/>
    </row>
    <row r="23" spans="1:13" ht="12.75" customHeight="1" x14ac:dyDescent="0.2">
      <c r="A23" s="40" t="s">
        <v>63</v>
      </c>
      <c r="B23" s="207">
        <f>$B$12*'const-cost'!E20</f>
        <v>392.41800000000001</v>
      </c>
      <c r="C23" s="207">
        <f>$C$12*'const-cost'!E20</f>
        <v>406.10700000000003</v>
      </c>
      <c r="D23" s="207">
        <f>$D$12*'const-cost'!E20</f>
        <v>465.42600000000004</v>
      </c>
      <c r="E23" s="207">
        <f>$E$12*'const-cost'!E20</f>
        <v>465.42600000000004</v>
      </c>
      <c r="F23" s="207">
        <f>$F$12*'const-cost'!E20</f>
        <v>451.73700000000002</v>
      </c>
      <c r="G23" s="207">
        <f>$G$12*'const-cost'!E20</f>
        <v>447.17399999999998</v>
      </c>
      <c r="H23" s="207">
        <f>$H$12*'const-cost'!E20</f>
        <v>451.73700000000002</v>
      </c>
      <c r="I23" s="207">
        <f>$I$12*'const-cost'!E20</f>
        <v>460.863</v>
      </c>
      <c r="J23" s="207">
        <f>$J$12*'const-cost'!E20</f>
        <v>474.55200000000002</v>
      </c>
      <c r="K23" s="207">
        <f>$K$12*'const-cost'!E20</f>
        <v>474.55200000000002</v>
      </c>
      <c r="L23" s="207">
        <f>$L$12*'const-cost'!E20</f>
        <v>469.98900000000003</v>
      </c>
      <c r="M23" s="207">
        <f>$M$12*'const-cost'!E20</f>
        <v>465.42600000000004</v>
      </c>
    </row>
    <row r="24" spans="1:13" ht="12.75" customHeight="1" x14ac:dyDescent="0.2">
      <c r="A24" s="41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39"/>
    </row>
    <row r="25" spans="1:13" ht="12.75" customHeight="1" x14ac:dyDescent="0.2">
      <c r="A25" s="40" t="s">
        <v>144</v>
      </c>
      <c r="B25" s="207">
        <f>$B$12*'const-cost'!E22</f>
        <v>475.90679999999998</v>
      </c>
      <c r="C25" s="207">
        <f>$C$12*'const-cost'!E22</f>
        <v>492.50819999999999</v>
      </c>
      <c r="D25" s="207">
        <f>$D$12*'const-cost'!E22</f>
        <v>564.44759999999997</v>
      </c>
      <c r="E25" s="207">
        <f>$E$12*'const-cost'!E22</f>
        <v>564.44759999999997</v>
      </c>
      <c r="F25" s="207">
        <f>$F$12*'const-cost'!E22</f>
        <v>547.84619999999995</v>
      </c>
      <c r="G25" s="207">
        <f>$G$12*'const-cost'!E22</f>
        <v>542.31240000000003</v>
      </c>
      <c r="H25" s="207">
        <f>$H$12*'const-cost'!E22</f>
        <v>547.84619999999995</v>
      </c>
      <c r="I25" s="207">
        <f>$I$12*'const-cost'!E22</f>
        <v>558.91380000000004</v>
      </c>
      <c r="J25" s="207">
        <f>$J$12*'const-cost'!E22</f>
        <v>575.51520000000005</v>
      </c>
      <c r="K25" s="207">
        <f>$K$12*'const-cost'!E22</f>
        <v>575.51520000000005</v>
      </c>
      <c r="L25" s="207">
        <f>$L$12*'const-cost'!E22</f>
        <v>569.98140000000001</v>
      </c>
      <c r="M25" s="207">
        <f>$M$12*'const-cost'!E22</f>
        <v>564.44759999999997</v>
      </c>
    </row>
    <row r="26" spans="1:13" ht="12.75" customHeight="1" x14ac:dyDescent="0.2">
      <c r="A26" s="41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39"/>
    </row>
    <row r="27" spans="1:13" ht="12.75" customHeight="1" x14ac:dyDescent="0.2">
      <c r="A27" s="40" t="s">
        <v>78</v>
      </c>
      <c r="B27" s="207">
        <f>$B$12*'const-cost'!E24</f>
        <v>276.24920000000003</v>
      </c>
      <c r="C27" s="207">
        <f>$C$12*'const-cost'!E24</f>
        <v>285.88580000000002</v>
      </c>
      <c r="D27" s="207">
        <f>$D$12*'const-cost'!E24</f>
        <v>327.64440000000002</v>
      </c>
      <c r="E27" s="207">
        <f>$E$12*'const-cost'!E24</f>
        <v>327.64440000000002</v>
      </c>
      <c r="F27" s="207">
        <f>$F$12*'const-cost'!E24</f>
        <v>318.00780000000003</v>
      </c>
      <c r="G27" s="207">
        <f>$G$12*'const-cost'!E24</f>
        <v>314.79560000000004</v>
      </c>
      <c r="H27" s="207">
        <f>$H$12*'const-cost'!E24</f>
        <v>318.00780000000003</v>
      </c>
      <c r="I27" s="207">
        <f>$I$12*'const-cost'!E24</f>
        <v>324.43220000000002</v>
      </c>
      <c r="J27" s="207">
        <f>$J$12*'const-cost'!E24</f>
        <v>334.06880000000007</v>
      </c>
      <c r="K27" s="207">
        <f>$K$12*'const-cost'!E24</f>
        <v>334.06880000000007</v>
      </c>
      <c r="L27" s="207">
        <f>$L$12*'const-cost'!E24</f>
        <v>330.85660000000001</v>
      </c>
      <c r="M27" s="207">
        <f>$M$12*'const-cost'!E24</f>
        <v>327.64440000000002</v>
      </c>
    </row>
    <row r="28" spans="1:13" ht="12.75" customHeight="1" x14ac:dyDescent="0.2">
      <c r="A28" s="41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39"/>
    </row>
    <row r="29" spans="1:13" ht="12.75" x14ac:dyDescent="0.2">
      <c r="A29" s="208" t="s">
        <v>84</v>
      </c>
      <c r="B29" s="145" t="s">
        <v>644</v>
      </c>
      <c r="C29" s="209"/>
      <c r="D29" s="209"/>
      <c r="E29" s="209"/>
      <c r="F29" s="209"/>
      <c r="G29" s="209"/>
      <c r="H29" s="209"/>
      <c r="I29" s="210"/>
      <c r="J29" s="210"/>
      <c r="K29" s="210"/>
      <c r="L29" s="210"/>
      <c r="M29" s="143"/>
    </row>
    <row r="30" spans="1:13" ht="12.75" x14ac:dyDescent="0.2">
      <c r="A30" s="41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39"/>
    </row>
    <row r="31" spans="1:13" ht="12.75" x14ac:dyDescent="0.2">
      <c r="A31" s="40" t="s">
        <v>145</v>
      </c>
      <c r="B31" s="207">
        <f>$B$12*'const-cost'!E28</f>
        <v>305.43760000000003</v>
      </c>
      <c r="C31" s="207">
        <f>$C$12*'const-cost'!E28</f>
        <v>316.09240000000005</v>
      </c>
      <c r="D31" s="207">
        <f>$D$12*'const-cost'!E28</f>
        <v>362.26320000000004</v>
      </c>
      <c r="E31" s="207">
        <f>$E$12*'const-cost'!E28</f>
        <v>362.26320000000004</v>
      </c>
      <c r="F31" s="207">
        <f>$F$12*'const-cost'!E28</f>
        <v>351.60840000000002</v>
      </c>
      <c r="G31" s="207">
        <f>$G$12*'const-cost'!E28</f>
        <v>348.05680000000001</v>
      </c>
      <c r="H31" s="207">
        <f>$H$12*'const-cost'!E28</f>
        <v>351.60840000000002</v>
      </c>
      <c r="I31" s="207">
        <f>$I$12*'const-cost'!E28</f>
        <v>358.71160000000003</v>
      </c>
      <c r="J31" s="207">
        <f>$J$12*'const-cost'!E28</f>
        <v>369.36640000000006</v>
      </c>
      <c r="K31" s="207">
        <f>$K$12*'const-cost'!E28</f>
        <v>369.36640000000006</v>
      </c>
      <c r="L31" s="207">
        <f>$L$12*'const-cost'!E28</f>
        <v>365.81480000000005</v>
      </c>
      <c r="M31" s="207">
        <f>$M$12*'const-cost'!E28</f>
        <v>362.26320000000004</v>
      </c>
    </row>
    <row r="32" spans="1:13" ht="12.75" x14ac:dyDescent="0.2">
      <c r="A32" s="41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39"/>
    </row>
    <row r="33" spans="1:13" ht="12.75" x14ac:dyDescent="0.2">
      <c r="A33" s="40" t="s">
        <v>98</v>
      </c>
      <c r="B33" s="207">
        <f>$B$12*'const-cost'!E30</f>
        <v>427.82420000000002</v>
      </c>
      <c r="C33" s="207">
        <f>$C$12*'const-cost'!E30</f>
        <v>442.74830000000003</v>
      </c>
      <c r="D33" s="207">
        <f>$D$12*'const-cost'!E30</f>
        <v>507.41940000000005</v>
      </c>
      <c r="E33" s="207">
        <f>$E$12*'const-cost'!E30</f>
        <v>507.41940000000005</v>
      </c>
      <c r="F33" s="207">
        <f>$F$12*'const-cost'!E30</f>
        <v>492.49530000000004</v>
      </c>
      <c r="G33" s="207">
        <f>$G$12*'const-cost'!E30</f>
        <v>487.5206</v>
      </c>
      <c r="H33" s="207">
        <f>$H$12*'const-cost'!E30</f>
        <v>492.49530000000004</v>
      </c>
      <c r="I33" s="207">
        <f>$I$12*'const-cost'!E30</f>
        <v>502.44470000000001</v>
      </c>
      <c r="J33" s="207">
        <f>$J$12*'const-cost'!E30</f>
        <v>517.36880000000008</v>
      </c>
      <c r="K33" s="207">
        <f>$K$12*'const-cost'!E30</f>
        <v>517.36880000000008</v>
      </c>
      <c r="L33" s="207">
        <f>$L$12*'const-cost'!E30</f>
        <v>512.39410000000009</v>
      </c>
      <c r="M33" s="207">
        <f>$M$12*'const-cost'!E30</f>
        <v>507.41940000000005</v>
      </c>
    </row>
    <row r="34" spans="1:13" ht="12.75" x14ac:dyDescent="0.2">
      <c r="A34" s="41"/>
      <c r="B34" s="44"/>
      <c r="C34" s="44"/>
      <c r="D34" s="44"/>
      <c r="E34" s="44"/>
      <c r="F34" s="45"/>
      <c r="G34" s="44"/>
      <c r="H34" s="44"/>
      <c r="I34" s="44"/>
      <c r="J34" s="44"/>
      <c r="K34" s="45"/>
      <c r="L34" s="44"/>
      <c r="M34" s="39"/>
    </row>
    <row r="35" spans="1:13" ht="12.7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39"/>
    </row>
    <row r="36" spans="1:13" ht="12.7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39"/>
    </row>
    <row r="37" spans="1:13" ht="12.7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39"/>
    </row>
    <row r="38" spans="1:13" ht="12.75" x14ac:dyDescent="0.2">
      <c r="A38" s="34"/>
      <c r="B38" s="33"/>
      <c r="C38" s="33"/>
      <c r="D38" s="33"/>
      <c r="E38" s="33"/>
      <c r="F38" s="33"/>
      <c r="G38" s="33"/>
      <c r="H38" s="33"/>
      <c r="I38" s="33"/>
      <c r="J38" s="41"/>
      <c r="K38" s="41"/>
      <c r="L38" s="41"/>
      <c r="M38" s="39"/>
    </row>
    <row r="39" spans="1:13" ht="12.75" x14ac:dyDescent="0.2">
      <c r="A39" s="34" t="s">
        <v>623</v>
      </c>
      <c r="B39" s="33"/>
      <c r="C39" s="33"/>
      <c r="D39" s="33"/>
      <c r="E39" s="33"/>
      <c r="F39" s="33"/>
      <c r="G39" s="33"/>
      <c r="H39" s="33"/>
      <c r="I39" s="33"/>
      <c r="J39" s="41"/>
      <c r="K39" s="41"/>
      <c r="L39" s="41"/>
      <c r="M39" s="39"/>
    </row>
    <row r="40" spans="1:13" ht="12.75" x14ac:dyDescent="0.2">
      <c r="A40" s="35" t="s">
        <v>759</v>
      </c>
      <c r="B40" s="33"/>
      <c r="C40" s="33"/>
      <c r="D40" s="33"/>
      <c r="E40" s="33"/>
      <c r="F40" s="33"/>
      <c r="G40" s="33"/>
      <c r="H40" s="33"/>
      <c r="I40" s="33"/>
      <c r="J40" s="41"/>
      <c r="K40" s="41"/>
      <c r="L40" s="41"/>
      <c r="M40" s="39"/>
    </row>
    <row r="41" spans="1:13" ht="12.75" x14ac:dyDescent="0.2">
      <c r="A41" s="35" t="s">
        <v>148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</sheetData>
  <phoneticPr fontId="3" type="noConversion"/>
  <printOptions horizontalCentered="1" gridLinesSet="0"/>
  <pageMargins left="0.5" right="0.5" top="1" bottom="0.25" header="0.5" footer="0"/>
  <pageSetup scale="61" orientation="landscape" horizontalDpi="300" verticalDpi="300" r:id="rId1"/>
  <headerFooter alignWithMargins="0">
    <oddFooter>&amp;L&amp;F&amp;C&amp;P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15498-9702-4CE0-9383-2624A8B8DE30}">
  <sheetPr syncVertical="1" syncRef="A3" transitionEvaluation="1"/>
  <dimension ref="A1:L43"/>
  <sheetViews>
    <sheetView showGridLines="0" topLeftCell="A3" zoomScaleNormal="100" workbookViewId="0">
      <selection activeCell="A32" sqref="A32:C36"/>
    </sheetView>
  </sheetViews>
  <sheetFormatPr defaultColWidth="11.6640625" defaultRowHeight="10.5" x14ac:dyDescent="0.15"/>
  <cols>
    <col min="1" max="1" width="16.1640625" customWidth="1"/>
    <col min="2" max="2" width="12.6640625" customWidth="1"/>
    <col min="3" max="3" width="47" customWidth="1"/>
    <col min="4" max="4" width="3" customWidth="1"/>
    <col min="5" max="5" width="17.33203125" customWidth="1"/>
    <col min="7" max="7" width="10.6640625" customWidth="1"/>
    <col min="8" max="9" width="12.6640625" customWidth="1"/>
    <col min="10" max="10" width="10.6640625" customWidth="1"/>
    <col min="11" max="11" width="12.1640625" customWidth="1"/>
    <col min="12" max="13" width="14.6640625" customWidth="1"/>
  </cols>
  <sheetData>
    <row r="1" spans="1:12" ht="10.15" customHeight="1" x14ac:dyDescent="0.2">
      <c r="A1" s="46"/>
      <c r="B1" s="46"/>
      <c r="C1" s="46"/>
      <c r="D1" s="46"/>
      <c r="E1" s="46"/>
      <c r="F1" s="46"/>
      <c r="G1" s="46"/>
      <c r="H1" s="46"/>
      <c r="I1" s="3"/>
      <c r="J1" s="3"/>
      <c r="K1" s="3"/>
      <c r="L1" s="3"/>
    </row>
    <row r="2" spans="1:12" ht="12.75" x14ac:dyDescent="0.2">
      <c r="A2" s="21" t="s">
        <v>525</v>
      </c>
      <c r="B2" s="46"/>
      <c r="C2" s="46"/>
      <c r="D2" s="46"/>
      <c r="E2" s="38"/>
      <c r="F2" s="39"/>
      <c r="G2" s="41"/>
      <c r="H2" s="41"/>
      <c r="J2" s="1"/>
      <c r="K2" s="2"/>
      <c r="L2" s="2"/>
    </row>
    <row r="3" spans="1:12" ht="12.75" x14ac:dyDescent="0.2">
      <c r="A3" s="21" t="s">
        <v>526</v>
      </c>
      <c r="B3" s="46"/>
      <c r="C3" s="46"/>
      <c r="D3" s="46"/>
      <c r="E3" s="38"/>
      <c r="F3" s="39"/>
      <c r="G3" s="41"/>
      <c r="H3" s="41"/>
      <c r="J3" s="1"/>
      <c r="K3" s="2"/>
      <c r="L3" s="2"/>
    </row>
    <row r="4" spans="1:12" ht="12.75" x14ac:dyDescent="0.2">
      <c r="A4" s="47" t="s">
        <v>761</v>
      </c>
      <c r="B4" s="46"/>
      <c r="C4" s="46"/>
      <c r="D4" s="46"/>
      <c r="E4" s="38"/>
      <c r="F4" s="56"/>
      <c r="G4" s="41"/>
      <c r="H4" s="41"/>
      <c r="J4" s="1"/>
      <c r="K4" s="2"/>
      <c r="L4" s="2"/>
    </row>
    <row r="5" spans="1:12" ht="12.75" x14ac:dyDescent="0.2">
      <c r="A5" s="47" t="s">
        <v>762</v>
      </c>
      <c r="B5" s="46"/>
      <c r="C5" s="46"/>
      <c r="D5" s="46"/>
      <c r="E5" s="38"/>
      <c r="F5" s="39"/>
      <c r="G5" s="41"/>
      <c r="H5" s="41"/>
      <c r="J5" s="1"/>
      <c r="K5" s="2"/>
      <c r="L5" s="2"/>
    </row>
    <row r="6" spans="1:12" ht="12.75" x14ac:dyDescent="0.2">
      <c r="A6" s="46"/>
      <c r="B6" s="46"/>
      <c r="C6" s="46"/>
      <c r="D6" s="46"/>
      <c r="E6" s="46"/>
      <c r="F6" s="39"/>
      <c r="G6" s="39"/>
      <c r="H6" s="39"/>
    </row>
    <row r="7" spans="1:12" ht="12.2" customHeight="1" x14ac:dyDescent="0.2">
      <c r="A7" s="46"/>
      <c r="B7" s="46"/>
      <c r="C7" s="46"/>
      <c r="D7" s="46"/>
      <c r="E7" s="46"/>
      <c r="F7" s="39"/>
      <c r="G7" s="39"/>
      <c r="H7" s="39"/>
    </row>
    <row r="8" spans="1:12" ht="12.75" x14ac:dyDescent="0.2">
      <c r="A8" s="39"/>
      <c r="B8" s="39"/>
      <c r="C8" s="39"/>
      <c r="D8" s="39"/>
      <c r="E8" s="39"/>
      <c r="F8" s="39"/>
      <c r="G8" s="39"/>
      <c r="H8" s="39"/>
    </row>
    <row r="9" spans="1:12" ht="12.2" customHeight="1" x14ac:dyDescent="0.2">
      <c r="A9" s="48"/>
      <c r="B9" s="49"/>
      <c r="C9" s="49"/>
      <c r="D9" s="49"/>
      <c r="E9" s="29" t="s">
        <v>0</v>
      </c>
      <c r="F9" s="39"/>
      <c r="G9" s="41"/>
      <c r="H9" s="41"/>
      <c r="J9" s="1"/>
      <c r="K9" s="2"/>
      <c r="L9" s="2"/>
    </row>
    <row r="10" spans="1:12" ht="12.75" x14ac:dyDescent="0.2">
      <c r="A10" s="50" t="s">
        <v>2</v>
      </c>
      <c r="B10" s="50"/>
      <c r="C10" s="50"/>
      <c r="D10" s="50"/>
      <c r="E10" s="51" t="s">
        <v>106</v>
      </c>
      <c r="F10" s="39"/>
      <c r="G10" s="39"/>
      <c r="H10" s="39"/>
    </row>
    <row r="11" spans="1:12" ht="12.2" customHeight="1" x14ac:dyDescent="0.2">
      <c r="A11" s="39"/>
      <c r="B11" s="39"/>
      <c r="C11" s="39"/>
      <c r="D11" s="39"/>
      <c r="E11" s="41"/>
      <c r="F11" s="39"/>
      <c r="G11" s="41"/>
      <c r="H11" s="41"/>
      <c r="J11" s="1"/>
      <c r="K11" s="2"/>
      <c r="L11" s="2"/>
    </row>
    <row r="12" spans="1:12" ht="12.75" customHeight="1" x14ac:dyDescent="0.2">
      <c r="A12" s="52" t="s">
        <v>16</v>
      </c>
      <c r="B12" s="39"/>
      <c r="C12" s="39"/>
      <c r="D12" s="39"/>
      <c r="E12" s="57">
        <f>CSCTHIST!J32</f>
        <v>460.74</v>
      </c>
      <c r="F12" s="39"/>
      <c r="G12" s="41"/>
      <c r="H12" s="41"/>
      <c r="J12" s="1"/>
      <c r="K12" s="2"/>
      <c r="L12" s="2"/>
    </row>
    <row r="13" spans="1:12" ht="12.75" customHeight="1" x14ac:dyDescent="0.2">
      <c r="A13" s="39"/>
      <c r="B13" s="39"/>
      <c r="C13" s="39"/>
      <c r="D13" s="39"/>
      <c r="E13" s="45"/>
      <c r="F13" s="39"/>
      <c r="G13" s="41"/>
      <c r="H13" s="41"/>
      <c r="J13" s="1"/>
      <c r="K13" s="2"/>
      <c r="L13" s="2"/>
    </row>
    <row r="14" spans="1:12" ht="12.75" customHeight="1" x14ac:dyDescent="0.2">
      <c r="A14" s="53" t="s">
        <v>107</v>
      </c>
      <c r="B14" s="54"/>
      <c r="C14" s="54"/>
      <c r="D14" s="54"/>
      <c r="E14" s="58">
        <f>CSCTHIST!J60</f>
        <v>505.96</v>
      </c>
      <c r="F14" s="39"/>
      <c r="G14" s="41"/>
      <c r="H14" s="41"/>
      <c r="J14" s="1"/>
      <c r="K14" s="2"/>
      <c r="L14" s="2"/>
    </row>
    <row r="15" spans="1:12" ht="12.75" customHeight="1" x14ac:dyDescent="0.2">
      <c r="A15" s="54"/>
      <c r="B15" s="54"/>
      <c r="C15" s="54"/>
      <c r="D15" s="54"/>
      <c r="E15" s="59"/>
      <c r="F15" s="39"/>
      <c r="G15" s="41"/>
      <c r="H15" s="41"/>
      <c r="J15" s="1"/>
      <c r="K15" s="2"/>
      <c r="L15" s="2"/>
    </row>
    <row r="16" spans="1:12" ht="12.75" customHeight="1" x14ac:dyDescent="0.2">
      <c r="A16" s="53" t="s">
        <v>645</v>
      </c>
      <c r="B16" s="54"/>
      <c r="C16" s="54"/>
      <c r="D16" s="54"/>
      <c r="E16" s="58">
        <f>CSCTHIST!J76</f>
        <v>365.46</v>
      </c>
      <c r="F16" s="39"/>
      <c r="G16" s="41"/>
      <c r="H16" s="41"/>
      <c r="J16" s="1"/>
      <c r="K16" s="2"/>
      <c r="L16" s="2"/>
    </row>
    <row r="17" spans="1:12" ht="12.75" customHeight="1" x14ac:dyDescent="0.2">
      <c r="A17" s="54"/>
      <c r="B17" s="54"/>
      <c r="C17" s="54"/>
      <c r="D17" s="54"/>
      <c r="E17" s="59"/>
      <c r="F17" s="39"/>
      <c r="G17" s="41"/>
      <c r="H17" s="41"/>
      <c r="J17" s="1"/>
      <c r="K17" s="2"/>
      <c r="L17" s="2"/>
    </row>
    <row r="18" spans="1:12" ht="12.75" customHeight="1" x14ac:dyDescent="0.2">
      <c r="A18" s="53" t="s">
        <v>108</v>
      </c>
      <c r="B18" s="54"/>
      <c r="C18" s="54"/>
      <c r="D18" s="54"/>
      <c r="E18" s="58">
        <f>CSCTHIST!J125</f>
        <v>621.29</v>
      </c>
      <c r="F18" s="39"/>
      <c r="G18" s="41"/>
      <c r="H18" s="41"/>
      <c r="J18" s="1"/>
      <c r="K18" s="2"/>
      <c r="L18" s="2"/>
    </row>
    <row r="19" spans="1:12" ht="12.75" customHeight="1" x14ac:dyDescent="0.2">
      <c r="A19" s="54"/>
      <c r="B19" s="54"/>
      <c r="C19" s="54"/>
      <c r="D19" s="54"/>
      <c r="E19" s="59"/>
      <c r="F19" s="39"/>
      <c r="G19" s="41"/>
      <c r="H19" s="41"/>
      <c r="J19" s="1"/>
      <c r="K19" s="2"/>
      <c r="L19" s="2"/>
    </row>
    <row r="20" spans="1:12" ht="12.75" customHeight="1" x14ac:dyDescent="0.2">
      <c r="A20" s="53" t="s">
        <v>63</v>
      </c>
      <c r="B20" s="54"/>
      <c r="C20" s="54"/>
      <c r="D20" s="54"/>
      <c r="E20" s="58">
        <f>CSCTHIST!J193</f>
        <v>456.3</v>
      </c>
      <c r="F20" s="39"/>
      <c r="G20" s="41"/>
      <c r="H20" s="41"/>
      <c r="J20" s="1"/>
      <c r="K20" s="2"/>
      <c r="L20" s="2"/>
    </row>
    <row r="21" spans="1:12" ht="12.75" customHeight="1" x14ac:dyDescent="0.2">
      <c r="A21" s="54"/>
      <c r="B21" s="54"/>
      <c r="C21" s="54"/>
      <c r="D21" s="54"/>
      <c r="E21" s="59"/>
      <c r="F21" s="39"/>
      <c r="G21" s="41"/>
      <c r="H21" s="41"/>
      <c r="J21" s="1"/>
      <c r="K21" s="2"/>
      <c r="L21" s="2"/>
    </row>
    <row r="22" spans="1:12" ht="12.75" customHeight="1" x14ac:dyDescent="0.2">
      <c r="A22" s="53" t="s">
        <v>109</v>
      </c>
      <c r="B22" s="54"/>
      <c r="C22" s="54"/>
      <c r="D22" s="54"/>
      <c r="E22" s="58">
        <f>CSCTHIST!J216</f>
        <v>553.38</v>
      </c>
      <c r="F22" s="39"/>
      <c r="G22" s="41"/>
      <c r="H22" s="41"/>
      <c r="J22" s="1"/>
      <c r="K22" s="2"/>
      <c r="L22" s="2"/>
    </row>
    <row r="23" spans="1:12" ht="12.75" customHeight="1" x14ac:dyDescent="0.2">
      <c r="A23" s="54"/>
      <c r="B23" s="54"/>
      <c r="C23" s="54"/>
      <c r="D23" s="54"/>
      <c r="E23" s="59"/>
      <c r="F23" s="39"/>
      <c r="G23" s="41"/>
      <c r="H23" s="41"/>
      <c r="J23" s="1"/>
      <c r="K23" s="2"/>
      <c r="L23" s="2"/>
    </row>
    <row r="24" spans="1:12" ht="12.75" customHeight="1" x14ac:dyDescent="0.2">
      <c r="A24" s="53" t="s">
        <v>646</v>
      </c>
      <c r="B24" s="54"/>
      <c r="C24" s="54"/>
      <c r="D24" s="54"/>
      <c r="E24" s="58">
        <f>CSCTHIST!J228</f>
        <v>321.22000000000003</v>
      </c>
      <c r="F24" s="39"/>
      <c r="G24" s="39"/>
      <c r="H24" s="39"/>
    </row>
    <row r="25" spans="1:12" ht="12.75" customHeight="1" x14ac:dyDescent="0.2">
      <c r="A25" s="54"/>
      <c r="B25" s="54"/>
      <c r="C25" s="54"/>
      <c r="D25" s="54"/>
      <c r="E25" s="59"/>
      <c r="F25" s="39"/>
      <c r="G25" s="39"/>
      <c r="H25" s="39"/>
    </row>
    <row r="26" spans="1:12" ht="12.75" hidden="1" customHeight="1" x14ac:dyDescent="0.2">
      <c r="A26" s="54"/>
      <c r="B26" s="54"/>
      <c r="C26" s="242"/>
      <c r="D26" s="242"/>
      <c r="E26" s="242"/>
      <c r="F26" s="39"/>
      <c r="G26" s="39"/>
      <c r="H26" s="39"/>
    </row>
    <row r="27" spans="1:12" ht="12.75" hidden="1" customHeight="1" x14ac:dyDescent="0.2">
      <c r="A27" s="54"/>
      <c r="B27" s="54"/>
      <c r="C27" s="54"/>
      <c r="D27" s="54"/>
      <c r="E27" s="59"/>
      <c r="F27" s="39"/>
      <c r="G27" s="39"/>
      <c r="H27" s="39"/>
    </row>
    <row r="28" spans="1:12" ht="12.75" customHeight="1" x14ac:dyDescent="0.2">
      <c r="A28" s="53" t="s">
        <v>647</v>
      </c>
      <c r="B28" s="54"/>
      <c r="C28" s="54"/>
      <c r="D28" s="54"/>
      <c r="E28" s="58">
        <f>CSCTHIST!J269</f>
        <v>355.16</v>
      </c>
      <c r="F28" s="39"/>
      <c r="G28" s="39"/>
      <c r="H28" s="39"/>
    </row>
    <row r="29" spans="1:12" ht="12.75" customHeight="1" x14ac:dyDescent="0.2">
      <c r="A29" s="54"/>
      <c r="B29" s="54"/>
      <c r="C29" s="54"/>
      <c r="D29" s="54"/>
      <c r="E29" s="59"/>
      <c r="F29" s="39"/>
      <c r="G29" s="39"/>
      <c r="H29" s="39"/>
    </row>
    <row r="30" spans="1:12" ht="12.75" customHeight="1" x14ac:dyDescent="0.2">
      <c r="A30" s="53" t="s">
        <v>648</v>
      </c>
      <c r="B30" s="54"/>
      <c r="C30" s="54"/>
      <c r="D30" s="54"/>
      <c r="E30" s="58">
        <f>CSCTHIST!J289</f>
        <v>497.47</v>
      </c>
      <c r="F30" s="39"/>
      <c r="G30" s="39"/>
      <c r="H30" s="39"/>
    </row>
    <row r="31" spans="1:12" ht="12.75" x14ac:dyDescent="0.2">
      <c r="A31" s="43"/>
      <c r="B31" s="43"/>
      <c r="C31" s="43"/>
      <c r="D31" s="43"/>
      <c r="E31" s="43"/>
      <c r="F31" s="39"/>
      <c r="G31" s="39"/>
      <c r="H31" s="39"/>
    </row>
    <row r="32" spans="1:12" ht="12.75" x14ac:dyDescent="0.2">
      <c r="A32" s="245" t="s">
        <v>765</v>
      </c>
      <c r="B32" s="246"/>
      <c r="C32" s="246"/>
      <c r="D32" s="39"/>
      <c r="E32" s="39"/>
      <c r="F32" s="39"/>
      <c r="G32" s="39"/>
      <c r="H32" s="39"/>
    </row>
    <row r="33" spans="1:8" ht="12.75" x14ac:dyDescent="0.2">
      <c r="A33" s="246"/>
      <c r="B33" s="246"/>
      <c r="C33" s="246"/>
      <c r="D33" s="55"/>
      <c r="E33" s="55"/>
      <c r="F33" s="39"/>
      <c r="G33" s="39"/>
      <c r="H33" s="39"/>
    </row>
    <row r="34" spans="1:8" ht="12.75" x14ac:dyDescent="0.2">
      <c r="A34" s="246"/>
      <c r="B34" s="246"/>
      <c r="C34" s="246"/>
      <c r="D34" s="55"/>
      <c r="E34" s="55"/>
      <c r="F34" s="39"/>
      <c r="G34" s="39"/>
      <c r="H34" s="39"/>
    </row>
    <row r="35" spans="1:8" ht="12.75" x14ac:dyDescent="0.2">
      <c r="A35" s="246"/>
      <c r="B35" s="246"/>
      <c r="C35" s="246"/>
      <c r="D35" s="39"/>
      <c r="E35" s="39"/>
      <c r="F35" s="39"/>
      <c r="G35" s="39"/>
      <c r="H35" s="39"/>
    </row>
    <row r="36" spans="1:8" ht="27" customHeight="1" x14ac:dyDescent="0.2">
      <c r="A36" s="246"/>
      <c r="B36" s="246"/>
      <c r="C36" s="246"/>
      <c r="D36" s="39"/>
      <c r="E36" s="39"/>
      <c r="F36" s="39"/>
      <c r="G36" s="39"/>
      <c r="H36" s="39"/>
    </row>
    <row r="37" spans="1:8" ht="29.25" customHeight="1" x14ac:dyDescent="0.2">
      <c r="A37" s="243"/>
      <c r="B37" s="244"/>
      <c r="C37" s="244"/>
      <c r="D37" s="244"/>
      <c r="E37" s="244"/>
      <c r="F37" s="39"/>
      <c r="G37" s="39"/>
      <c r="H37" s="39"/>
    </row>
    <row r="38" spans="1:8" ht="12.75" x14ac:dyDescent="0.2">
      <c r="A38" s="39"/>
      <c r="B38" s="39"/>
      <c r="C38" s="39"/>
      <c r="D38" s="39"/>
      <c r="E38" s="39"/>
      <c r="F38" s="39"/>
      <c r="G38" s="39"/>
      <c r="H38" s="39"/>
    </row>
    <row r="39" spans="1:8" x14ac:dyDescent="0.15">
      <c r="E39" s="5"/>
    </row>
    <row r="43" spans="1:8" x14ac:dyDescent="0.15">
      <c r="E43" s="13"/>
    </row>
  </sheetData>
  <mergeCells count="3">
    <mergeCell ref="C26:E26"/>
    <mergeCell ref="A37:E37"/>
    <mergeCell ref="A32:C36"/>
  </mergeCells>
  <phoneticPr fontId="3" type="noConversion"/>
  <printOptions horizontalCentered="1" gridLinesSet="0"/>
  <pageMargins left="0" right="0" top="0.5" bottom="0.25" header="0.5" footer="0"/>
  <pageSetup orientation="portrait" r:id="rId1"/>
  <headerFooter alignWithMargins="0">
    <oddFooter>&amp;L&amp;F&amp;C&amp;P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68BA-8266-4BFC-BCA5-D9B7BE387D1B}">
  <sheetPr syncVertical="1" syncRef="A1" transitionEvaluation="1">
    <pageSetUpPr fitToPage="1"/>
  </sheetPr>
  <dimension ref="A1:M41"/>
  <sheetViews>
    <sheetView showGridLines="0" zoomScale="90" zoomScaleNormal="90" workbookViewId="0">
      <selection activeCell="M11" sqref="M11"/>
    </sheetView>
  </sheetViews>
  <sheetFormatPr defaultColWidth="11.6640625" defaultRowHeight="10.5" x14ac:dyDescent="0.15"/>
  <cols>
    <col min="1" max="1" width="34.83203125" customWidth="1"/>
    <col min="2" max="3" width="18.83203125" customWidth="1"/>
    <col min="4" max="4" width="20.6640625" customWidth="1"/>
    <col min="5" max="5" width="27" customWidth="1"/>
    <col min="6" max="7" width="18.83203125" customWidth="1"/>
    <col min="8" max="9" width="22.83203125" customWidth="1"/>
    <col min="10" max="12" width="18.83203125" customWidth="1"/>
    <col min="13" max="13" width="14.6640625" customWidth="1"/>
  </cols>
  <sheetData>
    <row r="1" spans="1:13" ht="12.75" x14ac:dyDescent="0.2">
      <c r="A1" s="21" t="s">
        <v>526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2.75" x14ac:dyDescent="0.2">
      <c r="A2" s="21" t="s">
        <v>525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2.75" x14ac:dyDescent="0.2">
      <c r="A3" s="24" t="s">
        <v>763</v>
      </c>
      <c r="B3" s="24"/>
      <c r="C3" s="24"/>
      <c r="D3" s="22"/>
      <c r="E3" s="22"/>
      <c r="F3" s="22"/>
      <c r="G3" s="24"/>
      <c r="H3" s="24"/>
      <c r="I3" s="24"/>
      <c r="J3" s="24"/>
      <c r="K3" s="22"/>
      <c r="L3" s="22"/>
      <c r="M3" s="23"/>
    </row>
    <row r="4" spans="1:13" ht="11.25" x14ac:dyDescent="0.2">
      <c r="A4" s="25"/>
      <c r="B4" s="22"/>
      <c r="C4" s="22"/>
      <c r="D4" s="22"/>
      <c r="E4" s="22"/>
      <c r="F4" s="22"/>
      <c r="G4" s="22"/>
      <c r="H4" s="22"/>
      <c r="I4" s="22"/>
      <c r="J4" s="22"/>
      <c r="K4" s="22"/>
      <c r="L4" s="26"/>
      <c r="M4" s="23"/>
    </row>
    <row r="5" spans="1:13" ht="12.75" x14ac:dyDescent="0.2">
      <c r="A5" s="26"/>
      <c r="B5" s="26"/>
      <c r="C5" s="26"/>
      <c r="D5" s="42"/>
      <c r="E5" s="26"/>
      <c r="F5" s="26"/>
      <c r="G5" s="26"/>
      <c r="H5" s="26"/>
      <c r="I5" s="26"/>
      <c r="J5" s="26"/>
      <c r="K5" s="26"/>
      <c r="L5" s="26"/>
      <c r="M5" s="27"/>
    </row>
    <row r="6" spans="1:13" ht="12.2" customHeight="1" x14ac:dyDescent="0.2">
      <c r="A6" s="28"/>
      <c r="B6" s="29"/>
      <c r="C6" s="29"/>
      <c r="D6" s="29"/>
      <c r="E6" s="29" t="s">
        <v>224</v>
      </c>
      <c r="F6" s="29"/>
      <c r="G6" s="29" t="s">
        <v>19</v>
      </c>
      <c r="H6" s="30" t="s">
        <v>131</v>
      </c>
      <c r="I6" s="29" t="s">
        <v>520</v>
      </c>
      <c r="J6" s="29" t="s">
        <v>132</v>
      </c>
      <c r="K6" s="29"/>
      <c r="L6" s="29"/>
      <c r="M6" s="23"/>
    </row>
    <row r="7" spans="1:13" ht="12.75" customHeight="1" x14ac:dyDescent="0.2">
      <c r="A7" s="26"/>
      <c r="B7" s="31" t="s">
        <v>19</v>
      </c>
      <c r="C7" s="26"/>
      <c r="D7" s="31" t="s">
        <v>522</v>
      </c>
      <c r="E7" s="31" t="s">
        <v>225</v>
      </c>
      <c r="F7" s="26"/>
      <c r="G7" s="31" t="s">
        <v>133</v>
      </c>
      <c r="H7" s="31" t="s">
        <v>134</v>
      </c>
      <c r="I7" s="31" t="s">
        <v>521</v>
      </c>
      <c r="J7" s="31" t="s">
        <v>137</v>
      </c>
      <c r="K7" s="31" t="s">
        <v>17</v>
      </c>
      <c r="L7" s="26"/>
      <c r="M7" s="23"/>
    </row>
    <row r="8" spans="1:13" ht="12.75" customHeight="1" x14ac:dyDescent="0.2">
      <c r="A8" s="31" t="s">
        <v>138</v>
      </c>
      <c r="B8" s="31" t="s">
        <v>139</v>
      </c>
      <c r="C8" s="31" t="s">
        <v>29</v>
      </c>
      <c r="D8" s="31" t="s">
        <v>136</v>
      </c>
      <c r="E8" s="31" t="s">
        <v>135</v>
      </c>
      <c r="F8" s="31" t="s">
        <v>126</v>
      </c>
      <c r="G8" s="31" t="s">
        <v>18</v>
      </c>
      <c r="H8" s="31" t="s">
        <v>147</v>
      </c>
      <c r="I8" s="31" t="s">
        <v>140</v>
      </c>
      <c r="J8" s="31" t="s">
        <v>141</v>
      </c>
      <c r="K8" s="31" t="s">
        <v>142</v>
      </c>
      <c r="L8" s="31" t="s">
        <v>20</v>
      </c>
      <c r="M8" s="31" t="s">
        <v>639</v>
      </c>
    </row>
    <row r="9" spans="1:13" ht="12.75" customHeight="1" x14ac:dyDescent="0.2">
      <c r="A9" s="31"/>
      <c r="B9" s="31" t="s">
        <v>724</v>
      </c>
      <c r="C9" s="31" t="s">
        <v>725</v>
      </c>
      <c r="D9" s="31" t="s">
        <v>726</v>
      </c>
      <c r="E9" s="31" t="s">
        <v>727</v>
      </c>
      <c r="F9" s="31" t="s">
        <v>728</v>
      </c>
      <c r="G9" s="31" t="s">
        <v>729</v>
      </c>
      <c r="H9" s="31" t="s">
        <v>730</v>
      </c>
      <c r="I9" s="31" t="s">
        <v>731</v>
      </c>
      <c r="J9" s="31" t="s">
        <v>732</v>
      </c>
      <c r="K9" s="31" t="s">
        <v>733</v>
      </c>
      <c r="L9" s="31" t="s">
        <v>734</v>
      </c>
      <c r="M9" s="31" t="s">
        <v>735</v>
      </c>
    </row>
    <row r="10" spans="1:13" ht="12.75" customHeight="1" x14ac:dyDescent="0.2">
      <c r="A10" s="31" t="s">
        <v>143</v>
      </c>
      <c r="B10" s="31" t="s">
        <v>552</v>
      </c>
      <c r="C10" s="31" t="s">
        <v>552</v>
      </c>
      <c r="D10" s="31" t="s">
        <v>552</v>
      </c>
      <c r="E10" s="31" t="s">
        <v>552</v>
      </c>
      <c r="F10" s="31" t="s">
        <v>552</v>
      </c>
      <c r="G10" s="31" t="s">
        <v>552</v>
      </c>
      <c r="H10" s="31" t="s">
        <v>552</v>
      </c>
      <c r="I10" s="31" t="s">
        <v>552</v>
      </c>
      <c r="J10" s="31" t="s">
        <v>552</v>
      </c>
      <c r="K10" s="31" t="s">
        <v>552</v>
      </c>
      <c r="L10" s="31" t="s">
        <v>552</v>
      </c>
      <c r="M10" s="31" t="s">
        <v>643</v>
      </c>
    </row>
    <row r="11" spans="1:13" ht="12.75" customHeight="1" x14ac:dyDescent="0.2">
      <c r="A11" s="32"/>
      <c r="B11" s="32">
        <v>0.86</v>
      </c>
      <c r="C11" s="32">
        <v>0.89</v>
      </c>
      <c r="D11" s="32">
        <v>1.02</v>
      </c>
      <c r="E11" s="32">
        <v>1.02</v>
      </c>
      <c r="F11" s="32">
        <v>0.99</v>
      </c>
      <c r="G11" s="32">
        <v>0.98</v>
      </c>
      <c r="H11" s="32">
        <v>0.99</v>
      </c>
      <c r="I11" s="32">
        <v>1.01</v>
      </c>
      <c r="J11" s="32">
        <v>1.04</v>
      </c>
      <c r="K11" s="32">
        <v>1.04</v>
      </c>
      <c r="L11" s="32">
        <v>1.03</v>
      </c>
      <c r="M11" s="32">
        <v>1.02</v>
      </c>
    </row>
    <row r="12" spans="1:13" ht="12.7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3"/>
    </row>
    <row r="13" spans="1:13" ht="12.75" customHeight="1" x14ac:dyDescent="0.2">
      <c r="A13" s="40" t="s">
        <v>16</v>
      </c>
      <c r="B13" s="45">
        <f>1.203*$B$11*'const-cost'!E12</f>
        <v>476.67238920000005</v>
      </c>
      <c r="C13" s="45">
        <f>1.203*$C$11*'const-cost'!E12</f>
        <v>493.30049580000002</v>
      </c>
      <c r="D13" s="45">
        <f>1.203*$D$11*'const-cost'!E12</f>
        <v>565.35562440000001</v>
      </c>
      <c r="E13" s="45">
        <f>1.203*$E$11*'const-cost'!E12</f>
        <v>565.35562440000001</v>
      </c>
      <c r="F13" s="45">
        <f>1.203*$F$11*'const-cost'!E12</f>
        <v>548.7275178000001</v>
      </c>
      <c r="G13" s="45">
        <f>1.203*$G$11*'const-cost'!E12</f>
        <v>543.18481560000009</v>
      </c>
      <c r="H13" s="45">
        <f>1.203*$H$11*'const-cost'!E12</f>
        <v>548.7275178000001</v>
      </c>
      <c r="I13" s="45">
        <f>1.203*$I$11*'const-cost'!E12</f>
        <v>559.8129222</v>
      </c>
      <c r="J13" s="45">
        <f>1.203*$J$11*'const-cost'!E12</f>
        <v>576.44102880000003</v>
      </c>
      <c r="K13" s="45">
        <f>1.203*$K$11*'const-cost'!E12</f>
        <v>576.44102880000003</v>
      </c>
      <c r="L13" s="45">
        <f>1.203*$L$11*'const-cost'!E12</f>
        <v>570.89832660000002</v>
      </c>
      <c r="M13" s="45">
        <f>1.203*$M$11*'const-cost'!E12</f>
        <v>565.35562440000001</v>
      </c>
    </row>
    <row r="14" spans="1:13" ht="12.75" customHeight="1" x14ac:dyDescent="0.2">
      <c r="A14" s="41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9"/>
    </row>
    <row r="15" spans="1:13" ht="12.75" customHeight="1" x14ac:dyDescent="0.2">
      <c r="A15" s="40" t="s">
        <v>35</v>
      </c>
      <c r="B15" s="45">
        <f>1.203*$B$11*'const-cost'!E14</f>
        <v>523.45609679999995</v>
      </c>
      <c r="C15" s="45">
        <f>1.203*$C$11*'const-cost'!E14</f>
        <v>541.71619320000002</v>
      </c>
      <c r="D15" s="45">
        <f>1.203*$D$11*'const-cost'!E14</f>
        <v>620.84327759999996</v>
      </c>
      <c r="E15" s="45">
        <f>1.203*$E$11*'const-cost'!E14</f>
        <v>620.84327759999996</v>
      </c>
      <c r="F15" s="45">
        <f>1.203*$F$11*'const-cost'!E14</f>
        <v>602.58318120000001</v>
      </c>
      <c r="G15" s="45">
        <f>1.203*$G$11*'const-cost'!E14</f>
        <v>596.49648239999999</v>
      </c>
      <c r="H15" s="45">
        <f>1.203*$H$11*'const-cost'!E14</f>
        <v>602.58318120000001</v>
      </c>
      <c r="I15" s="45">
        <f>1.203*$I$11*'const-cost'!E14</f>
        <v>614.75657880000006</v>
      </c>
      <c r="J15" s="45">
        <f>1.203*$J$11*'const-cost'!E14</f>
        <v>633.01667520000001</v>
      </c>
      <c r="K15" s="45">
        <f>1.203*$K$11*'const-cost'!E14</f>
        <v>633.01667520000001</v>
      </c>
      <c r="L15" s="45">
        <f>1.203*$L$11*'const-cost'!E14</f>
        <v>626.92997639999999</v>
      </c>
      <c r="M15" s="45">
        <f>1.203*$M$11*'const-cost'!E14</f>
        <v>620.84327759999996</v>
      </c>
    </row>
    <row r="16" spans="1:13" ht="12.75" customHeight="1" x14ac:dyDescent="0.2">
      <c r="A16" s="41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9"/>
    </row>
    <row r="17" spans="1:13" ht="12.75" customHeight="1" x14ac:dyDescent="0.2">
      <c r="A17" s="40" t="s">
        <v>42</v>
      </c>
      <c r="B17" s="45">
        <f>1.203*$B$11*'const-cost'!E16</f>
        <v>378.09760679999999</v>
      </c>
      <c r="C17" s="45">
        <f>1.203*$C$11*'const-cost'!E16</f>
        <v>391.28705819999999</v>
      </c>
      <c r="D17" s="45">
        <f>1.203*$D$11*'const-cost'!E16</f>
        <v>448.44134759999997</v>
      </c>
      <c r="E17" s="45">
        <f>1.203*$E$11*'const-cost'!E16</f>
        <v>448.44134759999997</v>
      </c>
      <c r="F17" s="45">
        <f>1.203*$F$11*'const-cost'!E16</f>
        <v>435.25189620000003</v>
      </c>
      <c r="G17" s="45">
        <f>1.203*$G$11*'const-cost'!E16</f>
        <v>430.85541240000003</v>
      </c>
      <c r="H17" s="45">
        <f>1.203*$H$11*'const-cost'!E16</f>
        <v>435.25189620000003</v>
      </c>
      <c r="I17" s="45">
        <f>1.203*$I$11*'const-cost'!E16</f>
        <v>444.04486379999997</v>
      </c>
      <c r="J17" s="45">
        <f>1.203*$J$11*'const-cost'!E16</f>
        <v>457.23431519999997</v>
      </c>
      <c r="K17" s="45">
        <f>1.203*$K$11*'const-cost'!E16</f>
        <v>457.23431519999997</v>
      </c>
      <c r="L17" s="45">
        <f>1.203*$L$11*'const-cost'!E16</f>
        <v>452.83783139999997</v>
      </c>
      <c r="M17" s="45">
        <f>1.203*$M$11*'const-cost'!E16</f>
        <v>448.44134759999997</v>
      </c>
    </row>
    <row r="18" spans="1:13" ht="12.75" customHeight="1" x14ac:dyDescent="0.2">
      <c r="A18" s="41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9"/>
    </row>
    <row r="19" spans="1:13" ht="12.75" customHeight="1" x14ac:dyDescent="0.2">
      <c r="A19" s="40" t="s">
        <v>52</v>
      </c>
      <c r="B19" s="45">
        <f>1.203*$B$11*'const-cost'!E18</f>
        <v>642.77420819999998</v>
      </c>
      <c r="C19" s="45">
        <f>1.203*$C$11*'const-cost'!E18</f>
        <v>665.19656429999998</v>
      </c>
      <c r="D19" s="45">
        <f>1.203*$D$11*'const-cost'!E18</f>
        <v>762.36010739999995</v>
      </c>
      <c r="E19" s="45">
        <f>1.203*$E$11*'const-cost'!E18</f>
        <v>762.36010739999995</v>
      </c>
      <c r="F19" s="45">
        <f>1.203*$F$11*'const-cost'!E18</f>
        <v>739.93775130000006</v>
      </c>
      <c r="G19" s="45">
        <f>1.203*$G$11*'const-cost'!E18</f>
        <v>732.46363259999998</v>
      </c>
      <c r="H19" s="45">
        <f>1.203*$H$11*'const-cost'!E18</f>
        <v>739.93775130000006</v>
      </c>
      <c r="I19" s="45">
        <f>1.203*$I$11*'const-cost'!E18</f>
        <v>754.88598869999998</v>
      </c>
      <c r="J19" s="45">
        <f>1.203*$J$11*'const-cost'!E18</f>
        <v>777.30834479999999</v>
      </c>
      <c r="K19" s="45">
        <f>1.203*$K$11*'const-cost'!E18</f>
        <v>777.30834479999999</v>
      </c>
      <c r="L19" s="45">
        <f>1.203*$L$11*'const-cost'!E18</f>
        <v>769.83422610000002</v>
      </c>
      <c r="M19" s="45">
        <f>1.203*$M$11*'const-cost'!E18</f>
        <v>762.36010739999995</v>
      </c>
    </row>
    <row r="20" spans="1:13" ht="12.75" customHeight="1" x14ac:dyDescent="0.2">
      <c r="A20" s="41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39"/>
    </row>
    <row r="21" spans="1:13" ht="12.75" customHeight="1" x14ac:dyDescent="0.2">
      <c r="A21" s="40" t="s">
        <v>63</v>
      </c>
      <c r="B21" s="45">
        <f>1.203*$B$11*'const-cost'!E20</f>
        <v>472.07885400000004</v>
      </c>
      <c r="C21" s="45">
        <f>1.203*$C$11*'const-cost'!E20</f>
        <v>488.54672099999999</v>
      </c>
      <c r="D21" s="45">
        <f>1.203*$D$11*'const-cost'!E20</f>
        <v>559.90747800000008</v>
      </c>
      <c r="E21" s="45">
        <f>1.203*$E$11*'const-cost'!E20</f>
        <v>559.90747800000008</v>
      </c>
      <c r="F21" s="45">
        <f>1.203*$F$11*'const-cost'!E20</f>
        <v>543.43961100000001</v>
      </c>
      <c r="G21" s="45">
        <f>1.203*$G$11*'const-cost'!E20</f>
        <v>537.95032200000003</v>
      </c>
      <c r="H21" s="45">
        <f>1.203*$H$11*'const-cost'!E20</f>
        <v>543.43961100000001</v>
      </c>
      <c r="I21" s="45">
        <f>1.203*$I$11*'const-cost'!E20</f>
        <v>554.41818899999998</v>
      </c>
      <c r="J21" s="45">
        <f>1.203*$J$11*'const-cost'!E20</f>
        <v>570.88605600000005</v>
      </c>
      <c r="K21" s="45">
        <f>1.203*$K$11*'const-cost'!E20</f>
        <v>570.88605600000005</v>
      </c>
      <c r="L21" s="45">
        <f>1.203*$L$11*'const-cost'!E20</f>
        <v>565.39676700000007</v>
      </c>
      <c r="M21" s="45">
        <f>1.203*$M$11*'const-cost'!E20</f>
        <v>559.90747800000008</v>
      </c>
    </row>
    <row r="22" spans="1:13" ht="12.75" customHeight="1" x14ac:dyDescent="0.2">
      <c r="A22" s="41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39"/>
    </row>
    <row r="23" spans="1:13" ht="12.75" customHeight="1" x14ac:dyDescent="0.2">
      <c r="A23" s="40" t="s">
        <v>144</v>
      </c>
      <c r="B23" s="45">
        <f>1.203*$B$11*'const-cost'!E22</f>
        <v>572.51588040000001</v>
      </c>
      <c r="C23" s="45">
        <f>1.203*$C$11*'const-cost'!E22</f>
        <v>592.48736459999998</v>
      </c>
      <c r="D23" s="45">
        <f>1.203*$D$11*'const-cost'!E22</f>
        <v>679.03046280000001</v>
      </c>
      <c r="E23" s="45">
        <f>1.203*$E$11*'const-cost'!E22</f>
        <v>679.03046280000001</v>
      </c>
      <c r="F23" s="45">
        <f>1.203*$F$11*'const-cost'!E22</f>
        <v>659.05897860000005</v>
      </c>
      <c r="G23" s="45">
        <f>1.203*$G$11*'const-cost'!E22</f>
        <v>652.4018172000001</v>
      </c>
      <c r="H23" s="45">
        <f>1.203*$H$11*'const-cost'!E22</f>
        <v>659.05897860000005</v>
      </c>
      <c r="I23" s="45">
        <f>1.203*$I$11*'const-cost'!E22</f>
        <v>672.37330140000006</v>
      </c>
      <c r="J23" s="45">
        <f>1.203*$J$11*'const-cost'!E22</f>
        <v>692.34478560000002</v>
      </c>
      <c r="K23" s="45">
        <f>1.203*$K$11*'const-cost'!E22</f>
        <v>692.34478560000002</v>
      </c>
      <c r="L23" s="45">
        <f>1.203*$L$11*'const-cost'!E22</f>
        <v>685.68762419999996</v>
      </c>
      <c r="M23" s="45">
        <f>1.203*$M$11*'const-cost'!E22</f>
        <v>679.03046280000001</v>
      </c>
    </row>
    <row r="24" spans="1:13" ht="12.75" customHeight="1" x14ac:dyDescent="0.2">
      <c r="A24" s="4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39"/>
    </row>
    <row r="25" spans="1:13" ht="12.75" customHeight="1" x14ac:dyDescent="0.2">
      <c r="A25" s="40" t="s">
        <v>78</v>
      </c>
      <c r="B25" s="45">
        <f>1.203*$B$11*'const-cost'!E24</f>
        <v>332.32778760000002</v>
      </c>
      <c r="C25" s="45">
        <f>1.203*$C$11*'const-cost'!E24</f>
        <v>343.92061740000003</v>
      </c>
      <c r="D25" s="45">
        <f>1.203*$D$11*'const-cost'!E24</f>
        <v>394.15621320000002</v>
      </c>
      <c r="E25" s="45">
        <f>1.203*$E$11*'const-cost'!E24</f>
        <v>394.15621320000002</v>
      </c>
      <c r="F25" s="45">
        <f>1.203*$F$11*'const-cost'!E24</f>
        <v>382.56338340000008</v>
      </c>
      <c r="G25" s="45">
        <f>1.203*$G$11*'const-cost'!E24</f>
        <v>378.69910680000004</v>
      </c>
      <c r="H25" s="45">
        <f>1.203*$H$11*'const-cost'!E24</f>
        <v>382.56338340000008</v>
      </c>
      <c r="I25" s="45">
        <f>1.203*$I$11*'const-cost'!E24</f>
        <v>390.29193660000004</v>
      </c>
      <c r="J25" s="45">
        <f>1.203*$J$11*'const-cost'!E24</f>
        <v>401.88476640000005</v>
      </c>
      <c r="K25" s="45">
        <f>1.203*$K$11*'const-cost'!E24</f>
        <v>401.88476640000005</v>
      </c>
      <c r="L25" s="45">
        <f>1.203*$L$11*'const-cost'!E24</f>
        <v>398.02048980000006</v>
      </c>
      <c r="M25" s="45">
        <f>1.203*$M$11*'const-cost'!E24</f>
        <v>394.15621320000002</v>
      </c>
    </row>
    <row r="26" spans="1:13" ht="12.75" customHeight="1" x14ac:dyDescent="0.2">
      <c r="A26" s="41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39"/>
    </row>
    <row r="27" spans="1:13" ht="12.75" hidden="1" x14ac:dyDescent="0.2">
      <c r="A27" s="208" t="s">
        <v>84</v>
      </c>
      <c r="B27" s="144" t="s">
        <v>644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3"/>
    </row>
    <row r="28" spans="1:13" ht="12.75" hidden="1" x14ac:dyDescent="0.2">
      <c r="A28" s="41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39"/>
    </row>
    <row r="29" spans="1:13" ht="12.75" x14ac:dyDescent="0.2">
      <c r="A29" s="40" t="s">
        <v>145</v>
      </c>
      <c r="B29" s="45">
        <f>1.203*$B$11*'const-cost'!E28</f>
        <v>367.44143280000003</v>
      </c>
      <c r="C29" s="45">
        <f>1.203*$C$11*'const-cost'!E28</f>
        <v>380.2591572</v>
      </c>
      <c r="D29" s="45">
        <f>1.203*$D$11*'const-cost'!E28</f>
        <v>435.80262960000005</v>
      </c>
      <c r="E29" s="45">
        <f>1.203*$E$11*'const-cost'!E28</f>
        <v>435.80262960000005</v>
      </c>
      <c r="F29" s="45">
        <f>1.203*$F$11*'const-cost'!E28</f>
        <v>422.98490520000007</v>
      </c>
      <c r="G29" s="45">
        <f>1.203*$G$11*'const-cost'!E28</f>
        <v>418.71233040000004</v>
      </c>
      <c r="H29" s="45">
        <f>1.203*$H$11*'const-cost'!E28</f>
        <v>422.98490520000007</v>
      </c>
      <c r="I29" s="45">
        <f>1.203*$I$11*'const-cost'!E28</f>
        <v>431.53005480000007</v>
      </c>
      <c r="J29" s="45">
        <f>1.203*$J$11*'const-cost'!E28</f>
        <v>444.34777920000005</v>
      </c>
      <c r="K29" s="45">
        <f>1.203*$K$11*'const-cost'!E28</f>
        <v>444.34777920000005</v>
      </c>
      <c r="L29" s="45">
        <f>1.203*$L$11*'const-cost'!E28</f>
        <v>440.07520440000002</v>
      </c>
      <c r="M29" s="45">
        <f>1.203*$M$11*'const-cost'!E28</f>
        <v>435.80262960000005</v>
      </c>
    </row>
    <row r="30" spans="1:13" ht="12.75" x14ac:dyDescent="0.2">
      <c r="A30" s="41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39"/>
    </row>
    <row r="31" spans="1:13" ht="12.75" x14ac:dyDescent="0.2">
      <c r="A31" s="40" t="s">
        <v>98</v>
      </c>
      <c r="B31" s="45">
        <f>1.203*$B$11*'const-cost'!E30</f>
        <v>514.6725126</v>
      </c>
      <c r="C31" s="45">
        <f>1.203*$C$11*'const-cost'!E30</f>
        <v>532.62620490000006</v>
      </c>
      <c r="D31" s="45">
        <f>1.203*$D$11*'const-cost'!E30</f>
        <v>610.42553820000001</v>
      </c>
      <c r="E31" s="45">
        <f>1.203*$E$11*'const-cost'!E30</f>
        <v>610.42553820000001</v>
      </c>
      <c r="F31" s="45">
        <f>1.203*$F$11*'const-cost'!E30</f>
        <v>592.47184590000006</v>
      </c>
      <c r="G31" s="45">
        <f>1.203*$G$11*'const-cost'!E30</f>
        <v>586.48728180000012</v>
      </c>
      <c r="H31" s="45">
        <f>1.203*$H$11*'const-cost'!E30</f>
        <v>592.47184590000006</v>
      </c>
      <c r="I31" s="45">
        <f>1.203*$I$11*'const-cost'!E30</f>
        <v>604.44097410000006</v>
      </c>
      <c r="J31" s="45">
        <f>1.203*$J$11*'const-cost'!E30</f>
        <v>622.39466640000001</v>
      </c>
      <c r="K31" s="45">
        <f>1.203*$K$11*'const-cost'!E30</f>
        <v>622.39466640000001</v>
      </c>
      <c r="L31" s="45">
        <f>1.203*$L$11*'const-cost'!E30</f>
        <v>616.41010230000006</v>
      </c>
      <c r="M31" s="45">
        <f>1.203*$M$11*'const-cost'!E30</f>
        <v>610.42553820000001</v>
      </c>
    </row>
    <row r="32" spans="1:13" ht="12.75" x14ac:dyDescent="0.2">
      <c r="A32" s="26"/>
      <c r="B32" s="44"/>
      <c r="C32" s="44"/>
      <c r="D32" s="44"/>
      <c r="E32" s="44"/>
      <c r="F32" s="44"/>
      <c r="G32" s="45"/>
      <c r="H32" s="44"/>
      <c r="I32" s="44"/>
      <c r="J32" s="44"/>
      <c r="K32" s="45"/>
      <c r="L32" s="44"/>
      <c r="M32" s="39"/>
    </row>
    <row r="33" spans="1:13" ht="11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3"/>
    </row>
    <row r="34" spans="1:13" ht="11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3"/>
    </row>
    <row r="35" spans="1:13" ht="11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3"/>
    </row>
    <row r="36" spans="1:13" ht="12.75" x14ac:dyDescent="0.2">
      <c r="A36" s="34" t="s">
        <v>622</v>
      </c>
      <c r="B36" s="33"/>
      <c r="C36" s="33"/>
      <c r="D36" s="33"/>
      <c r="E36" s="33"/>
      <c r="F36" s="33"/>
      <c r="G36" s="33"/>
      <c r="H36" s="33"/>
      <c r="I36" s="33"/>
      <c r="J36" s="26"/>
      <c r="K36" s="26"/>
      <c r="L36" s="26"/>
      <c r="M36" s="23"/>
    </row>
    <row r="37" spans="1:13" ht="12.75" x14ac:dyDescent="0.2">
      <c r="A37" s="34" t="s">
        <v>146</v>
      </c>
      <c r="B37" s="33"/>
      <c r="C37" s="33"/>
      <c r="D37" s="33"/>
      <c r="E37" s="33"/>
      <c r="F37" s="33"/>
      <c r="G37" s="33"/>
      <c r="H37" s="33"/>
      <c r="I37" s="33"/>
      <c r="J37" s="26"/>
      <c r="K37" s="26"/>
      <c r="L37" s="26"/>
      <c r="M37" s="23"/>
    </row>
    <row r="38" spans="1:13" ht="12.75" x14ac:dyDescent="0.2">
      <c r="A38" s="35" t="s">
        <v>759</v>
      </c>
      <c r="B38" s="33"/>
      <c r="C38" s="33"/>
      <c r="D38" s="33"/>
      <c r="E38" s="33"/>
      <c r="F38" s="33"/>
      <c r="G38" s="33"/>
      <c r="H38" s="33"/>
      <c r="I38" s="33"/>
      <c r="J38" s="26"/>
      <c r="K38" s="26"/>
      <c r="L38" s="26"/>
      <c r="M38" s="23"/>
    </row>
    <row r="39" spans="1:13" ht="12.75" x14ac:dyDescent="0.2">
      <c r="A39" s="35" t="s">
        <v>519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2.75" x14ac:dyDescent="0.2">
      <c r="A40" s="35" t="s">
        <v>149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2.75" x14ac:dyDescent="0.2">
      <c r="A41" s="4"/>
    </row>
  </sheetData>
  <phoneticPr fontId="3" type="noConversion"/>
  <printOptions horizontalCentered="1" gridLinesSet="0"/>
  <pageMargins left="0.5" right="0.5" top="1" bottom="0.25" header="0.5" footer="0"/>
  <pageSetup scale="62" orientation="landscape" horizontalDpi="300" verticalDpi="300" r:id="rId1"/>
  <headerFooter alignWithMargins="0">
    <oddFooter>&amp;L&amp;F&amp;C&amp;P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6834-0569-48FA-A122-98B2DF86BDE0}">
  <sheetPr syncVertical="1" syncRef="A86" transitionEvaluation="1">
    <pageSetUpPr fitToPage="1"/>
  </sheetPr>
  <dimension ref="A1:X400"/>
  <sheetViews>
    <sheetView showGridLines="0" zoomScale="145" zoomScaleNormal="145" zoomScaleSheetLayoutView="75" workbookViewId="0">
      <pane ySplit="9" topLeftCell="A86" activePane="bottomLeft" state="frozen"/>
      <selection pane="bottomLeft" activeCell="G190" sqref="G190"/>
    </sheetView>
  </sheetViews>
  <sheetFormatPr defaultColWidth="11.6640625" defaultRowHeight="10.5" x14ac:dyDescent="0.15"/>
  <cols>
    <col min="1" max="1" width="16.1640625" customWidth="1"/>
    <col min="2" max="2" width="33.1640625" hidden="1" customWidth="1"/>
    <col min="3" max="3" width="55.1640625" customWidth="1"/>
    <col min="4" max="4" width="2.6640625" customWidth="1"/>
    <col min="5" max="5" width="13.5" customWidth="1"/>
    <col min="7" max="7" width="10.6640625" customWidth="1"/>
    <col min="8" max="8" width="16.83203125" bestFit="1" customWidth="1"/>
    <col min="9" max="9" width="12.6640625" customWidth="1"/>
    <col min="10" max="10" width="17.1640625" customWidth="1"/>
    <col min="11" max="11" width="14.1640625" bestFit="1" customWidth="1"/>
    <col min="12" max="12" width="22.6640625" customWidth="1"/>
    <col min="13" max="13" width="14.6640625" customWidth="1"/>
  </cols>
  <sheetData>
    <row r="1" spans="1:12" ht="12.75" x14ac:dyDescent="0.2">
      <c r="A1" s="21" t="s">
        <v>525</v>
      </c>
      <c r="B1" s="60"/>
      <c r="C1" s="60" t="s">
        <v>750</v>
      </c>
      <c r="D1" s="60"/>
      <c r="E1" s="60"/>
      <c r="F1" s="60"/>
      <c r="G1" s="60"/>
      <c r="H1" s="60"/>
      <c r="I1" s="60"/>
      <c r="J1" s="60"/>
      <c r="K1" s="60"/>
      <c r="L1" s="60"/>
    </row>
    <row r="2" spans="1:12" ht="12.75" x14ac:dyDescent="0.2">
      <c r="A2" s="21" t="s">
        <v>526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2.2" customHeight="1" x14ac:dyDescent="0.2">
      <c r="A3" s="61" t="s">
        <v>523</v>
      </c>
      <c r="B3" s="60"/>
      <c r="C3" s="61"/>
      <c r="D3" s="61"/>
      <c r="E3" s="61"/>
      <c r="F3" s="60"/>
      <c r="G3" s="61"/>
      <c r="H3" s="61"/>
      <c r="I3" s="61"/>
      <c r="J3" s="60"/>
      <c r="K3" s="60"/>
      <c r="L3" s="60"/>
    </row>
    <row r="4" spans="1:12" ht="12.2" customHeight="1" x14ac:dyDescent="0.2">
      <c r="A4" s="61" t="s">
        <v>762</v>
      </c>
      <c r="B4" s="60"/>
      <c r="C4" s="61"/>
      <c r="D4" s="61"/>
      <c r="E4" s="61"/>
      <c r="F4" s="60"/>
      <c r="G4" s="61"/>
      <c r="H4" s="61"/>
      <c r="I4" s="61"/>
      <c r="J4" s="60"/>
      <c r="K4" s="60"/>
      <c r="L4" s="60"/>
    </row>
    <row r="5" spans="1:12" ht="11.25" x14ac:dyDescent="0.2">
      <c r="A5" s="247" t="s">
        <v>621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1:12" ht="3.2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11.25" x14ac:dyDescent="0.2">
      <c r="A7" s="62"/>
      <c r="B7" s="62"/>
      <c r="C7" s="62"/>
      <c r="D7" s="62"/>
      <c r="E7" s="63" t="s">
        <v>0</v>
      </c>
      <c r="F7" s="62" t="s">
        <v>624</v>
      </c>
      <c r="G7" s="62"/>
      <c r="H7" s="62"/>
      <c r="I7" s="62"/>
      <c r="J7" s="63" t="s">
        <v>1</v>
      </c>
      <c r="K7" s="62"/>
      <c r="L7" s="62"/>
    </row>
    <row r="8" spans="1:12" ht="11.25" x14ac:dyDescent="0.2">
      <c r="A8" s="64" t="s">
        <v>2</v>
      </c>
      <c r="B8" s="65"/>
      <c r="C8" s="65"/>
      <c r="D8" s="65"/>
      <c r="E8" s="64" t="s">
        <v>3</v>
      </c>
      <c r="F8" s="64" t="s">
        <v>625</v>
      </c>
      <c r="G8" s="64"/>
      <c r="H8" s="66" t="s">
        <v>749</v>
      </c>
      <c r="I8" s="64" t="s">
        <v>4</v>
      </c>
      <c r="J8" s="64" t="s">
        <v>5</v>
      </c>
      <c r="K8" s="65"/>
      <c r="L8" s="64" t="s">
        <v>6</v>
      </c>
    </row>
    <row r="9" spans="1:12" ht="56.25" x14ac:dyDescent="0.2">
      <c r="A9" s="67" t="s">
        <v>7</v>
      </c>
      <c r="B9" s="67" t="s">
        <v>8</v>
      </c>
      <c r="C9" s="67" t="s">
        <v>9</v>
      </c>
      <c r="D9" s="68"/>
      <c r="E9" s="67"/>
      <c r="F9" s="69" t="s">
        <v>635</v>
      </c>
      <c r="G9" s="69" t="s">
        <v>633</v>
      </c>
      <c r="H9" s="67" t="s">
        <v>10</v>
      </c>
      <c r="I9" s="67" t="s">
        <v>11</v>
      </c>
      <c r="J9" s="67" t="s">
        <v>3</v>
      </c>
      <c r="K9" s="67" t="s">
        <v>12</v>
      </c>
      <c r="L9" s="67" t="s">
        <v>13</v>
      </c>
    </row>
    <row r="10" spans="1:12" ht="11.25" x14ac:dyDescent="0.2">
      <c r="A10" s="64"/>
      <c r="B10" s="64"/>
      <c r="C10" s="64"/>
      <c r="D10" s="65"/>
      <c r="E10" s="70" t="s">
        <v>14</v>
      </c>
      <c r="F10" s="64"/>
      <c r="G10" s="64"/>
      <c r="H10" s="64"/>
      <c r="I10" s="64"/>
      <c r="J10" s="65" t="s">
        <v>15</v>
      </c>
      <c r="K10" s="64"/>
      <c r="L10" s="70" t="s">
        <v>14</v>
      </c>
    </row>
    <row r="11" spans="1:12" ht="2.1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0.15" customHeight="1" x14ac:dyDescent="0.2">
      <c r="A12" s="71" t="s">
        <v>16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0.15" customHeight="1" x14ac:dyDescent="0.2">
      <c r="A13" s="64" t="s">
        <v>18</v>
      </c>
      <c r="B13" s="23"/>
      <c r="C13" s="23" t="s">
        <v>751</v>
      </c>
      <c r="D13" s="23"/>
      <c r="E13" s="73">
        <f>SUM(3241000/52000)</f>
        <v>62.32692307692308</v>
      </c>
      <c r="F13" s="231">
        <v>29891</v>
      </c>
      <c r="G13" s="23"/>
      <c r="H13" s="23"/>
      <c r="I13" s="23"/>
      <c r="J13" s="23"/>
      <c r="K13" s="23"/>
      <c r="L13" s="23"/>
    </row>
    <row r="14" spans="1:12" ht="10.15" customHeight="1" x14ac:dyDescent="0.2">
      <c r="A14" s="64" t="s">
        <v>20</v>
      </c>
      <c r="B14" s="23"/>
      <c r="C14" s="23" t="s">
        <v>754</v>
      </c>
      <c r="D14" s="23"/>
      <c r="E14" s="73">
        <f>SUM(6266551/84400)</f>
        <v>74.248234597156397</v>
      </c>
      <c r="F14" s="231">
        <v>32933</v>
      </c>
      <c r="G14" s="23"/>
      <c r="H14" s="23"/>
      <c r="I14" s="23"/>
      <c r="J14" s="23"/>
      <c r="K14" s="23"/>
      <c r="L14" s="23"/>
    </row>
    <row r="15" spans="1:12" ht="10.15" customHeight="1" x14ac:dyDescent="0.2">
      <c r="A15" s="64" t="s">
        <v>17</v>
      </c>
      <c r="B15" s="64">
        <v>589</v>
      </c>
      <c r="C15" s="72" t="s">
        <v>31</v>
      </c>
      <c r="D15" s="23"/>
      <c r="E15" s="73">
        <v>97.37</v>
      </c>
      <c r="F15" s="232" t="s">
        <v>32</v>
      </c>
      <c r="G15" s="75"/>
      <c r="H15" s="75"/>
      <c r="I15" s="76"/>
      <c r="J15" s="75"/>
      <c r="K15" s="77"/>
      <c r="L15" s="77"/>
    </row>
    <row r="16" spans="1:12" ht="10.15" customHeight="1" x14ac:dyDescent="0.2">
      <c r="A16" s="64" t="s">
        <v>18</v>
      </c>
      <c r="B16" s="78">
        <v>395</v>
      </c>
      <c r="C16" s="79" t="s">
        <v>120</v>
      </c>
      <c r="D16" s="80"/>
      <c r="E16" s="81">
        <v>106.33</v>
      </c>
      <c r="F16" s="82">
        <v>35400</v>
      </c>
      <c r="G16" s="83"/>
      <c r="H16" s="75"/>
      <c r="I16" s="84"/>
      <c r="J16" s="83"/>
      <c r="K16" s="85"/>
      <c r="L16" s="85"/>
    </row>
    <row r="17" spans="1:24" ht="10.15" customHeight="1" x14ac:dyDescent="0.2">
      <c r="A17" s="64" t="s">
        <v>20</v>
      </c>
      <c r="B17" s="64">
        <v>424</v>
      </c>
      <c r="C17" s="72" t="s">
        <v>111</v>
      </c>
      <c r="D17" s="23"/>
      <c r="E17" s="73">
        <v>110.11</v>
      </c>
      <c r="F17" s="86">
        <v>35462</v>
      </c>
      <c r="G17" s="75"/>
      <c r="H17" s="75"/>
      <c r="I17" s="76"/>
      <c r="J17" s="75"/>
      <c r="K17" s="77"/>
      <c r="L17" s="77"/>
    </row>
    <row r="18" spans="1:24" ht="10.15" customHeight="1" x14ac:dyDescent="0.2">
      <c r="A18" s="64" t="s">
        <v>126</v>
      </c>
      <c r="B18" s="64">
        <v>1009</v>
      </c>
      <c r="C18" s="72" t="s">
        <v>128</v>
      </c>
      <c r="D18" s="23"/>
      <c r="E18" s="73">
        <v>119.49</v>
      </c>
      <c r="F18" s="86">
        <v>36130</v>
      </c>
      <c r="G18" s="75"/>
      <c r="H18" s="75"/>
      <c r="I18" s="76"/>
      <c r="J18" s="75"/>
      <c r="K18" s="77"/>
      <c r="L18" s="77"/>
    </row>
    <row r="19" spans="1:24" ht="10.15" customHeight="1" x14ac:dyDescent="0.2">
      <c r="A19" s="64" t="s">
        <v>20</v>
      </c>
      <c r="B19" s="64">
        <v>455</v>
      </c>
      <c r="C19" s="87" t="s">
        <v>432</v>
      </c>
      <c r="D19" s="23"/>
      <c r="E19" s="73">
        <f>2434250/15375</f>
        <v>158.32520325203251</v>
      </c>
      <c r="F19" s="86">
        <v>36992</v>
      </c>
      <c r="G19" s="75"/>
      <c r="H19" s="75"/>
      <c r="I19" s="76"/>
      <c r="J19" s="75"/>
      <c r="K19" s="88"/>
      <c r="L19" s="77"/>
    </row>
    <row r="20" spans="1:24" ht="10.15" customHeight="1" x14ac:dyDescent="0.2">
      <c r="A20" s="64" t="s">
        <v>20</v>
      </c>
      <c r="B20" s="64">
        <v>456</v>
      </c>
      <c r="C20" s="87" t="s">
        <v>433</v>
      </c>
      <c r="D20" s="23"/>
      <c r="E20" s="73">
        <f>2247520/16285</f>
        <v>138.01166717838501</v>
      </c>
      <c r="F20" s="86">
        <v>36992</v>
      </c>
      <c r="G20" s="75"/>
      <c r="H20" s="75"/>
      <c r="I20" s="76"/>
      <c r="J20" s="75"/>
      <c r="K20" s="88"/>
      <c r="L20" s="77"/>
    </row>
    <row r="21" spans="1:24" ht="10.15" customHeight="1" x14ac:dyDescent="0.2">
      <c r="A21" s="64" t="s">
        <v>17</v>
      </c>
      <c r="B21" s="64">
        <v>587</v>
      </c>
      <c r="C21" s="87" t="s">
        <v>471</v>
      </c>
      <c r="D21" s="23"/>
      <c r="E21" s="73">
        <f>7208972/44505</f>
        <v>161.98117065498258</v>
      </c>
      <c r="F21" s="89">
        <v>37973</v>
      </c>
      <c r="G21" s="75">
        <v>3757</v>
      </c>
      <c r="H21" s="90">
        <v>8761.25</v>
      </c>
      <c r="I21" s="76">
        <f t="shared" ref="I21:I29" si="0">ROUND(H21/G21,5)</f>
        <v>2.3319800000000002</v>
      </c>
      <c r="J21" s="75">
        <f t="shared" ref="J21:J29" si="1">ROUND(E21*I21,2)</f>
        <v>377.74</v>
      </c>
      <c r="K21" s="88">
        <v>44505</v>
      </c>
      <c r="L21" s="77">
        <f t="shared" ref="L21:L29" si="2">ROUND(J21*K21,0)</f>
        <v>16811319</v>
      </c>
      <c r="M21" s="11"/>
      <c r="N21" s="11"/>
    </row>
    <row r="22" spans="1:24" ht="10.15" customHeight="1" x14ac:dyDescent="0.2">
      <c r="A22" s="64" t="s">
        <v>126</v>
      </c>
      <c r="B22" s="64">
        <v>1033</v>
      </c>
      <c r="C22" s="87" t="s">
        <v>502</v>
      </c>
      <c r="D22" s="23"/>
      <c r="E22" s="73">
        <f>1611674/8072</f>
        <v>199.66228939544104</v>
      </c>
      <c r="F22" s="92">
        <v>38049</v>
      </c>
      <c r="G22" s="75">
        <v>3859</v>
      </c>
      <c r="H22" s="90">
        <v>8761.25</v>
      </c>
      <c r="I22" s="76">
        <f t="shared" si="0"/>
        <v>2.27034</v>
      </c>
      <c r="J22" s="73">
        <f t="shared" si="1"/>
        <v>453.3</v>
      </c>
      <c r="K22" s="88">
        <v>8072</v>
      </c>
      <c r="L22" s="77">
        <f t="shared" si="2"/>
        <v>3659038</v>
      </c>
    </row>
    <row r="23" spans="1:24" ht="10.15" customHeight="1" x14ac:dyDescent="0.2">
      <c r="A23" s="64" t="s">
        <v>19</v>
      </c>
      <c r="B23" s="64">
        <v>280</v>
      </c>
      <c r="C23" s="23" t="s">
        <v>510</v>
      </c>
      <c r="D23" s="23"/>
      <c r="E23" s="73">
        <f>16951052/88712</f>
        <v>191.0795833709081</v>
      </c>
      <c r="F23" s="92">
        <v>38596</v>
      </c>
      <c r="G23" s="75">
        <v>4242</v>
      </c>
      <c r="H23" s="90">
        <v>8761.25</v>
      </c>
      <c r="I23" s="76">
        <f t="shared" si="0"/>
        <v>2.0653600000000001</v>
      </c>
      <c r="J23" s="73">
        <f t="shared" si="1"/>
        <v>394.65</v>
      </c>
      <c r="K23" s="88">
        <v>88712</v>
      </c>
      <c r="L23" s="77">
        <f t="shared" si="2"/>
        <v>35010191</v>
      </c>
    </row>
    <row r="24" spans="1:24" s="9" customFormat="1" ht="10.15" customHeight="1" x14ac:dyDescent="0.2">
      <c r="A24" s="93" t="s">
        <v>19</v>
      </c>
      <c r="B24" s="94">
        <v>296</v>
      </c>
      <c r="C24" s="87" t="s">
        <v>532</v>
      </c>
      <c r="D24" s="23"/>
      <c r="E24" s="73">
        <f>23815183/105133</f>
        <v>226.52433584126771</v>
      </c>
      <c r="F24" s="89">
        <v>39052</v>
      </c>
      <c r="G24" s="75">
        <v>4441</v>
      </c>
      <c r="H24" s="90">
        <v>8761.25</v>
      </c>
      <c r="I24" s="76">
        <f t="shared" si="0"/>
        <v>1.97281</v>
      </c>
      <c r="J24" s="73">
        <f t="shared" si="1"/>
        <v>446.89</v>
      </c>
      <c r="K24" s="88">
        <v>105133</v>
      </c>
      <c r="L24" s="77">
        <f t="shared" si="2"/>
        <v>46982886</v>
      </c>
      <c r="M24"/>
      <c r="N24"/>
      <c r="O24"/>
      <c r="P24"/>
      <c r="Q24"/>
      <c r="R24"/>
      <c r="S24"/>
      <c r="T24"/>
      <c r="U24"/>
      <c r="V24"/>
      <c r="W24"/>
      <c r="X24"/>
    </row>
    <row r="25" spans="1:24" ht="10.15" customHeight="1" x14ac:dyDescent="0.2">
      <c r="A25" s="93" t="s">
        <v>19</v>
      </c>
      <c r="B25" s="94">
        <v>257</v>
      </c>
      <c r="C25" s="87" t="s">
        <v>531</v>
      </c>
      <c r="D25" s="23"/>
      <c r="E25" s="73">
        <f>47158114/180126</f>
        <v>261.80625784173299</v>
      </c>
      <c r="F25" s="92">
        <v>39052</v>
      </c>
      <c r="G25" s="75">
        <v>4441</v>
      </c>
      <c r="H25" s="90">
        <v>8761.25</v>
      </c>
      <c r="I25" s="76">
        <f t="shared" si="0"/>
        <v>1.97281</v>
      </c>
      <c r="J25" s="73">
        <f t="shared" si="1"/>
        <v>516.49</v>
      </c>
      <c r="K25" s="88">
        <v>180126</v>
      </c>
      <c r="L25" s="77">
        <f t="shared" si="2"/>
        <v>93033278</v>
      </c>
    </row>
    <row r="26" spans="1:24" ht="10.15" customHeight="1" x14ac:dyDescent="0.2">
      <c r="A26" s="93" t="s">
        <v>23</v>
      </c>
      <c r="B26" s="94">
        <v>623</v>
      </c>
      <c r="C26" s="87" t="s">
        <v>541</v>
      </c>
      <c r="D26" s="23"/>
      <c r="E26" s="73">
        <f>7776600/31077</f>
        <v>250.236509315571</v>
      </c>
      <c r="F26" s="92">
        <v>39391</v>
      </c>
      <c r="G26" s="75">
        <v>4558</v>
      </c>
      <c r="H26" s="90">
        <v>8761.25</v>
      </c>
      <c r="I26" s="76">
        <f t="shared" si="0"/>
        <v>1.9221699999999999</v>
      </c>
      <c r="J26" s="73">
        <f t="shared" si="1"/>
        <v>481</v>
      </c>
      <c r="K26" s="88">
        <v>31077</v>
      </c>
      <c r="L26" s="77">
        <f t="shared" si="2"/>
        <v>14948037</v>
      </c>
    </row>
    <row r="27" spans="1:24" ht="10.15" customHeight="1" x14ac:dyDescent="0.2">
      <c r="A27" s="64" t="s">
        <v>24</v>
      </c>
      <c r="B27" s="64">
        <v>206</v>
      </c>
      <c r="C27" s="23" t="s">
        <v>553</v>
      </c>
      <c r="D27" s="23"/>
      <c r="E27" s="73">
        <f>19065460/69518</f>
        <v>274.25213613740328</v>
      </c>
      <c r="F27" s="92">
        <v>39783</v>
      </c>
      <c r="G27" s="75">
        <v>4797</v>
      </c>
      <c r="H27" s="90">
        <v>8761.25</v>
      </c>
      <c r="I27" s="76">
        <f t="shared" si="0"/>
        <v>1.8264</v>
      </c>
      <c r="J27" s="73">
        <f t="shared" si="1"/>
        <v>500.89</v>
      </c>
      <c r="K27" s="88">
        <v>69518</v>
      </c>
      <c r="L27" s="77">
        <f t="shared" si="2"/>
        <v>34820871</v>
      </c>
    </row>
    <row r="28" spans="1:24" ht="10.15" customHeight="1" x14ac:dyDescent="0.2">
      <c r="A28" s="64" t="s">
        <v>126</v>
      </c>
      <c r="B28" s="64">
        <v>1054</v>
      </c>
      <c r="C28" s="23" t="s">
        <v>559</v>
      </c>
      <c r="D28" s="23"/>
      <c r="E28" s="73">
        <f>16092888/61000</f>
        <v>263.81783606557377</v>
      </c>
      <c r="F28" s="92">
        <v>39753</v>
      </c>
      <c r="G28" s="75">
        <v>4847</v>
      </c>
      <c r="H28" s="90">
        <v>8761.25</v>
      </c>
      <c r="I28" s="76">
        <f t="shared" si="0"/>
        <v>1.8075600000000001</v>
      </c>
      <c r="J28" s="73">
        <f t="shared" si="1"/>
        <v>476.87</v>
      </c>
      <c r="K28" s="88">
        <v>61000</v>
      </c>
      <c r="L28" s="77">
        <f t="shared" si="2"/>
        <v>29089070</v>
      </c>
    </row>
    <row r="29" spans="1:24" s="15" customFormat="1" ht="9" customHeight="1" x14ac:dyDescent="0.2">
      <c r="A29" s="64" t="s">
        <v>702</v>
      </c>
      <c r="B29" s="95"/>
      <c r="C29" s="23" t="s">
        <v>684</v>
      </c>
      <c r="D29" s="23"/>
      <c r="E29" s="73">
        <v>310.61</v>
      </c>
      <c r="F29" s="96">
        <v>43770</v>
      </c>
      <c r="G29" s="75">
        <v>6179</v>
      </c>
      <c r="H29" s="90">
        <v>8761.25</v>
      </c>
      <c r="I29" s="76">
        <f t="shared" si="0"/>
        <v>1.41791</v>
      </c>
      <c r="J29" s="73">
        <f t="shared" si="1"/>
        <v>440.42</v>
      </c>
      <c r="K29" s="88">
        <v>166127</v>
      </c>
      <c r="L29" s="77">
        <f t="shared" si="2"/>
        <v>73165653</v>
      </c>
    </row>
    <row r="30" spans="1:24" ht="10.15" customHeight="1" x14ac:dyDescent="0.2">
      <c r="A30" s="65"/>
      <c r="B30" s="65"/>
      <c r="C30" s="64" t="s">
        <v>33</v>
      </c>
      <c r="D30" s="65"/>
      <c r="E30" s="36"/>
      <c r="F30" s="95"/>
      <c r="G30" s="36"/>
      <c r="H30" s="36"/>
      <c r="I30" s="97"/>
      <c r="J30" s="65"/>
      <c r="K30" s="98">
        <f>SUM(K13:K29)</f>
        <v>754270</v>
      </c>
      <c r="L30" s="98">
        <f>SUM(L13:L29)</f>
        <v>347520343</v>
      </c>
    </row>
    <row r="31" spans="1:24" ht="10.15" customHeight="1" x14ac:dyDescent="0.2">
      <c r="A31" s="65"/>
      <c r="B31" s="65"/>
      <c r="C31" s="23"/>
      <c r="D31" s="23"/>
      <c r="E31" s="26"/>
      <c r="F31" s="95"/>
      <c r="G31" s="26"/>
      <c r="H31" s="26"/>
      <c r="I31" s="99"/>
      <c r="J31" s="23"/>
      <c r="K31" s="100"/>
      <c r="L31" s="100"/>
    </row>
    <row r="32" spans="1:24" ht="10.15" customHeight="1" x14ac:dyDescent="0.2">
      <c r="A32" s="65"/>
      <c r="B32" s="65"/>
      <c r="C32" s="70" t="s">
        <v>34</v>
      </c>
      <c r="D32" s="65"/>
      <c r="E32" s="36"/>
      <c r="F32" s="95"/>
      <c r="G32" s="36"/>
      <c r="H32" s="36"/>
      <c r="I32" s="97"/>
      <c r="J32" s="101">
        <f>ROUND(L30/K30, 2)</f>
        <v>460.74</v>
      </c>
      <c r="K32" s="100"/>
      <c r="L32" s="100"/>
    </row>
    <row r="33" spans="1:12" ht="10.15" customHeight="1" x14ac:dyDescent="0.2">
      <c r="A33" s="65"/>
      <c r="B33" s="65"/>
      <c r="C33" s="23"/>
      <c r="D33" s="23"/>
      <c r="E33" s="26"/>
      <c r="F33" s="95"/>
      <c r="G33" s="26"/>
      <c r="H33" s="26"/>
      <c r="I33" s="99"/>
      <c r="J33" s="23"/>
      <c r="K33" s="100"/>
      <c r="L33" s="100"/>
    </row>
    <row r="34" spans="1:12" ht="10.15" customHeight="1" x14ac:dyDescent="0.2">
      <c r="A34" s="71" t="s">
        <v>35</v>
      </c>
      <c r="B34" s="65"/>
      <c r="C34" s="23"/>
      <c r="D34" s="23"/>
      <c r="E34" s="26"/>
      <c r="F34" s="95"/>
      <c r="G34" s="26"/>
      <c r="H34" s="26"/>
      <c r="I34" s="99"/>
      <c r="J34" s="23"/>
      <c r="K34" s="100"/>
      <c r="L34" s="100"/>
    </row>
    <row r="35" spans="1:12" ht="10.15" customHeight="1" x14ac:dyDescent="0.2">
      <c r="A35" s="64" t="s">
        <v>20</v>
      </c>
      <c r="B35" s="65"/>
      <c r="C35" s="23" t="s">
        <v>160</v>
      </c>
      <c r="D35" s="23"/>
      <c r="E35" s="26">
        <f>SUM(7248550/120000)</f>
        <v>60.404583333333335</v>
      </c>
      <c r="F35" s="231">
        <v>30590</v>
      </c>
      <c r="G35" s="26"/>
      <c r="H35" s="26"/>
      <c r="I35" s="99"/>
      <c r="J35" s="23"/>
      <c r="K35" s="100"/>
      <c r="L35" s="100"/>
    </row>
    <row r="36" spans="1:12" ht="10.15" customHeight="1" x14ac:dyDescent="0.2">
      <c r="A36" s="64" t="s">
        <v>18</v>
      </c>
      <c r="B36" s="65"/>
      <c r="C36" s="23" t="s">
        <v>752</v>
      </c>
      <c r="D36" s="23"/>
      <c r="E36" s="26">
        <f>SUM(6966764/79709)</f>
        <v>87.402476508298932</v>
      </c>
      <c r="F36" s="231">
        <v>34213</v>
      </c>
      <c r="G36" s="26"/>
      <c r="H36" s="26"/>
      <c r="I36" s="99"/>
      <c r="J36" s="23"/>
      <c r="K36" s="100"/>
      <c r="L36" s="100"/>
    </row>
    <row r="37" spans="1:12" ht="10.15" customHeight="1" x14ac:dyDescent="0.2">
      <c r="A37" s="64" t="s">
        <v>20</v>
      </c>
      <c r="B37" s="65"/>
      <c r="C37" s="23" t="s">
        <v>755</v>
      </c>
      <c r="D37" s="23"/>
      <c r="E37" s="26">
        <f>SUM(224867/1359)</f>
        <v>165.46504782928625</v>
      </c>
      <c r="F37" s="231">
        <v>34578</v>
      </c>
      <c r="G37" s="26"/>
      <c r="H37" s="26"/>
      <c r="I37" s="99"/>
      <c r="J37" s="23"/>
      <c r="K37" s="100"/>
      <c r="L37" s="100"/>
    </row>
    <row r="38" spans="1:12" ht="10.15" customHeight="1" x14ac:dyDescent="0.2">
      <c r="A38" s="64" t="s">
        <v>20</v>
      </c>
      <c r="B38" s="78">
        <v>424</v>
      </c>
      <c r="C38" s="79" t="s">
        <v>111</v>
      </c>
      <c r="D38" s="80"/>
      <c r="E38" s="81">
        <v>110.11</v>
      </c>
      <c r="F38" s="82">
        <v>35462</v>
      </c>
      <c r="G38" s="83"/>
      <c r="H38" s="75"/>
      <c r="I38" s="84"/>
      <c r="J38" s="83"/>
      <c r="K38" s="85"/>
      <c r="L38" s="85"/>
    </row>
    <row r="39" spans="1:12" ht="10.15" customHeight="1" x14ac:dyDescent="0.2">
      <c r="A39" s="64" t="s">
        <v>23</v>
      </c>
      <c r="B39" s="78">
        <v>679</v>
      </c>
      <c r="C39" s="79" t="s">
        <v>115</v>
      </c>
      <c r="D39" s="80"/>
      <c r="E39" s="81">
        <v>132.74</v>
      </c>
      <c r="F39" s="82">
        <v>35217</v>
      </c>
      <c r="G39" s="83"/>
      <c r="H39" s="75"/>
      <c r="I39" s="84"/>
      <c r="J39" s="83"/>
      <c r="K39" s="85"/>
      <c r="L39" s="85"/>
    </row>
    <row r="40" spans="1:12" ht="11.25" x14ac:dyDescent="0.2">
      <c r="A40" s="64" t="s">
        <v>126</v>
      </c>
      <c r="B40" s="64">
        <v>1009</v>
      </c>
      <c r="C40" s="72" t="s">
        <v>128</v>
      </c>
      <c r="D40" s="23"/>
      <c r="E40" s="73">
        <v>119.49</v>
      </c>
      <c r="F40" s="86">
        <v>36130</v>
      </c>
      <c r="G40" s="75"/>
      <c r="H40" s="75"/>
      <c r="I40" s="76"/>
      <c r="J40" s="75"/>
      <c r="K40" s="77"/>
      <c r="L40" s="77"/>
    </row>
    <row r="41" spans="1:12" ht="11.25" x14ac:dyDescent="0.2">
      <c r="A41" s="64" t="s">
        <v>18</v>
      </c>
      <c r="B41" s="64">
        <v>306</v>
      </c>
      <c r="C41" s="91" t="s">
        <v>418</v>
      </c>
      <c r="D41" s="23"/>
      <c r="E41" s="73">
        <f>7927400/50386</f>
        <v>157.33338625808756</v>
      </c>
      <c r="F41" s="86">
        <v>36800</v>
      </c>
      <c r="G41" s="75"/>
      <c r="H41" s="75"/>
      <c r="I41" s="76"/>
      <c r="J41" s="75"/>
      <c r="K41" s="77"/>
      <c r="L41" s="77"/>
    </row>
    <row r="42" spans="1:12" ht="11.25" x14ac:dyDescent="0.2">
      <c r="A42" s="64" t="s">
        <v>18</v>
      </c>
      <c r="B42" s="64">
        <v>330</v>
      </c>
      <c r="C42" s="91" t="s">
        <v>419</v>
      </c>
      <c r="D42" s="23"/>
      <c r="E42" s="73">
        <f>9683554/59258</f>
        <v>163.41344628573358</v>
      </c>
      <c r="F42" s="86">
        <v>36800</v>
      </c>
      <c r="G42" s="75"/>
      <c r="H42" s="75"/>
      <c r="I42" s="76"/>
      <c r="J42" s="75"/>
      <c r="K42" s="77"/>
      <c r="L42" s="77"/>
    </row>
    <row r="43" spans="1:12" ht="11.25" x14ac:dyDescent="0.2">
      <c r="A43" s="64" t="s">
        <v>22</v>
      </c>
      <c r="B43" s="94">
        <v>850</v>
      </c>
      <c r="C43" s="91" t="s">
        <v>437</v>
      </c>
      <c r="D43" s="23"/>
      <c r="E43" s="73">
        <f>12574597/90727</f>
        <v>138.59817915284316</v>
      </c>
      <c r="F43" s="86">
        <v>37015</v>
      </c>
      <c r="G43" s="75"/>
      <c r="H43" s="75"/>
      <c r="I43" s="76"/>
      <c r="J43" s="75"/>
      <c r="K43" s="77"/>
      <c r="L43" s="77"/>
    </row>
    <row r="44" spans="1:12" ht="11.25" x14ac:dyDescent="0.2">
      <c r="A44" s="64" t="s">
        <v>21</v>
      </c>
      <c r="B44" s="94">
        <v>958</v>
      </c>
      <c r="C44" s="87" t="s">
        <v>438</v>
      </c>
      <c r="D44" s="23"/>
      <c r="E44" s="73">
        <f>15722202/130783</f>
        <v>120.2159454975035</v>
      </c>
      <c r="F44" s="89">
        <v>37124</v>
      </c>
      <c r="G44" s="75"/>
      <c r="H44" s="75"/>
      <c r="I44" s="76"/>
      <c r="J44" s="75"/>
      <c r="K44" s="77"/>
      <c r="L44" s="77"/>
    </row>
    <row r="45" spans="1:12" ht="11.25" x14ac:dyDescent="0.2">
      <c r="A45" s="64" t="s">
        <v>18</v>
      </c>
      <c r="B45" s="94">
        <v>306</v>
      </c>
      <c r="C45" s="91" t="s">
        <v>443</v>
      </c>
      <c r="D45" s="23"/>
      <c r="E45" s="73">
        <f>7927400/58000</f>
        <v>136.6793103448276</v>
      </c>
      <c r="F45" s="92">
        <v>36892</v>
      </c>
      <c r="G45" s="75"/>
      <c r="H45" s="75"/>
      <c r="I45" s="76"/>
      <c r="J45" s="75"/>
      <c r="K45" s="77"/>
      <c r="L45" s="77"/>
    </row>
    <row r="46" spans="1:12" ht="11.25" x14ac:dyDescent="0.2">
      <c r="A46" s="64" t="s">
        <v>126</v>
      </c>
      <c r="B46" s="94">
        <v>1011</v>
      </c>
      <c r="C46" s="87" t="s">
        <v>446</v>
      </c>
      <c r="D46" s="23"/>
      <c r="E46" s="73">
        <f>5623040/33000</f>
        <v>170.39515151515153</v>
      </c>
      <c r="F46" s="92">
        <v>37135</v>
      </c>
      <c r="G46" s="75"/>
      <c r="H46" s="75"/>
      <c r="I46" s="76"/>
      <c r="J46" s="75"/>
      <c r="K46" s="77"/>
      <c r="L46" s="77"/>
    </row>
    <row r="47" spans="1:12" ht="11.25" x14ac:dyDescent="0.2">
      <c r="A47" s="64" t="s">
        <v>24</v>
      </c>
      <c r="B47" s="94">
        <v>191</v>
      </c>
      <c r="C47" s="87" t="s">
        <v>447</v>
      </c>
      <c r="D47" s="23"/>
      <c r="E47" s="73">
        <f>6509873/47541</f>
        <v>136.93176416146062</v>
      </c>
      <c r="F47" s="92">
        <v>37208</v>
      </c>
      <c r="G47" s="75"/>
      <c r="H47" s="75"/>
      <c r="I47" s="76"/>
      <c r="J47" s="75"/>
      <c r="K47" s="77"/>
      <c r="L47" s="77"/>
    </row>
    <row r="48" spans="1:12" ht="11.25" x14ac:dyDescent="0.2">
      <c r="A48" s="64" t="s">
        <v>18</v>
      </c>
      <c r="B48" s="64">
        <v>347</v>
      </c>
      <c r="C48" s="91" t="s">
        <v>455</v>
      </c>
      <c r="D48" s="23"/>
      <c r="E48" s="73">
        <f>13872710/104500</f>
        <v>132.7532057416268</v>
      </c>
      <c r="F48" s="92">
        <v>37529</v>
      </c>
      <c r="G48" s="75"/>
      <c r="H48" s="75"/>
      <c r="I48" s="76"/>
      <c r="J48" s="75"/>
      <c r="K48" s="87"/>
      <c r="L48" s="77"/>
    </row>
    <row r="49" spans="1:14" ht="11.25" x14ac:dyDescent="0.2">
      <c r="A49" s="64" t="s">
        <v>22</v>
      </c>
      <c r="B49" s="64">
        <v>888</v>
      </c>
      <c r="C49" s="87" t="s">
        <v>495</v>
      </c>
      <c r="D49" s="23"/>
      <c r="E49" s="73">
        <f>10193814/57834</f>
        <v>176.25988173046997</v>
      </c>
      <c r="F49" s="92">
        <v>38147</v>
      </c>
      <c r="G49" s="75">
        <v>3996</v>
      </c>
      <c r="H49" s="90">
        <v>8761.25</v>
      </c>
      <c r="I49" s="76">
        <f t="shared" ref="I49:I55" si="3">ROUND(H49/G49,5)</f>
        <v>2.19251</v>
      </c>
      <c r="J49" s="73">
        <f t="shared" ref="J49:J55" si="4">ROUND(E49*I49,2)</f>
        <v>386.45</v>
      </c>
      <c r="K49" s="88">
        <v>57834</v>
      </c>
      <c r="L49" s="77">
        <f t="shared" ref="L49:L55" si="5">ROUND(J49*K49,0)</f>
        <v>22349949</v>
      </c>
    </row>
    <row r="50" spans="1:14" ht="11.25" x14ac:dyDescent="0.2">
      <c r="A50" s="64" t="s">
        <v>24</v>
      </c>
      <c r="B50" s="64">
        <v>214</v>
      </c>
      <c r="C50" s="23" t="s">
        <v>508</v>
      </c>
      <c r="D50" s="23"/>
      <c r="E50" s="73">
        <f>3017139/19750</f>
        <v>152.76653164556961</v>
      </c>
      <c r="F50" s="92">
        <v>38385</v>
      </c>
      <c r="G50" s="75">
        <v>4116</v>
      </c>
      <c r="H50" s="90">
        <v>8761.25</v>
      </c>
      <c r="I50" s="76">
        <f t="shared" si="3"/>
        <v>2.1285799999999999</v>
      </c>
      <c r="J50" s="73">
        <f t="shared" si="4"/>
        <v>325.18</v>
      </c>
      <c r="K50" s="88">
        <v>19750</v>
      </c>
      <c r="L50" s="77">
        <f t="shared" si="5"/>
        <v>6422305</v>
      </c>
    </row>
    <row r="51" spans="1:14" s="11" customFormat="1" ht="11.25" x14ac:dyDescent="0.2">
      <c r="A51" s="64" t="s">
        <v>126</v>
      </c>
      <c r="B51" s="64">
        <v>1054</v>
      </c>
      <c r="C51" s="23" t="s">
        <v>559</v>
      </c>
      <c r="D51" s="23"/>
      <c r="E51" s="73">
        <f>16092888/61000</f>
        <v>263.81783606557377</v>
      </c>
      <c r="F51" s="92">
        <v>39753</v>
      </c>
      <c r="G51" s="75">
        <v>4847</v>
      </c>
      <c r="H51" s="90">
        <v>8761.25</v>
      </c>
      <c r="I51" s="76">
        <f t="shared" si="3"/>
        <v>1.8075600000000001</v>
      </c>
      <c r="J51" s="73">
        <f t="shared" si="4"/>
        <v>476.87</v>
      </c>
      <c r="K51" s="88">
        <v>61000</v>
      </c>
      <c r="L51" s="77">
        <f t="shared" si="5"/>
        <v>29089070</v>
      </c>
    </row>
    <row r="52" spans="1:14" ht="11.25" x14ac:dyDescent="0.2">
      <c r="A52" s="64" t="s">
        <v>21</v>
      </c>
      <c r="B52" s="64"/>
      <c r="C52" s="23" t="s">
        <v>579</v>
      </c>
      <c r="D52" s="23"/>
      <c r="E52" s="73">
        <f>33893000/121798</f>
        <v>278.27222121873922</v>
      </c>
      <c r="F52" s="92">
        <v>40542</v>
      </c>
      <c r="G52" s="75">
        <v>4970</v>
      </c>
      <c r="H52" s="90">
        <v>8761.25</v>
      </c>
      <c r="I52" s="76">
        <f t="shared" si="3"/>
        <v>1.7628299999999999</v>
      </c>
      <c r="J52" s="73">
        <f t="shared" si="4"/>
        <v>490.55</v>
      </c>
      <c r="K52" s="88">
        <v>121798</v>
      </c>
      <c r="L52" s="77">
        <f t="shared" si="5"/>
        <v>59748009</v>
      </c>
    </row>
    <row r="53" spans="1:14" ht="11.25" x14ac:dyDescent="0.2">
      <c r="A53" s="64" t="s">
        <v>126</v>
      </c>
      <c r="B53" s="64"/>
      <c r="C53" s="23" t="s">
        <v>580</v>
      </c>
      <c r="D53" s="23"/>
      <c r="E53" s="73">
        <f>14930038/69275</f>
        <v>215.51841212558642</v>
      </c>
      <c r="F53" s="92">
        <v>40513</v>
      </c>
      <c r="G53" s="75">
        <v>4970</v>
      </c>
      <c r="H53" s="90">
        <v>8761.25</v>
      </c>
      <c r="I53" s="76">
        <f t="shared" si="3"/>
        <v>1.7628299999999999</v>
      </c>
      <c r="J53" s="73">
        <f t="shared" si="4"/>
        <v>379.92</v>
      </c>
      <c r="K53" s="88">
        <v>69275</v>
      </c>
      <c r="L53" s="77">
        <f t="shared" si="5"/>
        <v>26318958</v>
      </c>
    </row>
    <row r="54" spans="1:14" ht="10.5" customHeight="1" x14ac:dyDescent="0.2">
      <c r="A54" s="64" t="s">
        <v>24</v>
      </c>
      <c r="B54" s="95"/>
      <c r="C54" s="23" t="s">
        <v>649</v>
      </c>
      <c r="D54" s="23"/>
      <c r="E54" s="73">
        <f>45419000/109202</f>
        <v>415.91729089210821</v>
      </c>
      <c r="F54" s="92">
        <v>42200</v>
      </c>
      <c r="G54" s="75">
        <v>5510</v>
      </c>
      <c r="H54" s="90">
        <v>8761.25</v>
      </c>
      <c r="I54" s="76">
        <f t="shared" si="3"/>
        <v>1.59006</v>
      </c>
      <c r="J54" s="73">
        <f t="shared" si="4"/>
        <v>661.33</v>
      </c>
      <c r="K54" s="88">
        <v>109202</v>
      </c>
      <c r="L54" s="77">
        <f t="shared" si="5"/>
        <v>72218559</v>
      </c>
      <c r="M54" s="15"/>
      <c r="N54" s="15"/>
    </row>
    <row r="55" spans="1:14" s="19" customFormat="1" ht="10.5" customHeight="1" x14ac:dyDescent="0.2">
      <c r="A55" s="102" t="s">
        <v>29</v>
      </c>
      <c r="B55" s="103"/>
      <c r="C55" s="104" t="s">
        <v>701</v>
      </c>
      <c r="D55" s="104"/>
      <c r="E55" s="105">
        <f>COSTBASE!F1926/COSTBASE!G1926</f>
        <v>436.50642229975847</v>
      </c>
      <c r="F55" s="106">
        <v>43621</v>
      </c>
      <c r="G55" s="107">
        <v>6118</v>
      </c>
      <c r="H55" s="90">
        <v>8761.25</v>
      </c>
      <c r="I55" s="108">
        <f t="shared" si="3"/>
        <v>1.43204</v>
      </c>
      <c r="J55" s="105">
        <f t="shared" si="4"/>
        <v>625.09</v>
      </c>
      <c r="K55" s="109">
        <v>52162</v>
      </c>
      <c r="L55" s="110">
        <f t="shared" si="5"/>
        <v>32605945</v>
      </c>
      <c r="M55" s="18"/>
      <c r="N55" s="18"/>
    </row>
    <row r="56" spans="1:14" s="19" customFormat="1" ht="10.5" customHeight="1" x14ac:dyDescent="0.2">
      <c r="A56" s="102" t="s">
        <v>24</v>
      </c>
      <c r="B56" s="103"/>
      <c r="C56" s="104" t="s">
        <v>758</v>
      </c>
      <c r="D56" s="104"/>
      <c r="E56" s="105">
        <v>438.65</v>
      </c>
      <c r="F56" s="106">
        <v>45522</v>
      </c>
      <c r="G56" s="107">
        <v>8378.6200000000008</v>
      </c>
      <c r="H56" s="90">
        <v>8761.25</v>
      </c>
      <c r="I56" s="108">
        <f>ROUND(H56/G56,5)</f>
        <v>1.0456700000000001</v>
      </c>
      <c r="J56" s="105">
        <f>ROUND(E56*I56,2)</f>
        <v>458.68</v>
      </c>
      <c r="K56" s="109">
        <v>4679</v>
      </c>
      <c r="L56" s="110">
        <v>2052452.93</v>
      </c>
      <c r="M56" s="18"/>
      <c r="N56" s="18"/>
    </row>
    <row r="57" spans="1:14" s="19" customFormat="1" ht="10.5" customHeight="1" x14ac:dyDescent="0.2">
      <c r="A57" s="102"/>
      <c r="B57" s="103"/>
      <c r="C57" s="104"/>
      <c r="D57" s="104"/>
      <c r="E57" s="105"/>
      <c r="F57" s="106"/>
      <c r="G57" s="107"/>
      <c r="H57" s="75"/>
      <c r="I57" s="108"/>
      <c r="J57" s="105"/>
      <c r="K57" s="109"/>
      <c r="L57" s="110"/>
      <c r="M57" s="18"/>
      <c r="N57" s="18"/>
    </row>
    <row r="58" spans="1:14" ht="10.15" customHeight="1" x14ac:dyDescent="0.2">
      <c r="A58" s="65"/>
      <c r="B58" s="65"/>
      <c r="C58" s="64" t="s">
        <v>33</v>
      </c>
      <c r="D58" s="65"/>
      <c r="E58" s="36"/>
      <c r="F58" s="95"/>
      <c r="G58" s="36"/>
      <c r="H58" s="36"/>
      <c r="I58" s="97"/>
      <c r="J58" s="111"/>
      <c r="K58" s="98">
        <f>SUM(K35:K57)</f>
        <v>495700</v>
      </c>
      <c r="L58" s="98">
        <f>SUM(L35:L57)</f>
        <v>250805247.93000001</v>
      </c>
    </row>
    <row r="59" spans="1:14" ht="10.15" customHeight="1" x14ac:dyDescent="0.2">
      <c r="A59" s="65"/>
      <c r="B59" s="65"/>
      <c r="C59" s="23"/>
      <c r="D59" s="23"/>
      <c r="E59" s="26"/>
      <c r="F59" s="95"/>
      <c r="G59" s="26"/>
      <c r="H59" s="26"/>
      <c r="I59" s="99"/>
      <c r="J59" s="26"/>
      <c r="K59" s="100"/>
      <c r="L59" s="100"/>
    </row>
    <row r="60" spans="1:14" ht="10.15" customHeight="1" x14ac:dyDescent="0.2">
      <c r="A60" s="65"/>
      <c r="B60" s="65"/>
      <c r="C60" s="70" t="s">
        <v>41</v>
      </c>
      <c r="D60" s="65"/>
      <c r="E60" s="36"/>
      <c r="F60" s="95"/>
      <c r="G60" s="36"/>
      <c r="H60" s="36"/>
      <c r="I60" s="97"/>
      <c r="J60" s="101">
        <f>ROUND(L58/K58,2)</f>
        <v>505.96</v>
      </c>
      <c r="K60" s="100"/>
      <c r="L60" s="100"/>
    </row>
    <row r="61" spans="1:14" ht="10.15" customHeight="1" x14ac:dyDescent="0.2">
      <c r="A61" s="65"/>
      <c r="B61" s="65"/>
      <c r="C61" s="23"/>
      <c r="D61" s="23"/>
      <c r="E61" s="26"/>
      <c r="F61" s="95"/>
      <c r="G61" s="26"/>
      <c r="H61" s="26"/>
      <c r="I61" s="99"/>
      <c r="J61" s="26"/>
      <c r="K61" s="100"/>
      <c r="L61" s="100"/>
    </row>
    <row r="62" spans="1:14" ht="10.15" customHeight="1" x14ac:dyDescent="0.2">
      <c r="A62" s="71" t="s">
        <v>42</v>
      </c>
      <c r="B62" s="65"/>
      <c r="C62" s="23"/>
      <c r="D62" s="23"/>
      <c r="E62" s="26"/>
      <c r="F62" s="95"/>
      <c r="G62" s="26"/>
      <c r="H62" s="26"/>
      <c r="I62" s="99"/>
      <c r="J62" s="26"/>
      <c r="K62" s="100"/>
      <c r="L62" s="100"/>
    </row>
    <row r="63" spans="1:14" ht="10.15" customHeight="1" x14ac:dyDescent="0.2">
      <c r="A63" s="64" t="s">
        <v>24</v>
      </c>
      <c r="B63" s="64">
        <v>125</v>
      </c>
      <c r="C63" s="72" t="s">
        <v>43</v>
      </c>
      <c r="D63" s="23"/>
      <c r="E63" s="73">
        <v>80.89</v>
      </c>
      <c r="F63" s="95" t="s">
        <v>44</v>
      </c>
      <c r="G63" s="26"/>
      <c r="H63" s="75"/>
      <c r="I63" s="99"/>
      <c r="J63" s="73"/>
      <c r="K63" s="77"/>
      <c r="L63" s="77"/>
    </row>
    <row r="64" spans="1:14" ht="10.15" customHeight="1" x14ac:dyDescent="0.2">
      <c r="A64" s="64" t="s">
        <v>17</v>
      </c>
      <c r="B64" s="64">
        <v>565</v>
      </c>
      <c r="C64" s="72" t="s">
        <v>45</v>
      </c>
      <c r="D64" s="23"/>
      <c r="E64" s="73">
        <v>62.31</v>
      </c>
      <c r="F64" s="95" t="s">
        <v>46</v>
      </c>
      <c r="G64" s="26">
        <v>2401.9</v>
      </c>
      <c r="H64" s="90">
        <v>8761.25</v>
      </c>
      <c r="I64" s="99">
        <f t="shared" ref="I64:I71" si="6">ROUND(H64/G64,5)</f>
        <v>3.6476299999999999</v>
      </c>
      <c r="J64" s="73">
        <f t="shared" ref="J64:J71" si="7">ROUND(E64*I64,2)</f>
        <v>227.28</v>
      </c>
      <c r="K64" s="77">
        <v>78403</v>
      </c>
      <c r="L64" s="77">
        <f t="shared" ref="L64:L71" si="8">ROUND(J64*K64,0)</f>
        <v>17819434</v>
      </c>
    </row>
    <row r="65" spans="1:12" ht="10.15" customHeight="1" x14ac:dyDescent="0.2">
      <c r="A65" s="64" t="s">
        <v>18</v>
      </c>
      <c r="B65" s="64">
        <v>353</v>
      </c>
      <c r="C65" s="72" t="s">
        <v>47</v>
      </c>
      <c r="D65" s="23"/>
      <c r="E65" s="73">
        <v>62.77</v>
      </c>
      <c r="F65" s="95" t="s">
        <v>48</v>
      </c>
      <c r="G65" s="23">
        <v>2595.88</v>
      </c>
      <c r="H65" s="90">
        <v>8761.25</v>
      </c>
      <c r="I65" s="99">
        <f t="shared" si="6"/>
        <v>3.3750599999999999</v>
      </c>
      <c r="J65" s="73">
        <f t="shared" si="7"/>
        <v>211.85</v>
      </c>
      <c r="K65" s="77">
        <v>32672</v>
      </c>
      <c r="L65" s="77">
        <f t="shared" si="8"/>
        <v>6921563</v>
      </c>
    </row>
    <row r="66" spans="1:12" ht="10.15" customHeight="1" x14ac:dyDescent="0.2">
      <c r="A66" s="64" t="s">
        <v>24</v>
      </c>
      <c r="B66" s="64">
        <v>150</v>
      </c>
      <c r="C66" s="72" t="s">
        <v>49</v>
      </c>
      <c r="D66" s="23"/>
      <c r="E66" s="73">
        <v>180.87</v>
      </c>
      <c r="F66" s="74" t="s">
        <v>50</v>
      </c>
      <c r="G66" s="23">
        <v>3111.86</v>
      </c>
      <c r="H66" s="90">
        <v>8761.25</v>
      </c>
      <c r="I66" s="99">
        <f t="shared" si="6"/>
        <v>2.8154400000000002</v>
      </c>
      <c r="J66" s="73">
        <f t="shared" si="7"/>
        <v>509.23</v>
      </c>
      <c r="K66" s="77">
        <v>19500</v>
      </c>
      <c r="L66" s="77">
        <f t="shared" si="8"/>
        <v>9929985</v>
      </c>
    </row>
    <row r="67" spans="1:12" ht="10.15" customHeight="1" x14ac:dyDescent="0.2">
      <c r="A67" s="64" t="s">
        <v>18</v>
      </c>
      <c r="B67" s="64">
        <v>318</v>
      </c>
      <c r="C67" s="91" t="s">
        <v>456</v>
      </c>
      <c r="D67" s="23"/>
      <c r="E67" s="73">
        <f>6381888/47100</f>
        <v>135.49656050955414</v>
      </c>
      <c r="F67" s="92">
        <v>37377</v>
      </c>
      <c r="G67" s="73">
        <v>3612</v>
      </c>
      <c r="H67" s="90">
        <v>8761.25</v>
      </c>
      <c r="I67" s="99">
        <f t="shared" si="6"/>
        <v>2.4256000000000002</v>
      </c>
      <c r="J67" s="73">
        <f t="shared" si="7"/>
        <v>328.66</v>
      </c>
      <c r="K67" s="87">
        <v>47100</v>
      </c>
      <c r="L67" s="77">
        <f t="shared" si="8"/>
        <v>15479886</v>
      </c>
    </row>
    <row r="68" spans="1:12" ht="10.15" customHeight="1" x14ac:dyDescent="0.2">
      <c r="A68" s="64" t="s">
        <v>19</v>
      </c>
      <c r="B68" s="64">
        <v>299</v>
      </c>
      <c r="C68" s="91" t="s">
        <v>454</v>
      </c>
      <c r="D68" s="23"/>
      <c r="E68" s="73">
        <f>6508400/31200</f>
        <v>208.60256410256412</v>
      </c>
      <c r="F68" s="92">
        <v>37683</v>
      </c>
      <c r="G68" s="73">
        <v>3649</v>
      </c>
      <c r="H68" s="90">
        <v>8761.25</v>
      </c>
      <c r="I68" s="99">
        <f>ROUND(H68/G68,5)</f>
        <v>2.4009999999999998</v>
      </c>
      <c r="J68" s="73">
        <f>ROUND(E68*I68,2)</f>
        <v>500.85</v>
      </c>
      <c r="K68" s="87">
        <v>31200</v>
      </c>
      <c r="L68" s="77">
        <f>ROUND(J68*K68,0)</f>
        <v>15626520</v>
      </c>
    </row>
    <row r="69" spans="1:12" ht="10.15" customHeight="1" x14ac:dyDescent="0.2">
      <c r="A69" s="64" t="s">
        <v>23</v>
      </c>
      <c r="B69" s="64">
        <v>613</v>
      </c>
      <c r="C69" s="91" t="s">
        <v>482</v>
      </c>
      <c r="D69" s="23"/>
      <c r="E69" s="73">
        <f>5423000/37990</f>
        <v>142.74809160305344</v>
      </c>
      <c r="F69" s="92">
        <v>37778</v>
      </c>
      <c r="G69" s="73">
        <v>3677</v>
      </c>
      <c r="H69" s="90">
        <v>8761.25</v>
      </c>
      <c r="I69" s="99">
        <f t="shared" si="6"/>
        <v>2.3827199999999999</v>
      </c>
      <c r="J69" s="73">
        <f t="shared" si="7"/>
        <v>340.13</v>
      </c>
      <c r="K69" s="87">
        <v>37990</v>
      </c>
      <c r="L69" s="77">
        <f t="shared" si="8"/>
        <v>12921539</v>
      </c>
    </row>
    <row r="70" spans="1:12" ht="10.15" customHeight="1" x14ac:dyDescent="0.2">
      <c r="A70" s="64" t="s">
        <v>21</v>
      </c>
      <c r="B70" s="64">
        <v>917</v>
      </c>
      <c r="C70" s="91" t="s">
        <v>500</v>
      </c>
      <c r="D70" s="23"/>
      <c r="E70" s="73">
        <f>18121650/79823</f>
        <v>227.02291319544491</v>
      </c>
      <c r="F70" s="92">
        <v>38081</v>
      </c>
      <c r="G70" s="75">
        <v>3908</v>
      </c>
      <c r="H70" s="90">
        <v>8761.25</v>
      </c>
      <c r="I70" s="76">
        <f t="shared" si="6"/>
        <v>2.2418800000000001</v>
      </c>
      <c r="J70" s="73">
        <f t="shared" si="7"/>
        <v>508.96</v>
      </c>
      <c r="K70" s="88">
        <v>79823</v>
      </c>
      <c r="L70" s="77">
        <f t="shared" si="8"/>
        <v>40626714</v>
      </c>
    </row>
    <row r="71" spans="1:12" ht="10.15" customHeight="1" x14ac:dyDescent="0.2">
      <c r="A71" s="64" t="s">
        <v>19</v>
      </c>
      <c r="B71" s="64"/>
      <c r="C71" s="91" t="s">
        <v>591</v>
      </c>
      <c r="D71" s="23"/>
      <c r="E71" s="73">
        <f>4897677/24220</f>
        <v>202.21622625928984</v>
      </c>
      <c r="F71" s="92">
        <v>40210</v>
      </c>
      <c r="G71" s="75">
        <v>4812</v>
      </c>
      <c r="H71" s="90">
        <v>8761.25</v>
      </c>
      <c r="I71" s="76">
        <f t="shared" si="6"/>
        <v>1.8207100000000001</v>
      </c>
      <c r="J71" s="73">
        <f t="shared" si="7"/>
        <v>368.18</v>
      </c>
      <c r="K71" s="88">
        <v>24220</v>
      </c>
      <c r="L71" s="77">
        <f t="shared" si="8"/>
        <v>8917320</v>
      </c>
    </row>
    <row r="72" spans="1:12" ht="10.15" customHeight="1" x14ac:dyDescent="0.2">
      <c r="A72" s="64"/>
      <c r="B72" s="64"/>
      <c r="C72" s="91"/>
      <c r="D72" s="23"/>
      <c r="E72" s="73"/>
      <c r="F72" s="92"/>
      <c r="G72" s="75"/>
      <c r="H72" s="75"/>
      <c r="I72" s="76"/>
      <c r="J72" s="73"/>
      <c r="K72" s="88"/>
      <c r="L72" s="77"/>
    </row>
    <row r="73" spans="1:12" ht="10.15" customHeight="1" x14ac:dyDescent="0.2">
      <c r="A73" s="64"/>
      <c r="B73" s="64"/>
      <c r="C73" s="91"/>
      <c r="D73" s="23"/>
      <c r="E73" s="73"/>
      <c r="F73" s="92"/>
      <c r="G73" s="75"/>
      <c r="H73" s="75"/>
      <c r="I73" s="76"/>
      <c r="J73" s="73"/>
      <c r="K73" s="88"/>
      <c r="L73" s="77"/>
    </row>
    <row r="74" spans="1:12" ht="10.15" customHeight="1" x14ac:dyDescent="0.2">
      <c r="A74" s="65"/>
      <c r="B74" s="65"/>
      <c r="C74" s="64" t="s">
        <v>33</v>
      </c>
      <c r="D74" s="65"/>
      <c r="E74" s="36"/>
      <c r="F74" s="95"/>
      <c r="G74" s="36"/>
      <c r="H74" s="36"/>
      <c r="I74" s="97"/>
      <c r="J74" s="36"/>
      <c r="K74" s="98">
        <f>SUM(K63:K71)</f>
        <v>350908</v>
      </c>
      <c r="L74" s="98">
        <f>SUM(L63:L71)</f>
        <v>128242961</v>
      </c>
    </row>
    <row r="75" spans="1:12" ht="10.15" customHeight="1" x14ac:dyDescent="0.2">
      <c r="A75" s="65"/>
      <c r="B75" s="65"/>
      <c r="C75" s="23"/>
      <c r="D75" s="23"/>
      <c r="E75" s="26"/>
      <c r="F75" s="95"/>
      <c r="G75" s="26"/>
      <c r="H75" s="26"/>
      <c r="I75" s="99"/>
      <c r="J75" s="26"/>
      <c r="K75" s="100"/>
      <c r="L75" s="100"/>
    </row>
    <row r="76" spans="1:12" ht="10.15" customHeight="1" x14ac:dyDescent="0.2">
      <c r="A76" s="65"/>
      <c r="B76" s="65"/>
      <c r="C76" s="70" t="s">
        <v>51</v>
      </c>
      <c r="D76" s="65"/>
      <c r="E76" s="36"/>
      <c r="F76" s="95"/>
      <c r="G76" s="36"/>
      <c r="H76" s="36"/>
      <c r="I76" s="97"/>
      <c r="J76" s="101">
        <f>ROUND(L74/K74,2)</f>
        <v>365.46</v>
      </c>
      <c r="K76" s="112"/>
      <c r="L76" s="100"/>
    </row>
    <row r="77" spans="1:12" ht="10.15" customHeight="1" x14ac:dyDescent="0.2">
      <c r="A77" s="65"/>
      <c r="B77" s="65"/>
      <c r="C77" s="23"/>
      <c r="D77" s="23"/>
      <c r="E77" s="23"/>
      <c r="F77" s="95"/>
      <c r="G77" s="23"/>
      <c r="H77" s="26"/>
      <c r="I77" s="99"/>
      <c r="J77" s="23"/>
      <c r="K77" s="23"/>
      <c r="L77" s="23"/>
    </row>
    <row r="78" spans="1:12" ht="10.15" customHeight="1" x14ac:dyDescent="0.2">
      <c r="A78" s="71" t="s">
        <v>52</v>
      </c>
      <c r="B78" s="65"/>
      <c r="C78" s="23"/>
      <c r="D78" s="23"/>
      <c r="E78" s="26"/>
      <c r="F78" s="95"/>
      <c r="G78" s="26"/>
      <c r="H78" s="26"/>
      <c r="I78" s="99"/>
      <c r="J78" s="26"/>
      <c r="K78" s="100"/>
      <c r="L78" s="100"/>
    </row>
    <row r="79" spans="1:12" ht="10.15" customHeight="1" x14ac:dyDescent="0.2">
      <c r="A79" s="64" t="s">
        <v>23</v>
      </c>
      <c r="B79" s="65"/>
      <c r="C79" s="23" t="s">
        <v>756</v>
      </c>
      <c r="D79" s="23"/>
      <c r="E79" s="26">
        <f>SUM(9708460/121018)</f>
        <v>80.223272571022491</v>
      </c>
      <c r="F79" s="231">
        <v>32203</v>
      </c>
      <c r="G79" s="26"/>
      <c r="H79" s="26"/>
      <c r="I79" s="99"/>
      <c r="J79" s="26"/>
      <c r="K79" s="100"/>
      <c r="L79" s="100"/>
    </row>
    <row r="80" spans="1:12" ht="10.15" customHeight="1" x14ac:dyDescent="0.2">
      <c r="A80" s="64" t="s">
        <v>20</v>
      </c>
      <c r="B80" s="65"/>
      <c r="C80" s="23" t="s">
        <v>335</v>
      </c>
      <c r="D80" s="23"/>
      <c r="E80" s="26">
        <f>SUM(7427500/89871)</f>
        <v>82.646237384695837</v>
      </c>
      <c r="F80" s="231">
        <v>33970</v>
      </c>
      <c r="G80" s="26"/>
      <c r="H80" s="26"/>
      <c r="I80" s="99"/>
      <c r="J80" s="26"/>
      <c r="K80" s="100"/>
      <c r="L80" s="100"/>
    </row>
    <row r="81" spans="1:15" ht="10.15" customHeight="1" x14ac:dyDescent="0.2">
      <c r="A81" s="64" t="s">
        <v>18</v>
      </c>
      <c r="B81" s="65"/>
      <c r="C81" s="23" t="s">
        <v>753</v>
      </c>
      <c r="D81" s="23"/>
      <c r="E81" s="26">
        <f>SUM(10596300/81980)</f>
        <v>129.25469626738229</v>
      </c>
      <c r="F81" s="231">
        <v>34547</v>
      </c>
      <c r="G81" s="26"/>
      <c r="H81" s="26"/>
      <c r="I81" s="99"/>
      <c r="J81" s="26"/>
      <c r="K81" s="100"/>
      <c r="L81" s="100"/>
    </row>
    <row r="82" spans="1:15" ht="10.15" customHeight="1" x14ac:dyDescent="0.2">
      <c r="A82" s="64" t="s">
        <v>53</v>
      </c>
      <c r="B82" s="78">
        <v>117</v>
      </c>
      <c r="C82" s="79" t="s">
        <v>113</v>
      </c>
      <c r="D82" s="80"/>
      <c r="E82" s="81">
        <v>155.59</v>
      </c>
      <c r="F82" s="82">
        <v>35034</v>
      </c>
      <c r="G82" s="83"/>
      <c r="H82" s="75"/>
      <c r="I82" s="84"/>
      <c r="J82" s="81"/>
      <c r="K82" s="85"/>
      <c r="L82" s="85"/>
    </row>
    <row r="83" spans="1:15" ht="10.15" customHeight="1" x14ac:dyDescent="0.2">
      <c r="A83" s="64" t="s">
        <v>24</v>
      </c>
      <c r="B83" s="78">
        <v>147</v>
      </c>
      <c r="C83" s="79" t="s">
        <v>116</v>
      </c>
      <c r="D83" s="80"/>
      <c r="E83" s="81">
        <v>169.97</v>
      </c>
      <c r="F83" s="82">
        <v>35125</v>
      </c>
      <c r="G83" s="83"/>
      <c r="H83" s="75"/>
      <c r="I83" s="84"/>
      <c r="J83" s="81"/>
      <c r="K83" s="85"/>
      <c r="L83" s="85"/>
    </row>
    <row r="84" spans="1:15" ht="10.15" customHeight="1" x14ac:dyDescent="0.2">
      <c r="A84" s="64" t="s">
        <v>24</v>
      </c>
      <c r="B84" s="78">
        <v>175</v>
      </c>
      <c r="C84" s="79" t="s">
        <v>117</v>
      </c>
      <c r="D84" s="80"/>
      <c r="E84" s="81">
        <v>101.14</v>
      </c>
      <c r="F84" s="82">
        <v>35125</v>
      </c>
      <c r="G84" s="83"/>
      <c r="H84" s="75"/>
      <c r="I84" s="84"/>
      <c r="J84" s="81"/>
      <c r="K84" s="85"/>
      <c r="L84" s="85"/>
    </row>
    <row r="85" spans="1:15" ht="10.15" customHeight="1" x14ac:dyDescent="0.2">
      <c r="A85" s="64" t="s">
        <v>24</v>
      </c>
      <c r="B85" s="78">
        <v>141</v>
      </c>
      <c r="C85" s="79" t="s">
        <v>118</v>
      </c>
      <c r="D85" s="80"/>
      <c r="E85" s="81">
        <v>139.41</v>
      </c>
      <c r="F85" s="82">
        <v>35582</v>
      </c>
      <c r="G85" s="83"/>
      <c r="H85" s="75"/>
      <c r="I85" s="84"/>
      <c r="J85" s="81"/>
      <c r="K85" s="85"/>
      <c r="L85" s="85"/>
    </row>
    <row r="86" spans="1:15" ht="10.15" customHeight="1" x14ac:dyDescent="0.2">
      <c r="A86" s="64" t="s">
        <v>17</v>
      </c>
      <c r="B86" s="64">
        <v>529</v>
      </c>
      <c r="C86" s="72" t="s">
        <v>121</v>
      </c>
      <c r="D86" s="23"/>
      <c r="E86" s="73">
        <v>202.27</v>
      </c>
      <c r="F86" s="86">
        <v>35977</v>
      </c>
      <c r="G86" s="75"/>
      <c r="H86" s="75"/>
      <c r="I86" s="76"/>
      <c r="J86" s="73"/>
      <c r="K86" s="77"/>
      <c r="L86" s="77"/>
    </row>
    <row r="87" spans="1:15" ht="10.15" customHeight="1" x14ac:dyDescent="0.2">
      <c r="A87" s="64" t="s">
        <v>17</v>
      </c>
      <c r="B87" s="78">
        <v>562</v>
      </c>
      <c r="C87" s="79" t="s">
        <v>122</v>
      </c>
      <c r="D87" s="80"/>
      <c r="E87" s="81">
        <v>157.58000000000001</v>
      </c>
      <c r="F87" s="82">
        <v>35278</v>
      </c>
      <c r="G87" s="83"/>
      <c r="H87" s="75"/>
      <c r="I87" s="84"/>
      <c r="J87" s="81"/>
      <c r="K87" s="85"/>
      <c r="L87" s="85"/>
    </row>
    <row r="88" spans="1:15" ht="10.15" customHeight="1" x14ac:dyDescent="0.2">
      <c r="A88" s="64" t="s">
        <v>20</v>
      </c>
      <c r="B88" s="64">
        <v>408</v>
      </c>
      <c r="C88" s="72" t="s">
        <v>151</v>
      </c>
      <c r="D88" s="65"/>
      <c r="E88" s="73">
        <v>144.28</v>
      </c>
      <c r="F88" s="86">
        <v>36434</v>
      </c>
      <c r="G88" s="75"/>
      <c r="H88" s="75"/>
      <c r="I88" s="76"/>
      <c r="J88" s="73"/>
      <c r="K88" s="77"/>
      <c r="L88" s="77"/>
    </row>
    <row r="89" spans="1:15" ht="10.15" customHeight="1" x14ac:dyDescent="0.2">
      <c r="A89" s="64" t="s">
        <v>17</v>
      </c>
      <c r="B89" s="64">
        <v>523</v>
      </c>
      <c r="C89" s="72" t="s">
        <v>155</v>
      </c>
      <c r="D89" s="65"/>
      <c r="E89" s="73">
        <v>223.52</v>
      </c>
      <c r="F89" s="86">
        <v>36161</v>
      </c>
      <c r="G89" s="75"/>
      <c r="H89" s="75"/>
      <c r="I89" s="76"/>
      <c r="J89" s="73"/>
      <c r="K89" s="77"/>
      <c r="L89" s="77"/>
    </row>
    <row r="90" spans="1:15" ht="10.15" customHeight="1" x14ac:dyDescent="0.2">
      <c r="A90" s="64" t="s">
        <v>20</v>
      </c>
      <c r="B90" s="64">
        <v>445</v>
      </c>
      <c r="C90" s="87" t="s">
        <v>426</v>
      </c>
      <c r="D90" s="23"/>
      <c r="E90" s="73">
        <f>7909028/67688</f>
        <v>116.8453492494977</v>
      </c>
      <c r="F90" s="86">
        <v>36678</v>
      </c>
      <c r="G90" s="75"/>
      <c r="H90" s="75"/>
      <c r="I90" s="76"/>
      <c r="J90" s="73"/>
      <c r="K90" s="77"/>
      <c r="L90" s="77"/>
    </row>
    <row r="91" spans="1:15" ht="10.15" customHeight="1" x14ac:dyDescent="0.2">
      <c r="A91" s="64" t="s">
        <v>20</v>
      </c>
      <c r="B91" s="64">
        <v>446</v>
      </c>
      <c r="C91" s="91" t="s">
        <v>431</v>
      </c>
      <c r="D91" s="23"/>
      <c r="E91" s="73">
        <f>7470589/53798</f>
        <v>138.86369381761403</v>
      </c>
      <c r="F91" s="86">
        <v>36935</v>
      </c>
      <c r="G91" s="75"/>
      <c r="H91" s="75"/>
      <c r="I91" s="76"/>
      <c r="J91" s="73"/>
      <c r="K91" s="88"/>
      <c r="L91" s="77"/>
    </row>
    <row r="92" spans="1:15" ht="10.15" customHeight="1" x14ac:dyDescent="0.2">
      <c r="A92" s="64" t="s">
        <v>18</v>
      </c>
      <c r="B92" s="64">
        <v>314</v>
      </c>
      <c r="C92" s="91" t="s">
        <v>444</v>
      </c>
      <c r="D92" s="23"/>
      <c r="E92" s="73">
        <f>9733337/65000</f>
        <v>149.74364615384616</v>
      </c>
      <c r="F92" s="86">
        <v>37165</v>
      </c>
      <c r="G92" s="75"/>
      <c r="H92" s="75"/>
      <c r="I92" s="76"/>
      <c r="J92" s="73"/>
      <c r="K92" s="88"/>
      <c r="L92" s="77"/>
    </row>
    <row r="93" spans="1:15" ht="10.15" customHeight="1" x14ac:dyDescent="0.2">
      <c r="A93" s="64" t="s">
        <v>18</v>
      </c>
      <c r="B93" s="64">
        <v>314</v>
      </c>
      <c r="C93" s="91" t="s">
        <v>458</v>
      </c>
      <c r="D93" s="23"/>
      <c r="E93" s="73">
        <f>14494562/86000</f>
        <v>168.54141860465117</v>
      </c>
      <c r="F93" s="92">
        <v>37494</v>
      </c>
      <c r="G93" s="75"/>
      <c r="H93" s="75"/>
      <c r="I93" s="76"/>
      <c r="J93" s="73"/>
      <c r="K93" s="113"/>
      <c r="L93" s="77"/>
    </row>
    <row r="94" spans="1:15" ht="10.15" customHeight="1" x14ac:dyDescent="0.2">
      <c r="A94" s="64" t="s">
        <v>19</v>
      </c>
      <c r="B94" s="64">
        <v>216</v>
      </c>
      <c r="C94" s="87" t="s">
        <v>467</v>
      </c>
      <c r="D94" s="23"/>
      <c r="E94" s="73">
        <f>52735328/299092</f>
        <v>176.31808273039735</v>
      </c>
      <c r="F94" s="89">
        <v>37746</v>
      </c>
      <c r="G94" s="75">
        <v>3745</v>
      </c>
      <c r="H94" s="90">
        <v>8761.25</v>
      </c>
      <c r="I94" s="76">
        <f>ROUND(H94/G94,5)</f>
        <v>2.3394499999999998</v>
      </c>
      <c r="J94" s="73">
        <f>ROUND(E94*I94,2)</f>
        <v>412.49</v>
      </c>
      <c r="K94" s="88">
        <v>299092</v>
      </c>
      <c r="L94" s="77">
        <f>ROUND(J94*K94,0)</f>
        <v>123372459</v>
      </c>
      <c r="M94" s="11"/>
      <c r="N94" s="11"/>
      <c r="O94" s="11"/>
    </row>
    <row r="95" spans="1:15" ht="10.15" customHeight="1" x14ac:dyDescent="0.2">
      <c r="A95" s="64" t="s">
        <v>19</v>
      </c>
      <c r="B95" s="64">
        <v>207</v>
      </c>
      <c r="C95" s="87" t="s">
        <v>484</v>
      </c>
      <c r="D95" s="23"/>
      <c r="E95" s="73">
        <f>39566774/184678</f>
        <v>214.24736027030832</v>
      </c>
      <c r="F95" s="89">
        <v>38261</v>
      </c>
      <c r="G95" s="75">
        <v>4129</v>
      </c>
      <c r="H95" s="90">
        <v>8761.25</v>
      </c>
      <c r="I95" s="76">
        <f>ROUND(H95/G95,5)</f>
        <v>2.12188</v>
      </c>
      <c r="J95" s="73">
        <f>ROUND(E95*I95,2)</f>
        <v>454.61</v>
      </c>
      <c r="K95" s="88">
        <v>184678</v>
      </c>
      <c r="L95" s="77">
        <f>ROUND(J95*K95,0)</f>
        <v>83956466</v>
      </c>
      <c r="M95" s="11"/>
      <c r="N95" s="11"/>
      <c r="O95" s="11"/>
    </row>
    <row r="96" spans="1:15" ht="10.15" customHeight="1" x14ac:dyDescent="0.2">
      <c r="A96" s="93" t="s">
        <v>17</v>
      </c>
      <c r="B96" s="94">
        <v>501</v>
      </c>
      <c r="C96" s="87" t="s">
        <v>490</v>
      </c>
      <c r="D96" s="23"/>
      <c r="E96" s="73">
        <f>3800000/15237</f>
        <v>249.39292511649276</v>
      </c>
      <c r="F96" s="89">
        <v>38169</v>
      </c>
      <c r="G96" s="75">
        <v>4013</v>
      </c>
      <c r="H96" s="90">
        <v>8761.25</v>
      </c>
      <c r="I96" s="76">
        <f>ROUND(H96/G96,5)</f>
        <v>2.1832199999999999</v>
      </c>
      <c r="J96" s="73">
        <f>ROUND(E96*I96,2)</f>
        <v>544.48</v>
      </c>
      <c r="K96" s="88">
        <v>15237</v>
      </c>
      <c r="L96" s="77">
        <f>ROUND(J96*K96,0)</f>
        <v>8296242</v>
      </c>
      <c r="M96" s="11"/>
      <c r="N96" s="11"/>
      <c r="O96" s="11"/>
    </row>
    <row r="97" spans="1:15" ht="10.15" customHeight="1" x14ac:dyDescent="0.2">
      <c r="A97" s="93" t="s">
        <v>23</v>
      </c>
      <c r="B97" s="94">
        <v>611</v>
      </c>
      <c r="C97" s="87" t="s">
        <v>492</v>
      </c>
      <c r="D97" s="23"/>
      <c r="E97" s="73">
        <f>9931043/41629</f>
        <v>238.56069086454156</v>
      </c>
      <c r="F97" s="89">
        <v>38081</v>
      </c>
      <c r="G97" s="75">
        <v>3956</v>
      </c>
      <c r="H97" s="90">
        <v>8761.25</v>
      </c>
      <c r="I97" s="76">
        <f t="shared" ref="I97:I104" si="9">ROUND(H97/G97,5)</f>
        <v>2.2146699999999999</v>
      </c>
      <c r="J97" s="73">
        <f t="shared" ref="J97:J104" si="10">ROUND(E97*I97,2)</f>
        <v>528.33000000000004</v>
      </c>
      <c r="K97" s="88">
        <v>41629</v>
      </c>
      <c r="L97" s="77">
        <f t="shared" ref="L97:L104" si="11">ROUND(J97*K97,0)</f>
        <v>21993850</v>
      </c>
      <c r="M97" s="11"/>
      <c r="N97" s="11"/>
      <c r="O97" s="11"/>
    </row>
    <row r="98" spans="1:15" ht="10.15" customHeight="1" x14ac:dyDescent="0.2">
      <c r="A98" s="93" t="s">
        <v>20</v>
      </c>
      <c r="B98" s="94">
        <v>501</v>
      </c>
      <c r="C98" s="87" t="s">
        <v>420</v>
      </c>
      <c r="D98" s="23"/>
      <c r="E98" s="73">
        <f>18989000/114000</f>
        <v>166.57017543859649</v>
      </c>
      <c r="F98" s="89">
        <v>38081</v>
      </c>
      <c r="G98" s="75">
        <v>3956</v>
      </c>
      <c r="H98" s="90">
        <v>8761.25</v>
      </c>
      <c r="I98" s="76">
        <f t="shared" si="9"/>
        <v>2.2146699999999999</v>
      </c>
      <c r="J98" s="73">
        <f t="shared" si="10"/>
        <v>368.9</v>
      </c>
      <c r="K98" s="88">
        <v>114000</v>
      </c>
      <c r="L98" s="77">
        <f t="shared" si="11"/>
        <v>42054600</v>
      </c>
      <c r="M98" s="11"/>
      <c r="N98" s="11"/>
      <c r="O98" s="11"/>
    </row>
    <row r="99" spans="1:15" ht="10.15" customHeight="1" x14ac:dyDescent="0.2">
      <c r="A99" s="93" t="s">
        <v>24</v>
      </c>
      <c r="B99" s="94">
        <v>201</v>
      </c>
      <c r="C99" s="23" t="s">
        <v>507</v>
      </c>
      <c r="D99" s="23"/>
      <c r="E99" s="73">
        <f>2382348/8566</f>
        <v>278.11674060238153</v>
      </c>
      <c r="F99" s="92">
        <v>38436</v>
      </c>
      <c r="G99" s="75">
        <v>4127</v>
      </c>
      <c r="H99" s="90">
        <v>8761.25</v>
      </c>
      <c r="I99" s="76">
        <f t="shared" si="9"/>
        <v>2.1229100000000001</v>
      </c>
      <c r="J99" s="73">
        <f t="shared" si="10"/>
        <v>590.41999999999996</v>
      </c>
      <c r="K99" s="88">
        <v>8566</v>
      </c>
      <c r="L99" s="77">
        <f t="shared" si="11"/>
        <v>5057538</v>
      </c>
      <c r="M99" s="11"/>
      <c r="N99" s="11"/>
      <c r="O99" s="11"/>
    </row>
    <row r="100" spans="1:15" ht="10.15" customHeight="1" x14ac:dyDescent="0.2">
      <c r="A100" s="93" t="s">
        <v>19</v>
      </c>
      <c r="B100" s="94">
        <v>236</v>
      </c>
      <c r="C100" s="87" t="s">
        <v>509</v>
      </c>
      <c r="D100" s="23"/>
      <c r="E100" s="73">
        <f>54697493/143880</f>
        <v>380.16050180706145</v>
      </c>
      <c r="F100" s="92">
        <v>38597</v>
      </c>
      <c r="G100" s="75">
        <v>4242</v>
      </c>
      <c r="H100" s="90">
        <v>8761.25</v>
      </c>
      <c r="I100" s="76">
        <f t="shared" si="9"/>
        <v>2.0653600000000001</v>
      </c>
      <c r="J100" s="73">
        <f t="shared" si="10"/>
        <v>785.17</v>
      </c>
      <c r="K100" s="88">
        <v>143880</v>
      </c>
      <c r="L100" s="77">
        <f t="shared" si="11"/>
        <v>112970260</v>
      </c>
      <c r="M100" s="11"/>
      <c r="N100" s="11"/>
    </row>
    <row r="101" spans="1:15" ht="10.15" customHeight="1" x14ac:dyDescent="0.2">
      <c r="A101" s="93" t="s">
        <v>23</v>
      </c>
      <c r="B101" s="94">
        <v>603</v>
      </c>
      <c r="C101" s="87" t="s">
        <v>512</v>
      </c>
      <c r="D101" s="23"/>
      <c r="E101" s="73">
        <f>8477488/40919</f>
        <v>207.17730149808156</v>
      </c>
      <c r="F101" s="92">
        <v>38376</v>
      </c>
      <c r="G101" s="75">
        <v>4112</v>
      </c>
      <c r="H101" s="90">
        <v>8761.25</v>
      </c>
      <c r="I101" s="76">
        <f t="shared" si="9"/>
        <v>2.1306500000000002</v>
      </c>
      <c r="J101" s="73">
        <f t="shared" si="10"/>
        <v>441.42</v>
      </c>
      <c r="K101" s="88">
        <v>40919</v>
      </c>
      <c r="L101" s="77">
        <f t="shared" si="11"/>
        <v>18062465</v>
      </c>
    </row>
    <row r="102" spans="1:15" ht="10.15" customHeight="1" x14ac:dyDescent="0.2">
      <c r="A102" s="93" t="s">
        <v>24</v>
      </c>
      <c r="B102" s="94">
        <v>202</v>
      </c>
      <c r="C102" s="87" t="s">
        <v>527</v>
      </c>
      <c r="D102" s="23"/>
      <c r="E102" s="73">
        <f>26888481/51000</f>
        <v>527.22511764705882</v>
      </c>
      <c r="F102" s="92">
        <v>38899</v>
      </c>
      <c r="G102" s="75">
        <v>4356</v>
      </c>
      <c r="H102" s="90">
        <v>8761.25</v>
      </c>
      <c r="I102" s="76">
        <f t="shared" si="9"/>
        <v>2.0113099999999999</v>
      </c>
      <c r="J102" s="73">
        <f t="shared" si="10"/>
        <v>1060.4100000000001</v>
      </c>
      <c r="K102" s="88">
        <v>51000</v>
      </c>
      <c r="L102" s="77">
        <f t="shared" si="11"/>
        <v>54080910</v>
      </c>
    </row>
    <row r="103" spans="1:15" ht="10.15" customHeight="1" x14ac:dyDescent="0.2">
      <c r="A103" s="93" t="s">
        <v>24</v>
      </c>
      <c r="B103" s="94">
        <v>242</v>
      </c>
      <c r="C103" s="87" t="s">
        <v>529</v>
      </c>
      <c r="D103" s="23"/>
      <c r="E103" s="73">
        <f>3292498/9175</f>
        <v>358.85536784741146</v>
      </c>
      <c r="F103" s="92">
        <v>38991</v>
      </c>
      <c r="G103" s="75">
        <v>4431</v>
      </c>
      <c r="H103" s="90">
        <v>8761.25</v>
      </c>
      <c r="I103" s="76">
        <f t="shared" si="9"/>
        <v>1.97726</v>
      </c>
      <c r="J103" s="73">
        <f t="shared" si="10"/>
        <v>709.55</v>
      </c>
      <c r="K103" s="88">
        <v>9175</v>
      </c>
      <c r="L103" s="77">
        <f t="shared" si="11"/>
        <v>6510121</v>
      </c>
    </row>
    <row r="104" spans="1:15" ht="10.15" customHeight="1" x14ac:dyDescent="0.2">
      <c r="A104" s="93" t="s">
        <v>19</v>
      </c>
      <c r="B104" s="94">
        <v>207</v>
      </c>
      <c r="C104" s="87" t="s">
        <v>530</v>
      </c>
      <c r="D104" s="23"/>
      <c r="E104" s="73">
        <f>27434757/101183</f>
        <v>271.13998398940532</v>
      </c>
      <c r="F104" s="92">
        <v>39052</v>
      </c>
      <c r="G104" s="75">
        <v>4441</v>
      </c>
      <c r="H104" s="90">
        <v>8761.25</v>
      </c>
      <c r="I104" s="76">
        <f t="shared" si="9"/>
        <v>1.97281</v>
      </c>
      <c r="J104" s="73">
        <f t="shared" si="10"/>
        <v>534.91</v>
      </c>
      <c r="K104" s="88">
        <v>101183</v>
      </c>
      <c r="L104" s="77">
        <f t="shared" si="11"/>
        <v>54123799</v>
      </c>
    </row>
    <row r="105" spans="1:15" ht="10.15" customHeight="1" x14ac:dyDescent="0.2">
      <c r="A105" s="93" t="s">
        <v>19</v>
      </c>
      <c r="B105" s="94">
        <v>257</v>
      </c>
      <c r="C105" s="87" t="s">
        <v>531</v>
      </c>
      <c r="D105" s="23"/>
      <c r="E105" s="73">
        <f>47158114/180126</f>
        <v>261.80625784173299</v>
      </c>
      <c r="F105" s="92">
        <v>39052</v>
      </c>
      <c r="G105" s="75">
        <v>4441</v>
      </c>
      <c r="H105" s="90">
        <v>8761.25</v>
      </c>
      <c r="I105" s="76">
        <f t="shared" ref="I105:I112" si="12">ROUND(H105/G105,5)</f>
        <v>1.97281</v>
      </c>
      <c r="J105" s="73">
        <f t="shared" ref="J105:J112" si="13">ROUND(E105*I105,2)</f>
        <v>516.49</v>
      </c>
      <c r="K105" s="88">
        <v>180126</v>
      </c>
      <c r="L105" s="77">
        <f t="shared" ref="L105:L116" si="14">ROUND(J105*K105,0)</f>
        <v>93033278</v>
      </c>
    </row>
    <row r="106" spans="1:15" ht="10.15" customHeight="1" x14ac:dyDescent="0.2">
      <c r="A106" s="93" t="s">
        <v>24</v>
      </c>
      <c r="B106" s="94">
        <v>269</v>
      </c>
      <c r="C106" s="87" t="s">
        <v>545</v>
      </c>
      <c r="D106" s="23"/>
      <c r="E106" s="73">
        <f>69643336/163000</f>
        <v>427.25973006134967</v>
      </c>
      <c r="F106" s="92">
        <v>39387</v>
      </c>
      <c r="G106" s="75">
        <v>4558</v>
      </c>
      <c r="H106" s="90">
        <v>8761.25</v>
      </c>
      <c r="I106" s="76">
        <f t="shared" si="12"/>
        <v>1.9221699999999999</v>
      </c>
      <c r="J106" s="73">
        <f t="shared" si="13"/>
        <v>821.27</v>
      </c>
      <c r="K106" s="88">
        <v>163000</v>
      </c>
      <c r="L106" s="77">
        <f t="shared" si="14"/>
        <v>133867010</v>
      </c>
    </row>
    <row r="107" spans="1:15" ht="10.15" customHeight="1" x14ac:dyDescent="0.2">
      <c r="A107" s="93" t="s">
        <v>19</v>
      </c>
      <c r="B107" s="94">
        <v>274</v>
      </c>
      <c r="C107" s="87" t="s">
        <v>539</v>
      </c>
      <c r="D107" s="23"/>
      <c r="E107" s="73">
        <f>14730822/46245</f>
        <v>318.53869607525138</v>
      </c>
      <c r="F107" s="92">
        <v>39234</v>
      </c>
      <c r="G107" s="75">
        <v>4471</v>
      </c>
      <c r="H107" s="90">
        <v>8761.25</v>
      </c>
      <c r="I107" s="76">
        <f t="shared" si="12"/>
        <v>1.95957</v>
      </c>
      <c r="J107" s="73">
        <f t="shared" si="13"/>
        <v>624.20000000000005</v>
      </c>
      <c r="K107" s="88">
        <v>46245</v>
      </c>
      <c r="L107" s="77">
        <f t="shared" si="14"/>
        <v>28866129</v>
      </c>
    </row>
    <row r="108" spans="1:15" ht="10.15" customHeight="1" x14ac:dyDescent="0.2">
      <c r="A108" s="93" t="s">
        <v>20</v>
      </c>
      <c r="B108" s="94">
        <v>513</v>
      </c>
      <c r="C108" s="87" t="s">
        <v>544</v>
      </c>
      <c r="D108" s="23"/>
      <c r="E108" s="73">
        <f>69170675/199269</f>
        <v>347.12210629852109</v>
      </c>
      <c r="F108" s="92">
        <v>39234</v>
      </c>
      <c r="G108" s="75">
        <v>4471</v>
      </c>
      <c r="H108" s="90">
        <v>8761.25</v>
      </c>
      <c r="I108" s="76">
        <f t="shared" si="12"/>
        <v>1.95957</v>
      </c>
      <c r="J108" s="73">
        <f t="shared" si="13"/>
        <v>680.21</v>
      </c>
      <c r="K108" s="88">
        <v>199269</v>
      </c>
      <c r="L108" s="77">
        <f t="shared" si="14"/>
        <v>135544766</v>
      </c>
    </row>
    <row r="109" spans="1:15" s="11" customFormat="1" ht="10.15" customHeight="1" x14ac:dyDescent="0.2">
      <c r="A109" s="93" t="s">
        <v>20</v>
      </c>
      <c r="B109" s="94">
        <v>521</v>
      </c>
      <c r="C109" s="87" t="s">
        <v>161</v>
      </c>
      <c r="D109" s="23"/>
      <c r="E109" s="73">
        <f>18627512/57917</f>
        <v>321.62425539996894</v>
      </c>
      <c r="F109" s="92">
        <v>39356</v>
      </c>
      <c r="G109" s="75">
        <v>4535</v>
      </c>
      <c r="H109" s="90">
        <v>8761.25</v>
      </c>
      <c r="I109" s="76">
        <f t="shared" si="12"/>
        <v>1.9319200000000001</v>
      </c>
      <c r="J109" s="73">
        <f t="shared" si="13"/>
        <v>621.35</v>
      </c>
      <c r="K109" s="88">
        <v>57917</v>
      </c>
      <c r="L109" s="77">
        <f t="shared" si="14"/>
        <v>35986728</v>
      </c>
      <c r="M109"/>
      <c r="N109"/>
    </row>
    <row r="110" spans="1:15" s="11" customFormat="1" ht="10.15" customHeight="1" x14ac:dyDescent="0.2">
      <c r="A110" s="93" t="s">
        <v>24</v>
      </c>
      <c r="B110" s="94">
        <v>275</v>
      </c>
      <c r="C110" s="87" t="s">
        <v>554</v>
      </c>
      <c r="D110" s="23"/>
      <c r="E110" s="73">
        <f>40775089/90000</f>
        <v>453.05654444444446</v>
      </c>
      <c r="F110" s="92">
        <v>39508</v>
      </c>
      <c r="G110" s="75">
        <v>4571</v>
      </c>
      <c r="H110" s="90">
        <v>8761.25</v>
      </c>
      <c r="I110" s="76">
        <f t="shared" si="12"/>
        <v>1.9167000000000001</v>
      </c>
      <c r="J110" s="73">
        <f t="shared" si="13"/>
        <v>868.37</v>
      </c>
      <c r="K110" s="88">
        <v>90000</v>
      </c>
      <c r="L110" s="77">
        <f t="shared" si="14"/>
        <v>78153300</v>
      </c>
    </row>
    <row r="111" spans="1:15" s="11" customFormat="1" ht="10.15" customHeight="1" x14ac:dyDescent="0.2">
      <c r="A111" s="93" t="s">
        <v>20</v>
      </c>
      <c r="B111" s="94">
        <v>530</v>
      </c>
      <c r="C111" s="87" t="s">
        <v>561</v>
      </c>
      <c r="D111" s="23"/>
      <c r="E111" s="73">
        <f>1149466/7000</f>
        <v>164.20942857142856</v>
      </c>
      <c r="F111" s="92">
        <v>39630</v>
      </c>
      <c r="G111" s="75">
        <v>4723</v>
      </c>
      <c r="H111" s="90">
        <v>8761.25</v>
      </c>
      <c r="I111" s="76">
        <f t="shared" si="12"/>
        <v>1.8550199999999999</v>
      </c>
      <c r="J111" s="73">
        <f t="shared" si="13"/>
        <v>304.61</v>
      </c>
      <c r="K111" s="88">
        <v>7000</v>
      </c>
      <c r="L111" s="77">
        <f t="shared" si="14"/>
        <v>2132270</v>
      </c>
    </row>
    <row r="112" spans="1:15" s="11" customFormat="1" ht="10.15" customHeight="1" x14ac:dyDescent="0.2">
      <c r="A112" s="93" t="s">
        <v>23</v>
      </c>
      <c r="B112" s="94"/>
      <c r="C112" s="87" t="s">
        <v>570</v>
      </c>
      <c r="D112" s="23"/>
      <c r="E112" s="73">
        <f>SUM(26204519/43667)</f>
        <v>600.09890764192642</v>
      </c>
      <c r="F112" s="92">
        <v>39904</v>
      </c>
      <c r="G112" s="75">
        <v>4761</v>
      </c>
      <c r="H112" s="90">
        <v>8761.25</v>
      </c>
      <c r="I112" s="76">
        <f t="shared" si="12"/>
        <v>1.8402099999999999</v>
      </c>
      <c r="J112" s="73">
        <f t="shared" si="13"/>
        <v>1104.31</v>
      </c>
      <c r="K112" s="88">
        <v>73200</v>
      </c>
      <c r="L112" s="77">
        <f t="shared" si="14"/>
        <v>80835492</v>
      </c>
    </row>
    <row r="113" spans="1:14" s="15" customFormat="1" ht="10.15" customHeight="1" x14ac:dyDescent="0.2">
      <c r="A113" s="64" t="s">
        <v>20</v>
      </c>
      <c r="B113" s="64">
        <v>521</v>
      </c>
      <c r="C113" s="23" t="s">
        <v>575</v>
      </c>
      <c r="D113" s="23"/>
      <c r="E113" s="73">
        <f>19179884/74710</f>
        <v>256.72445455762283</v>
      </c>
      <c r="F113" s="92">
        <v>39995</v>
      </c>
      <c r="G113" s="75">
        <v>4762</v>
      </c>
      <c r="H113" s="90">
        <v>8761.25</v>
      </c>
      <c r="I113" s="76">
        <f t="shared" ref="I113:I120" si="15">ROUND(H113/G113,5)</f>
        <v>1.8398300000000001</v>
      </c>
      <c r="J113" s="73">
        <f t="shared" ref="J113:J121" si="16">ROUND(E113*I113,2)</f>
        <v>472.33</v>
      </c>
      <c r="K113" s="88">
        <v>74710</v>
      </c>
      <c r="L113" s="77">
        <f t="shared" si="14"/>
        <v>35287774</v>
      </c>
    </row>
    <row r="114" spans="1:14" s="15" customFormat="1" ht="10.15" customHeight="1" x14ac:dyDescent="0.2">
      <c r="A114" s="64" t="s">
        <v>19</v>
      </c>
      <c r="B114" s="95"/>
      <c r="C114" s="23" t="s">
        <v>597</v>
      </c>
      <c r="D114" s="23"/>
      <c r="E114" s="73">
        <f>24880488/60337</f>
        <v>412.358718530918</v>
      </c>
      <c r="F114" s="92">
        <v>40360</v>
      </c>
      <c r="G114" s="75">
        <v>4910</v>
      </c>
      <c r="H114" s="90">
        <v>8761.25</v>
      </c>
      <c r="I114" s="76">
        <f t="shared" si="15"/>
        <v>1.78437</v>
      </c>
      <c r="J114" s="73">
        <f t="shared" si="16"/>
        <v>735.8</v>
      </c>
      <c r="K114" s="88">
        <v>60337</v>
      </c>
      <c r="L114" s="77">
        <f t="shared" si="14"/>
        <v>44395965</v>
      </c>
      <c r="M114"/>
    </row>
    <row r="115" spans="1:14" ht="10.15" customHeight="1" x14ac:dyDescent="0.2">
      <c r="A115" s="64" t="s">
        <v>20</v>
      </c>
      <c r="B115" s="64">
        <v>521</v>
      </c>
      <c r="C115" s="23" t="s">
        <v>576</v>
      </c>
      <c r="D115" s="23"/>
      <c r="E115" s="73">
        <f>19179884/74710</f>
        <v>256.72445455762283</v>
      </c>
      <c r="F115" s="92">
        <v>39995</v>
      </c>
      <c r="G115" s="75">
        <v>4762</v>
      </c>
      <c r="H115" s="90">
        <v>8761.25</v>
      </c>
      <c r="I115" s="76">
        <f>ROUND(H115/G115,5)</f>
        <v>1.8398300000000001</v>
      </c>
      <c r="J115" s="73">
        <f t="shared" si="16"/>
        <v>472.33</v>
      </c>
      <c r="K115" s="88">
        <v>74710</v>
      </c>
      <c r="L115" s="77">
        <f>ROUND(J115*K115,0)</f>
        <v>35287774</v>
      </c>
    </row>
    <row r="116" spans="1:14" ht="10.15" customHeight="1" x14ac:dyDescent="0.2">
      <c r="A116" s="64" t="s">
        <v>24</v>
      </c>
      <c r="B116" s="95"/>
      <c r="C116" s="23" t="s">
        <v>617</v>
      </c>
      <c r="D116" s="23"/>
      <c r="E116" s="73">
        <f>20041724/18906</f>
        <v>1060.0721464085475</v>
      </c>
      <c r="F116" s="92">
        <v>40452</v>
      </c>
      <c r="G116" s="75">
        <v>4947</v>
      </c>
      <c r="H116" s="90">
        <v>8761.25</v>
      </c>
      <c r="I116" s="76">
        <f t="shared" si="15"/>
        <v>1.77102</v>
      </c>
      <c r="J116" s="73">
        <f t="shared" si="16"/>
        <v>1877.41</v>
      </c>
      <c r="K116" s="88">
        <v>18906</v>
      </c>
      <c r="L116" s="77">
        <f t="shared" si="14"/>
        <v>35494313</v>
      </c>
      <c r="N116" s="15"/>
    </row>
    <row r="117" spans="1:14" ht="10.15" customHeight="1" x14ac:dyDescent="0.2">
      <c r="A117" s="64" t="s">
        <v>20</v>
      </c>
      <c r="B117" s="95"/>
      <c r="C117" s="87" t="s">
        <v>664</v>
      </c>
      <c r="D117" s="23"/>
      <c r="E117" s="73">
        <f>COSTBASE!F1207/COSTBASE!G1207</f>
        <v>424.11429922004254</v>
      </c>
      <c r="F117" s="114">
        <v>43100</v>
      </c>
      <c r="G117" s="75">
        <v>5914</v>
      </c>
      <c r="H117" s="90">
        <v>8761.25</v>
      </c>
      <c r="I117" s="76">
        <f t="shared" si="15"/>
        <v>1.4814400000000001</v>
      </c>
      <c r="J117" s="73">
        <f t="shared" si="16"/>
        <v>628.29999999999995</v>
      </c>
      <c r="K117" s="88">
        <v>105775</v>
      </c>
      <c r="L117" s="77">
        <f t="shared" ref="L117:L122" si="17">ROUND(J117*K117,0)</f>
        <v>66458433</v>
      </c>
      <c r="N117" s="15"/>
    </row>
    <row r="118" spans="1:14" ht="10.15" customHeight="1" x14ac:dyDescent="0.2">
      <c r="A118" s="64" t="s">
        <v>18</v>
      </c>
      <c r="B118" s="95"/>
      <c r="C118" s="87" t="s">
        <v>652</v>
      </c>
      <c r="D118" s="23"/>
      <c r="E118" s="73">
        <f>SUM(37551000/89103)</f>
        <v>421.43362176357698</v>
      </c>
      <c r="F118" s="114">
        <v>42644</v>
      </c>
      <c r="G118" s="75">
        <v>5561</v>
      </c>
      <c r="H118" s="90">
        <v>8761.25</v>
      </c>
      <c r="I118" s="76">
        <f t="shared" si="15"/>
        <v>1.57548</v>
      </c>
      <c r="J118" s="73">
        <f t="shared" si="16"/>
        <v>663.96</v>
      </c>
      <c r="K118" s="88">
        <v>89103</v>
      </c>
      <c r="L118" s="77">
        <f t="shared" si="17"/>
        <v>59160828</v>
      </c>
      <c r="N118" s="15"/>
    </row>
    <row r="119" spans="1:14" ht="10.15" customHeight="1" x14ac:dyDescent="0.2">
      <c r="A119" s="64" t="s">
        <v>24</v>
      </c>
      <c r="B119" s="95"/>
      <c r="C119" s="91" t="s">
        <v>677</v>
      </c>
      <c r="D119" s="23"/>
      <c r="E119" s="73">
        <f>COSTBASE!F415/COSTBASE!G415</f>
        <v>375.31187624750498</v>
      </c>
      <c r="F119" s="114">
        <v>43283</v>
      </c>
      <c r="G119" s="75">
        <v>6043</v>
      </c>
      <c r="H119" s="90">
        <v>8761.25</v>
      </c>
      <c r="I119" s="76">
        <f t="shared" si="15"/>
        <v>1.4498200000000001</v>
      </c>
      <c r="J119" s="73">
        <f t="shared" si="16"/>
        <v>544.13</v>
      </c>
      <c r="K119" s="88">
        <v>8016</v>
      </c>
      <c r="L119" s="77">
        <f t="shared" si="17"/>
        <v>4361746</v>
      </c>
      <c r="N119" s="15"/>
    </row>
    <row r="120" spans="1:14" ht="10.15" customHeight="1" x14ac:dyDescent="0.2">
      <c r="A120" s="64" t="s">
        <v>24</v>
      </c>
      <c r="B120" s="95"/>
      <c r="C120" s="91" t="s">
        <v>737</v>
      </c>
      <c r="D120" s="23"/>
      <c r="E120" s="73">
        <v>416.3</v>
      </c>
      <c r="F120" s="114">
        <v>44825</v>
      </c>
      <c r="G120" s="75">
        <v>7966.9</v>
      </c>
      <c r="H120" s="90">
        <v>8761.25</v>
      </c>
      <c r="I120" s="76">
        <f t="shared" si="15"/>
        <v>1.09971</v>
      </c>
      <c r="J120" s="73">
        <f t="shared" si="16"/>
        <v>457.81</v>
      </c>
      <c r="K120" s="88">
        <v>23806</v>
      </c>
      <c r="L120" s="77">
        <f t="shared" si="17"/>
        <v>10898625</v>
      </c>
      <c r="N120" s="15"/>
    </row>
    <row r="121" spans="1:14" s="19" customFormat="1" ht="10.5" customHeight="1" x14ac:dyDescent="0.2">
      <c r="A121" s="102" t="s">
        <v>23</v>
      </c>
      <c r="B121" s="103"/>
      <c r="C121" s="104" t="s">
        <v>742</v>
      </c>
      <c r="D121" s="104"/>
      <c r="E121" s="105">
        <v>567.04</v>
      </c>
      <c r="F121" s="106">
        <v>44887</v>
      </c>
      <c r="G121" s="107">
        <v>7966.9</v>
      </c>
      <c r="H121" s="90">
        <v>8761.25</v>
      </c>
      <c r="I121" s="108">
        <f>ROUND(H121/G121,5)</f>
        <v>1.09971</v>
      </c>
      <c r="J121" s="105">
        <f t="shared" si="16"/>
        <v>623.58000000000004</v>
      </c>
      <c r="K121" s="88">
        <v>62997</v>
      </c>
      <c r="L121" s="77">
        <f t="shared" si="17"/>
        <v>39283669</v>
      </c>
      <c r="M121" s="18"/>
      <c r="N121" s="18"/>
    </row>
    <row r="122" spans="1:14" s="19" customFormat="1" ht="10.5" customHeight="1" x14ac:dyDescent="0.2">
      <c r="A122" s="102" t="s">
        <v>24</v>
      </c>
      <c r="B122" s="103"/>
      <c r="C122" s="104" t="s">
        <v>769</v>
      </c>
      <c r="D122" s="104"/>
      <c r="E122" s="105">
        <v>769.39</v>
      </c>
      <c r="F122" s="106">
        <v>46013</v>
      </c>
      <c r="G122" s="107">
        <v>8761.25</v>
      </c>
      <c r="H122" s="90">
        <v>8761.25</v>
      </c>
      <c r="I122" s="108">
        <f>ROUND(H122/G122,5)</f>
        <v>1</v>
      </c>
      <c r="J122" s="105">
        <f>ROUND(E122*I122,2)</f>
        <v>769.39</v>
      </c>
      <c r="K122" s="88">
        <v>47789</v>
      </c>
      <c r="L122" s="77">
        <f t="shared" si="17"/>
        <v>36768379</v>
      </c>
      <c r="M122" s="18"/>
      <c r="N122" s="18"/>
    </row>
    <row r="123" spans="1:14" ht="10.15" customHeight="1" x14ac:dyDescent="0.2">
      <c r="A123" s="65"/>
      <c r="B123" s="65"/>
      <c r="C123" s="64" t="s">
        <v>33</v>
      </c>
      <c r="D123" s="65"/>
      <c r="E123" s="36"/>
      <c r="F123" s="95"/>
      <c r="G123" s="36"/>
      <c r="H123" s="36"/>
      <c r="I123" s="97"/>
      <c r="J123" s="36"/>
      <c r="K123" s="98">
        <f>SUM(K79:K122)</f>
        <v>2392265</v>
      </c>
      <c r="L123" s="98">
        <f>SUM(L79:L122)</f>
        <v>1486295189</v>
      </c>
    </row>
    <row r="124" spans="1:14" ht="10.15" customHeight="1" x14ac:dyDescent="0.2">
      <c r="A124" s="65"/>
      <c r="B124" s="65"/>
      <c r="C124" s="23"/>
      <c r="D124" s="23"/>
      <c r="E124" s="26"/>
      <c r="F124" s="95"/>
      <c r="G124" s="26"/>
      <c r="H124" s="26"/>
      <c r="I124" s="97"/>
      <c r="J124" s="36"/>
      <c r="K124" s="112"/>
      <c r="L124" s="112"/>
    </row>
    <row r="125" spans="1:14" ht="10.15" customHeight="1" x14ac:dyDescent="0.2">
      <c r="A125" s="65"/>
      <c r="B125" s="65"/>
      <c r="C125" s="70" t="s">
        <v>62</v>
      </c>
      <c r="D125" s="65"/>
      <c r="E125" s="36"/>
      <c r="F125" s="115"/>
      <c r="G125" s="87"/>
      <c r="H125" s="36"/>
      <c r="I125" s="97"/>
      <c r="J125" s="101">
        <f>ROUND(L123/K123,2)</f>
        <v>621.29</v>
      </c>
      <c r="K125" s="112"/>
      <c r="L125" s="65"/>
    </row>
    <row r="126" spans="1:14" ht="11.25" x14ac:dyDescent="0.2">
      <c r="A126" s="65"/>
      <c r="B126" s="65"/>
      <c r="C126" s="23"/>
      <c r="D126" s="23"/>
      <c r="E126" s="23"/>
      <c r="F126" s="95"/>
      <c r="G126" s="23"/>
      <c r="H126" s="26"/>
      <c r="I126" s="99"/>
      <c r="J126" s="23"/>
      <c r="K126" s="23"/>
      <c r="L126" s="23"/>
    </row>
    <row r="127" spans="1:14" ht="10.15" customHeight="1" x14ac:dyDescent="0.2">
      <c r="A127" s="71" t="s">
        <v>63</v>
      </c>
      <c r="B127" s="65"/>
      <c r="C127" s="23"/>
      <c r="D127" s="23"/>
      <c r="E127" s="26"/>
      <c r="F127" s="95"/>
      <c r="G127" s="26"/>
      <c r="H127" s="26"/>
      <c r="I127" s="99"/>
      <c r="J127" s="26"/>
      <c r="K127" s="100"/>
      <c r="L127" s="100"/>
    </row>
    <row r="128" spans="1:14" ht="10.15" customHeight="1" x14ac:dyDescent="0.2">
      <c r="A128" s="64" t="s">
        <v>23</v>
      </c>
      <c r="B128" s="64">
        <v>686</v>
      </c>
      <c r="C128" s="72" t="s">
        <v>199</v>
      </c>
      <c r="D128" s="23"/>
      <c r="E128" s="73">
        <f>ROUND(460100/4400,2)</f>
        <v>104.57</v>
      </c>
      <c r="F128" s="95" t="s">
        <v>186</v>
      </c>
      <c r="G128" s="26"/>
      <c r="H128" s="26"/>
      <c r="I128" s="99"/>
      <c r="J128" s="26"/>
      <c r="K128" s="100"/>
      <c r="L128" s="100"/>
    </row>
    <row r="129" spans="1:24" ht="10.15" customHeight="1" x14ac:dyDescent="0.2">
      <c r="A129" s="64" t="s">
        <v>22</v>
      </c>
      <c r="B129" s="64"/>
      <c r="C129" s="72" t="s">
        <v>757</v>
      </c>
      <c r="D129" s="23"/>
      <c r="E129" s="73">
        <f>SUM(5064100/57456)</f>
        <v>88.138749651907546</v>
      </c>
      <c r="F129" s="231">
        <v>34304</v>
      </c>
      <c r="G129" s="26"/>
      <c r="H129" s="26"/>
      <c r="I129" s="99"/>
      <c r="J129" s="26"/>
      <c r="K129" s="100"/>
      <c r="L129" s="100"/>
    </row>
    <row r="130" spans="1:24" ht="10.15" customHeight="1" x14ac:dyDescent="0.2">
      <c r="A130" s="64" t="s">
        <v>20</v>
      </c>
      <c r="B130" s="65"/>
      <c r="C130" s="23" t="s">
        <v>187</v>
      </c>
      <c r="D130" s="23"/>
      <c r="E130" s="26">
        <f>+SUM(6094000/61600)</f>
        <v>98.928571428571431</v>
      </c>
      <c r="F130" s="231">
        <v>34274</v>
      </c>
      <c r="G130" s="26"/>
      <c r="H130" s="26"/>
      <c r="I130" s="99"/>
      <c r="J130" s="26"/>
      <c r="K130" s="100"/>
      <c r="L130" s="100"/>
    </row>
    <row r="131" spans="1:24" ht="10.15" customHeight="1" x14ac:dyDescent="0.2">
      <c r="A131" s="64" t="s">
        <v>21</v>
      </c>
      <c r="B131" s="65"/>
      <c r="C131" s="23" t="s">
        <v>65</v>
      </c>
      <c r="D131" s="23"/>
      <c r="E131" s="26">
        <f>SUM(654151/8218)</f>
        <v>79.599780968605501</v>
      </c>
      <c r="F131" s="231">
        <v>34669</v>
      </c>
      <c r="G131" s="26"/>
      <c r="H131" s="26"/>
      <c r="I131" s="99"/>
      <c r="J131" s="26"/>
      <c r="K131" s="100"/>
      <c r="L131" s="100"/>
    </row>
    <row r="132" spans="1:24" ht="10.15" customHeight="1" x14ac:dyDescent="0.2">
      <c r="A132" s="64" t="s">
        <v>20</v>
      </c>
      <c r="B132" s="64">
        <v>429</v>
      </c>
      <c r="C132" s="72" t="s">
        <v>110</v>
      </c>
      <c r="D132" s="23"/>
      <c r="E132" s="73">
        <v>110.85</v>
      </c>
      <c r="F132" s="86">
        <v>35977</v>
      </c>
      <c r="G132" s="75"/>
      <c r="H132" s="75"/>
      <c r="I132" s="76"/>
      <c r="J132" s="75"/>
      <c r="K132" s="77"/>
      <c r="L132" s="77"/>
    </row>
    <row r="133" spans="1:24" ht="10.15" customHeight="1" x14ac:dyDescent="0.2">
      <c r="A133" s="64" t="s">
        <v>19</v>
      </c>
      <c r="B133" s="64">
        <v>292</v>
      </c>
      <c r="C133" s="72" t="s">
        <v>72</v>
      </c>
      <c r="D133" s="23"/>
      <c r="E133" s="73">
        <v>120.7</v>
      </c>
      <c r="F133" s="86">
        <v>35612</v>
      </c>
      <c r="G133" s="75"/>
      <c r="H133" s="75"/>
      <c r="I133" s="76"/>
      <c r="J133" s="75"/>
      <c r="K133" s="77"/>
      <c r="L133" s="77"/>
    </row>
    <row r="134" spans="1:24" ht="10.15" customHeight="1" x14ac:dyDescent="0.2">
      <c r="A134" s="64" t="s">
        <v>24</v>
      </c>
      <c r="B134" s="78">
        <v>175</v>
      </c>
      <c r="C134" s="79" t="s">
        <v>117</v>
      </c>
      <c r="D134" s="80"/>
      <c r="E134" s="81">
        <v>101.14</v>
      </c>
      <c r="F134" s="82">
        <v>35125</v>
      </c>
      <c r="G134" s="83"/>
      <c r="H134" s="75"/>
      <c r="I134" s="84"/>
      <c r="J134" s="83"/>
      <c r="K134" s="85"/>
      <c r="L134" s="85"/>
    </row>
    <row r="135" spans="1:24" ht="10.15" customHeight="1" x14ac:dyDescent="0.2">
      <c r="A135" s="64" t="s">
        <v>19</v>
      </c>
      <c r="B135" s="64">
        <v>222</v>
      </c>
      <c r="C135" s="72" t="s">
        <v>123</v>
      </c>
      <c r="D135" s="23"/>
      <c r="E135" s="73">
        <v>143.12</v>
      </c>
      <c r="F135" s="86">
        <v>36039</v>
      </c>
      <c r="G135" s="75"/>
      <c r="H135" s="75"/>
      <c r="I135" s="76"/>
      <c r="J135" s="75"/>
      <c r="K135" s="77"/>
      <c r="L135" s="77"/>
    </row>
    <row r="136" spans="1:24" ht="10.15" customHeight="1" x14ac:dyDescent="0.2">
      <c r="A136" s="64" t="s">
        <v>19</v>
      </c>
      <c r="B136" s="78">
        <v>204</v>
      </c>
      <c r="C136" s="79" t="s">
        <v>124</v>
      </c>
      <c r="D136" s="80"/>
      <c r="E136" s="81">
        <v>101.45</v>
      </c>
      <c r="F136" s="82">
        <v>33573</v>
      </c>
      <c r="G136" s="83"/>
      <c r="H136" s="75"/>
      <c r="I136" s="84"/>
      <c r="J136" s="83"/>
      <c r="K136" s="85"/>
      <c r="L136" s="85"/>
    </row>
    <row r="137" spans="1:24" ht="10.15" customHeight="1" x14ac:dyDescent="0.2">
      <c r="A137" s="64" t="s">
        <v>19</v>
      </c>
      <c r="B137" s="78">
        <v>204</v>
      </c>
      <c r="C137" s="79" t="s">
        <v>125</v>
      </c>
      <c r="D137" s="80"/>
      <c r="E137" s="81">
        <v>106.83</v>
      </c>
      <c r="F137" s="82">
        <v>34455</v>
      </c>
      <c r="G137" s="83"/>
      <c r="H137" s="75"/>
      <c r="I137" s="84"/>
      <c r="J137" s="83"/>
      <c r="K137" s="85"/>
      <c r="L137" s="85"/>
    </row>
    <row r="138" spans="1:24" ht="10.15" customHeight="1" x14ac:dyDescent="0.2">
      <c r="A138" s="64" t="s">
        <v>20</v>
      </c>
      <c r="B138" s="78">
        <v>424</v>
      </c>
      <c r="C138" s="79" t="s">
        <v>111</v>
      </c>
      <c r="D138" s="80"/>
      <c r="E138" s="81">
        <v>110.11</v>
      </c>
      <c r="F138" s="82">
        <v>35462</v>
      </c>
      <c r="G138" s="83"/>
      <c r="H138" s="75"/>
      <c r="I138" s="84"/>
      <c r="J138" s="83"/>
      <c r="K138" s="85"/>
      <c r="L138" s="85"/>
    </row>
    <row r="139" spans="1:24" ht="10.15" customHeight="1" x14ac:dyDescent="0.2">
      <c r="A139" s="64" t="s">
        <v>126</v>
      </c>
      <c r="B139" s="64">
        <v>1009</v>
      </c>
      <c r="C139" s="72" t="s">
        <v>128</v>
      </c>
      <c r="D139" s="23"/>
      <c r="E139" s="73">
        <v>119.49</v>
      </c>
      <c r="F139" s="86">
        <v>36130</v>
      </c>
      <c r="G139" s="75"/>
      <c r="H139" s="75"/>
      <c r="I139" s="76"/>
      <c r="J139" s="75"/>
      <c r="K139" s="77"/>
      <c r="L139" s="77"/>
    </row>
    <row r="140" spans="1:24" s="9" customFormat="1" ht="10.15" customHeight="1" x14ac:dyDescent="0.2">
      <c r="A140" s="64" t="s">
        <v>24</v>
      </c>
      <c r="B140" s="64">
        <v>130</v>
      </c>
      <c r="C140" s="87" t="s">
        <v>424</v>
      </c>
      <c r="D140" s="23"/>
      <c r="E140" s="73">
        <f>4292437/27126</f>
        <v>158.24069158740693</v>
      </c>
      <c r="F140" s="86">
        <v>36739</v>
      </c>
      <c r="G140" s="75"/>
      <c r="H140" s="75"/>
      <c r="I140" s="76"/>
      <c r="J140" s="75"/>
      <c r="K140" s="77"/>
      <c r="L140" s="77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s="9" customFormat="1" ht="10.15" customHeight="1" x14ac:dyDescent="0.2">
      <c r="A141" s="94" t="s">
        <v>20</v>
      </c>
      <c r="B141" s="94">
        <v>438</v>
      </c>
      <c r="C141" s="87" t="s">
        <v>427</v>
      </c>
      <c r="D141" s="23"/>
      <c r="E141" s="73">
        <f>8095387/61904</f>
        <v>130.77324567071594</v>
      </c>
      <c r="F141" s="86">
        <v>36526</v>
      </c>
      <c r="G141" s="75"/>
      <c r="H141" s="75"/>
      <c r="I141" s="76"/>
      <c r="J141" s="75"/>
      <c r="K141" s="77"/>
      <c r="L141" s="77"/>
      <c r="M141"/>
      <c r="N141"/>
      <c r="O141" s="11"/>
      <c r="P141"/>
      <c r="Q141"/>
      <c r="R141"/>
      <c r="S141"/>
      <c r="T141"/>
      <c r="U141"/>
      <c r="V141"/>
      <c r="W141"/>
      <c r="X141"/>
    </row>
    <row r="142" spans="1:24" s="9" customFormat="1" ht="10.15" customHeight="1" x14ac:dyDescent="0.2">
      <c r="A142" s="94" t="s">
        <v>20</v>
      </c>
      <c r="B142" s="94">
        <v>403</v>
      </c>
      <c r="C142" s="87" t="s">
        <v>430</v>
      </c>
      <c r="D142" s="65"/>
      <c r="E142" s="73">
        <f>8171727/60809</f>
        <v>134.38351230903319</v>
      </c>
      <c r="F142" s="89">
        <v>37127</v>
      </c>
      <c r="G142" s="75"/>
      <c r="H142" s="75"/>
      <c r="I142" s="116"/>
      <c r="J142" s="75"/>
      <c r="K142" s="88"/>
      <c r="L142" s="77"/>
      <c r="M142" s="11"/>
      <c r="N142" s="11"/>
      <c r="O142" s="11"/>
      <c r="P142"/>
      <c r="Q142"/>
      <c r="R142"/>
      <c r="S142"/>
      <c r="T142"/>
      <c r="U142"/>
      <c r="V142"/>
      <c r="W142"/>
      <c r="X142"/>
    </row>
    <row r="143" spans="1:24" s="9" customFormat="1" ht="10.15" customHeight="1" x14ac:dyDescent="0.2">
      <c r="A143" s="64" t="s">
        <v>22</v>
      </c>
      <c r="B143" s="64" t="s">
        <v>435</v>
      </c>
      <c r="C143" s="117" t="s">
        <v>436</v>
      </c>
      <c r="D143" s="65"/>
      <c r="E143" s="73">
        <f>11098000/82020</f>
        <v>135.30846135089001</v>
      </c>
      <c r="F143" s="86">
        <v>37181</v>
      </c>
      <c r="G143" s="75"/>
      <c r="H143" s="75"/>
      <c r="I143" s="76"/>
      <c r="J143" s="75"/>
      <c r="K143" s="88"/>
      <c r="L143" s="77"/>
      <c r="M143" s="11"/>
      <c r="N143" s="11"/>
      <c r="O143" s="11"/>
      <c r="P143"/>
      <c r="Q143"/>
      <c r="R143"/>
      <c r="S143"/>
      <c r="T143"/>
      <c r="U143"/>
      <c r="V143"/>
      <c r="W143"/>
      <c r="X143"/>
    </row>
    <row r="144" spans="1:24" s="9" customFormat="1" ht="10.15" customHeight="1" x14ac:dyDescent="0.2">
      <c r="A144" s="64" t="s">
        <v>19</v>
      </c>
      <c r="B144" s="64">
        <v>201</v>
      </c>
      <c r="C144" s="87" t="s">
        <v>453</v>
      </c>
      <c r="D144" s="23"/>
      <c r="E144" s="73">
        <f>6619544/44862</f>
        <v>147.55347510142215</v>
      </c>
      <c r="F144" s="89">
        <v>37490</v>
      </c>
      <c r="G144" s="75"/>
      <c r="H144" s="75"/>
      <c r="I144" s="76"/>
      <c r="J144" s="75"/>
      <c r="K144" s="88"/>
      <c r="L144" s="77"/>
      <c r="M144" s="11"/>
      <c r="N144" s="11"/>
      <c r="O144" s="11"/>
      <c r="P144"/>
      <c r="Q144"/>
      <c r="R144"/>
      <c r="S144"/>
      <c r="T144"/>
      <c r="U144"/>
      <c r="V144"/>
      <c r="W144"/>
      <c r="X144"/>
    </row>
    <row r="145" spans="1:24" s="9" customFormat="1" ht="10.15" customHeight="1" x14ac:dyDescent="0.2">
      <c r="A145" s="64" t="s">
        <v>19</v>
      </c>
      <c r="B145" s="64">
        <v>237</v>
      </c>
      <c r="C145" s="87" t="s">
        <v>28</v>
      </c>
      <c r="D145" s="23"/>
      <c r="E145" s="73">
        <f>20551024/158553</f>
        <v>129.616115746785</v>
      </c>
      <c r="F145" s="89">
        <v>37348</v>
      </c>
      <c r="G145" s="75"/>
      <c r="H145" s="75"/>
      <c r="I145" s="76"/>
      <c r="J145" s="75"/>
      <c r="K145" s="88"/>
      <c r="L145" s="77"/>
      <c r="M145" s="11"/>
      <c r="N145" s="11"/>
      <c r="O145" s="11"/>
      <c r="P145"/>
      <c r="Q145"/>
      <c r="R145"/>
      <c r="S145"/>
      <c r="T145"/>
      <c r="U145"/>
      <c r="V145"/>
      <c r="W145"/>
      <c r="X145"/>
    </row>
    <row r="146" spans="1:24" s="9" customFormat="1" ht="10.15" customHeight="1" x14ac:dyDescent="0.2">
      <c r="A146" s="64" t="s">
        <v>23</v>
      </c>
      <c r="B146" s="64">
        <v>663</v>
      </c>
      <c r="C146" s="87" t="s">
        <v>459</v>
      </c>
      <c r="D146" s="23"/>
      <c r="E146" s="73">
        <f>12308066/97128</f>
        <v>126.72006012684292</v>
      </c>
      <c r="F146" s="89">
        <v>37491</v>
      </c>
      <c r="G146" s="75"/>
      <c r="H146" s="75"/>
      <c r="I146" s="76"/>
      <c r="J146" s="75"/>
      <c r="K146" s="88"/>
      <c r="L146" s="77"/>
      <c r="M146" s="11"/>
      <c r="N146" s="11"/>
      <c r="O146" s="11"/>
      <c r="P146"/>
      <c r="Q146"/>
      <c r="R146"/>
      <c r="S146"/>
      <c r="T146"/>
      <c r="U146"/>
      <c r="V146"/>
      <c r="W146"/>
      <c r="X146"/>
    </row>
    <row r="147" spans="1:24" s="9" customFormat="1" ht="10.15" customHeight="1" x14ac:dyDescent="0.2">
      <c r="A147" s="64" t="s">
        <v>22</v>
      </c>
      <c r="B147" s="64">
        <v>824</v>
      </c>
      <c r="C147" s="87" t="s">
        <v>461</v>
      </c>
      <c r="D147" s="23"/>
      <c r="E147" s="73">
        <f>2327023/15877</f>
        <v>146.56566101908422</v>
      </c>
      <c r="F147" s="89">
        <v>37607</v>
      </c>
      <c r="G147" s="75"/>
      <c r="H147" s="75"/>
      <c r="I147" s="76"/>
      <c r="J147" s="73"/>
      <c r="K147" s="88"/>
      <c r="L147" s="77"/>
      <c r="M147" s="11"/>
      <c r="N147" s="11"/>
      <c r="O147" s="11"/>
      <c r="P147"/>
      <c r="Q147"/>
      <c r="R147"/>
      <c r="S147"/>
      <c r="T147"/>
      <c r="U147"/>
      <c r="V147"/>
      <c r="W147"/>
      <c r="X147"/>
    </row>
    <row r="148" spans="1:24" s="9" customFormat="1" ht="10.15" customHeight="1" x14ac:dyDescent="0.2">
      <c r="A148" s="64" t="s">
        <v>19</v>
      </c>
      <c r="B148" s="64">
        <v>217</v>
      </c>
      <c r="C148" s="91" t="s">
        <v>469</v>
      </c>
      <c r="D148" s="23"/>
      <c r="E148" s="73">
        <f>4804136/18922</f>
        <v>253.89155480393194</v>
      </c>
      <c r="F148" s="92">
        <v>37778</v>
      </c>
      <c r="G148" s="75">
        <v>3677</v>
      </c>
      <c r="H148" s="90">
        <v>8761.25</v>
      </c>
      <c r="I148" s="76">
        <f t="shared" ref="I148:I160" si="18">ROUND(H148/G148,5)</f>
        <v>2.3827199999999999</v>
      </c>
      <c r="J148" s="73">
        <f t="shared" ref="J148:J160" si="19">ROUND(E148*I148,2)</f>
        <v>604.95000000000005</v>
      </c>
      <c r="K148" s="88">
        <v>18922</v>
      </c>
      <c r="L148" s="77">
        <f t="shared" ref="L148:L156" si="20">ROUND(J148*K148,0)</f>
        <v>11446864</v>
      </c>
      <c r="M148" s="11"/>
      <c r="N148" s="11"/>
      <c r="O148" s="11"/>
      <c r="P148"/>
      <c r="Q148"/>
      <c r="R148"/>
      <c r="S148"/>
      <c r="T148"/>
      <c r="U148"/>
      <c r="V148"/>
      <c r="W148"/>
      <c r="X148"/>
    </row>
    <row r="149" spans="1:24" s="9" customFormat="1" ht="10.15" customHeight="1" x14ac:dyDescent="0.2">
      <c r="A149" s="64" t="s">
        <v>22</v>
      </c>
      <c r="B149" s="64">
        <v>824</v>
      </c>
      <c r="C149" s="91" t="s">
        <v>461</v>
      </c>
      <c r="D149" s="23"/>
      <c r="E149" s="73">
        <f>2336804/15877</f>
        <v>147.18170939094287</v>
      </c>
      <c r="F149" s="92">
        <v>37635</v>
      </c>
      <c r="G149" s="75">
        <v>3648</v>
      </c>
      <c r="H149" s="90">
        <v>8761.25</v>
      </c>
      <c r="I149" s="76">
        <f t="shared" si="18"/>
        <v>2.4016600000000001</v>
      </c>
      <c r="J149" s="73">
        <f t="shared" si="19"/>
        <v>353.48</v>
      </c>
      <c r="K149" s="88">
        <v>15877</v>
      </c>
      <c r="L149" s="77">
        <f t="shared" si="20"/>
        <v>5612202</v>
      </c>
      <c r="M149" s="11"/>
      <c r="N149" s="11"/>
      <c r="O149" s="11"/>
      <c r="P149"/>
      <c r="Q149"/>
      <c r="R149"/>
      <c r="S149"/>
      <c r="T149"/>
      <c r="U149"/>
      <c r="V149"/>
      <c r="W149"/>
      <c r="X149"/>
    </row>
    <row r="150" spans="1:24" s="9" customFormat="1" ht="10.15" customHeight="1" x14ac:dyDescent="0.2">
      <c r="A150" s="64" t="s">
        <v>22</v>
      </c>
      <c r="B150" s="64">
        <v>821</v>
      </c>
      <c r="C150" s="91" t="s">
        <v>476</v>
      </c>
      <c r="D150" s="23"/>
      <c r="E150" s="73">
        <f>15285537/105809</f>
        <v>144.46348609286545</v>
      </c>
      <c r="F150" s="92">
        <v>37695</v>
      </c>
      <c r="G150" s="75">
        <v>3649</v>
      </c>
      <c r="H150" s="90">
        <v>8761.25</v>
      </c>
      <c r="I150" s="76">
        <f t="shared" si="18"/>
        <v>2.4009999999999998</v>
      </c>
      <c r="J150" s="73">
        <f t="shared" si="19"/>
        <v>346.86</v>
      </c>
      <c r="K150" s="88">
        <v>105809</v>
      </c>
      <c r="L150" s="77">
        <f t="shared" si="20"/>
        <v>36700910</v>
      </c>
      <c r="M150" s="11"/>
      <c r="N150" s="11"/>
      <c r="O150" s="11"/>
      <c r="P150"/>
      <c r="Q150"/>
      <c r="R150"/>
      <c r="S150"/>
      <c r="T150"/>
      <c r="U150"/>
      <c r="V150"/>
      <c r="W150"/>
      <c r="X150"/>
    </row>
    <row r="151" spans="1:24" s="9" customFormat="1" ht="10.15" customHeight="1" x14ac:dyDescent="0.2">
      <c r="A151" s="64" t="s">
        <v>23</v>
      </c>
      <c r="B151" s="64">
        <v>688</v>
      </c>
      <c r="C151" s="91" t="s">
        <v>481</v>
      </c>
      <c r="D151" s="23"/>
      <c r="E151" s="73">
        <f>1645246/11480</f>
        <v>143.31411149825783</v>
      </c>
      <c r="F151" s="92">
        <v>37622</v>
      </c>
      <c r="G151" s="75">
        <v>3648</v>
      </c>
      <c r="H151" s="90">
        <v>8761.25</v>
      </c>
      <c r="I151" s="76">
        <f t="shared" si="18"/>
        <v>2.4016600000000001</v>
      </c>
      <c r="J151" s="73">
        <f t="shared" si="19"/>
        <v>344.19</v>
      </c>
      <c r="K151" s="88">
        <v>11480</v>
      </c>
      <c r="L151" s="77">
        <f t="shared" si="20"/>
        <v>3951301</v>
      </c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s="9" customFormat="1" ht="10.15" customHeight="1" x14ac:dyDescent="0.2">
      <c r="A152" s="64" t="s">
        <v>17</v>
      </c>
      <c r="B152" s="64">
        <v>515</v>
      </c>
      <c r="C152" s="87" t="s">
        <v>488</v>
      </c>
      <c r="D152" s="23"/>
      <c r="E152" s="73">
        <f>7898615/60001</f>
        <v>131.64138931017817</v>
      </c>
      <c r="F152" s="92">
        <v>37987</v>
      </c>
      <c r="G152" s="75">
        <v>3767</v>
      </c>
      <c r="H152" s="90">
        <v>8761.25</v>
      </c>
      <c r="I152" s="76">
        <f t="shared" si="18"/>
        <v>2.32579</v>
      </c>
      <c r="J152" s="73">
        <f t="shared" si="19"/>
        <v>306.17</v>
      </c>
      <c r="K152" s="88">
        <v>60001</v>
      </c>
      <c r="L152" s="77">
        <f t="shared" si="20"/>
        <v>18370506</v>
      </c>
      <c r="M152" s="11"/>
      <c r="N152"/>
      <c r="O152"/>
      <c r="P152"/>
      <c r="Q152"/>
      <c r="R152"/>
      <c r="S152"/>
      <c r="T152"/>
      <c r="U152"/>
      <c r="V152"/>
      <c r="W152"/>
      <c r="X152"/>
    </row>
    <row r="153" spans="1:24" s="9" customFormat="1" ht="10.15" customHeight="1" x14ac:dyDescent="0.2">
      <c r="A153" s="64" t="s">
        <v>23</v>
      </c>
      <c r="B153" s="64">
        <v>633</v>
      </c>
      <c r="C153" s="87" t="s">
        <v>493</v>
      </c>
      <c r="D153" s="23"/>
      <c r="E153" s="73">
        <f>12707125/72998</f>
        <v>174.07497465683991</v>
      </c>
      <c r="F153" s="92">
        <v>38049</v>
      </c>
      <c r="G153" s="75">
        <v>3859</v>
      </c>
      <c r="H153" s="90">
        <v>8761.25</v>
      </c>
      <c r="I153" s="76">
        <f t="shared" si="18"/>
        <v>2.27034</v>
      </c>
      <c r="J153" s="73">
        <f t="shared" si="19"/>
        <v>395.21</v>
      </c>
      <c r="K153" s="88">
        <v>72998</v>
      </c>
      <c r="L153" s="77">
        <f t="shared" si="20"/>
        <v>28849540</v>
      </c>
      <c r="M153" s="11"/>
      <c r="N153"/>
      <c r="O153"/>
      <c r="P153"/>
      <c r="Q153"/>
      <c r="R153"/>
      <c r="S153"/>
      <c r="T153"/>
      <c r="U153"/>
      <c r="V153"/>
      <c r="W153"/>
      <c r="X153"/>
    </row>
    <row r="154" spans="1:24" s="9" customFormat="1" ht="10.15" customHeight="1" x14ac:dyDescent="0.2">
      <c r="A154" s="64" t="s">
        <v>20</v>
      </c>
      <c r="B154" s="64">
        <v>502</v>
      </c>
      <c r="C154" s="91" t="s">
        <v>503</v>
      </c>
      <c r="D154" s="23"/>
      <c r="E154" s="73">
        <f>8202529/48725</f>
        <v>168.34333504361211</v>
      </c>
      <c r="F154" s="92">
        <v>38200</v>
      </c>
      <c r="G154" s="75">
        <v>4027</v>
      </c>
      <c r="H154" s="90">
        <v>8761.25</v>
      </c>
      <c r="I154" s="76">
        <f t="shared" si="18"/>
        <v>2.17563</v>
      </c>
      <c r="J154" s="73">
        <f t="shared" si="19"/>
        <v>366.25</v>
      </c>
      <c r="K154" s="88">
        <v>48725</v>
      </c>
      <c r="L154" s="77">
        <f t="shared" si="20"/>
        <v>17845531</v>
      </c>
      <c r="M154" s="11"/>
      <c r="N154"/>
      <c r="O154"/>
      <c r="P154"/>
      <c r="Q154"/>
      <c r="R154"/>
      <c r="S154"/>
      <c r="T154"/>
      <c r="U154"/>
      <c r="V154"/>
      <c r="W154"/>
      <c r="X154"/>
    </row>
    <row r="155" spans="1:24" s="9" customFormat="1" ht="10.15" customHeight="1" x14ac:dyDescent="0.2">
      <c r="A155" s="93" t="s">
        <v>24</v>
      </c>
      <c r="B155" s="94">
        <v>195</v>
      </c>
      <c r="C155" s="87" t="s">
        <v>505</v>
      </c>
      <c r="D155" s="23"/>
      <c r="E155" s="73">
        <f>1971715/9673</f>
        <v>203.83696888245632</v>
      </c>
      <c r="F155" s="89">
        <v>38534</v>
      </c>
      <c r="G155" s="75">
        <v>4197</v>
      </c>
      <c r="H155" s="90">
        <v>8761.25</v>
      </c>
      <c r="I155" s="76">
        <f t="shared" si="18"/>
        <v>2.0874999999999999</v>
      </c>
      <c r="J155" s="73">
        <f t="shared" si="19"/>
        <v>425.51</v>
      </c>
      <c r="K155" s="88">
        <v>9673</v>
      </c>
      <c r="L155" s="77">
        <f t="shared" si="20"/>
        <v>4115958</v>
      </c>
      <c r="M155" s="11"/>
      <c r="N155"/>
      <c r="O155"/>
      <c r="P155"/>
      <c r="Q155"/>
      <c r="R155"/>
      <c r="S155"/>
      <c r="T155"/>
      <c r="U155"/>
      <c r="V155"/>
      <c r="W155"/>
      <c r="X155"/>
    </row>
    <row r="156" spans="1:24" s="9" customFormat="1" ht="10.15" customHeight="1" x14ac:dyDescent="0.2">
      <c r="A156" s="93" t="s">
        <v>126</v>
      </c>
      <c r="B156" s="94">
        <v>1024</v>
      </c>
      <c r="C156" s="23" t="s">
        <v>518</v>
      </c>
      <c r="D156" s="23"/>
      <c r="E156" s="73">
        <f>6832012/41811</f>
        <v>163.40226256248354</v>
      </c>
      <c r="F156" s="89">
        <v>38322</v>
      </c>
      <c r="G156" s="75">
        <v>4123</v>
      </c>
      <c r="H156" s="90">
        <v>8761.25</v>
      </c>
      <c r="I156" s="76">
        <f t="shared" si="18"/>
        <v>2.1249699999999998</v>
      </c>
      <c r="J156" s="73">
        <f t="shared" si="19"/>
        <v>347.22</v>
      </c>
      <c r="K156" s="88">
        <v>41811</v>
      </c>
      <c r="L156" s="77">
        <f t="shared" si="20"/>
        <v>14517615</v>
      </c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s="9" customFormat="1" ht="10.15" customHeight="1" x14ac:dyDescent="0.2">
      <c r="A157" s="93" t="s">
        <v>23</v>
      </c>
      <c r="B157" s="94">
        <v>621</v>
      </c>
      <c r="C157" s="87" t="s">
        <v>536</v>
      </c>
      <c r="D157" s="23"/>
      <c r="E157" s="73">
        <f>8900000/50000</f>
        <v>178</v>
      </c>
      <c r="F157" s="86">
        <v>39052</v>
      </c>
      <c r="G157" s="75">
        <v>4441</v>
      </c>
      <c r="H157" s="90">
        <v>8761.25</v>
      </c>
      <c r="I157" s="76">
        <f t="shared" si="18"/>
        <v>1.97281</v>
      </c>
      <c r="J157" s="73">
        <f t="shared" si="19"/>
        <v>351.16</v>
      </c>
      <c r="K157" s="77">
        <v>50000</v>
      </c>
      <c r="L157" s="77">
        <f t="shared" ref="L157:L180" si="21">ROUND(J157*K157,0)</f>
        <v>17558000</v>
      </c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10.15" customHeight="1" x14ac:dyDescent="0.2">
      <c r="A158" s="64" t="s">
        <v>19</v>
      </c>
      <c r="B158" s="64">
        <v>284</v>
      </c>
      <c r="C158" s="87" t="s">
        <v>540</v>
      </c>
      <c r="D158" s="23"/>
      <c r="E158" s="73">
        <f>10928770/47756</f>
        <v>228.84600887846554</v>
      </c>
      <c r="F158" s="86">
        <v>39173</v>
      </c>
      <c r="G158" s="75">
        <v>4356</v>
      </c>
      <c r="H158" s="90">
        <v>8761.25</v>
      </c>
      <c r="I158" s="76">
        <f t="shared" si="18"/>
        <v>2.0113099999999999</v>
      </c>
      <c r="J158" s="73">
        <f t="shared" si="19"/>
        <v>460.28</v>
      </c>
      <c r="K158" s="77">
        <v>47756</v>
      </c>
      <c r="L158" s="77">
        <f t="shared" si="21"/>
        <v>21981132</v>
      </c>
    </row>
    <row r="159" spans="1:24" ht="10.15" customHeight="1" x14ac:dyDescent="0.2">
      <c r="A159" s="64" t="s">
        <v>21</v>
      </c>
      <c r="B159" s="64"/>
      <c r="C159" s="87" t="s">
        <v>547</v>
      </c>
      <c r="D159" s="23"/>
      <c r="E159" s="73">
        <f>1595078/2887</f>
        <v>552.50363699341881</v>
      </c>
      <c r="F159" s="86">
        <v>39083</v>
      </c>
      <c r="G159" s="75">
        <v>4432</v>
      </c>
      <c r="H159" s="90">
        <v>8761.25</v>
      </c>
      <c r="I159" s="76">
        <f t="shared" si="18"/>
        <v>1.97682</v>
      </c>
      <c r="J159" s="73">
        <f t="shared" si="19"/>
        <v>1092.2</v>
      </c>
      <c r="K159" s="77">
        <v>2887</v>
      </c>
      <c r="L159" s="77">
        <f t="shared" si="21"/>
        <v>3153181</v>
      </c>
    </row>
    <row r="160" spans="1:24" ht="10.15" customHeight="1" x14ac:dyDescent="0.2">
      <c r="A160" s="64" t="s">
        <v>21</v>
      </c>
      <c r="B160" s="64"/>
      <c r="C160" s="23" t="s">
        <v>549</v>
      </c>
      <c r="D160" s="23"/>
      <c r="E160" s="73">
        <f>21194717/97969</f>
        <v>216.34105686492666</v>
      </c>
      <c r="F160" s="86">
        <v>39387</v>
      </c>
      <c r="G160" s="75">
        <v>4558</v>
      </c>
      <c r="H160" s="90">
        <v>8761.25</v>
      </c>
      <c r="I160" s="76">
        <f t="shared" si="18"/>
        <v>1.9221699999999999</v>
      </c>
      <c r="J160" s="73">
        <f t="shared" si="19"/>
        <v>415.84</v>
      </c>
      <c r="K160" s="77">
        <v>97969</v>
      </c>
      <c r="L160" s="77">
        <f t="shared" si="21"/>
        <v>40739429</v>
      </c>
    </row>
    <row r="161" spans="1:14" ht="10.15" customHeight="1" x14ac:dyDescent="0.2">
      <c r="A161" s="64" t="s">
        <v>19</v>
      </c>
      <c r="B161" s="64" t="s">
        <v>555</v>
      </c>
      <c r="C161" s="23" t="s">
        <v>560</v>
      </c>
      <c r="D161" s="23"/>
      <c r="E161" s="73">
        <f>9698771/42755</f>
        <v>226.84530464273183</v>
      </c>
      <c r="F161" s="86">
        <v>39722</v>
      </c>
      <c r="G161" s="75">
        <v>4867</v>
      </c>
      <c r="H161" s="90">
        <v>8761.25</v>
      </c>
      <c r="I161" s="76">
        <f t="shared" ref="I161:I168" si="22">ROUND(H161/G161,5)</f>
        <v>1.80013</v>
      </c>
      <c r="J161" s="73">
        <f t="shared" ref="J161:J168" si="23">ROUND(E161*I161,2)</f>
        <v>408.35</v>
      </c>
      <c r="K161" s="77">
        <v>42755</v>
      </c>
      <c r="L161" s="77">
        <f t="shared" si="21"/>
        <v>17459004</v>
      </c>
    </row>
    <row r="162" spans="1:14" ht="10.15" customHeight="1" x14ac:dyDescent="0.2">
      <c r="A162" s="64" t="s">
        <v>24</v>
      </c>
      <c r="B162" s="64">
        <v>256</v>
      </c>
      <c r="C162" s="23" t="s">
        <v>562</v>
      </c>
      <c r="D162" s="23"/>
      <c r="E162" s="73">
        <f>5972833/22549</f>
        <v>264.88238946294734</v>
      </c>
      <c r="F162" s="92">
        <v>39845</v>
      </c>
      <c r="G162" s="75">
        <v>4765</v>
      </c>
      <c r="H162" s="90">
        <v>8761.25</v>
      </c>
      <c r="I162" s="76">
        <f t="shared" si="22"/>
        <v>1.83867</v>
      </c>
      <c r="J162" s="73">
        <f t="shared" si="23"/>
        <v>487.03</v>
      </c>
      <c r="K162" s="88">
        <v>22549</v>
      </c>
      <c r="L162" s="77">
        <f t="shared" si="21"/>
        <v>10982039</v>
      </c>
    </row>
    <row r="163" spans="1:14" ht="10.15" customHeight="1" x14ac:dyDescent="0.2">
      <c r="A163" s="64" t="s">
        <v>20</v>
      </c>
      <c r="B163" s="64">
        <v>536</v>
      </c>
      <c r="C163" s="23" t="s">
        <v>567</v>
      </c>
      <c r="D163" s="23"/>
      <c r="E163" s="73">
        <f>15691296/117442</f>
        <v>133.60889630626181</v>
      </c>
      <c r="F163" s="92">
        <v>39904</v>
      </c>
      <c r="G163" s="75">
        <v>4761</v>
      </c>
      <c r="H163" s="90">
        <v>8761.25</v>
      </c>
      <c r="I163" s="76">
        <f t="shared" si="22"/>
        <v>1.8402099999999999</v>
      </c>
      <c r="J163" s="73">
        <f t="shared" si="23"/>
        <v>245.87</v>
      </c>
      <c r="K163" s="88">
        <v>117442</v>
      </c>
      <c r="L163" s="77">
        <f t="shared" si="21"/>
        <v>28875465</v>
      </c>
    </row>
    <row r="164" spans="1:14" ht="10.15" customHeight="1" x14ac:dyDescent="0.2">
      <c r="A164" s="64" t="s">
        <v>17</v>
      </c>
      <c r="B164" s="64">
        <v>512</v>
      </c>
      <c r="C164" s="23" t="s">
        <v>569</v>
      </c>
      <c r="D164" s="23"/>
      <c r="E164" s="73">
        <f>18865248/74788</f>
        <v>252.24966572177354</v>
      </c>
      <c r="F164" s="92">
        <v>40118</v>
      </c>
      <c r="G164" s="75">
        <v>4757</v>
      </c>
      <c r="H164" s="90">
        <v>8761.25</v>
      </c>
      <c r="I164" s="76">
        <f t="shared" si="22"/>
        <v>1.8417600000000001</v>
      </c>
      <c r="J164" s="73">
        <f t="shared" si="23"/>
        <v>464.58</v>
      </c>
      <c r="K164" s="88">
        <v>74788</v>
      </c>
      <c r="L164" s="77">
        <f t="shared" si="21"/>
        <v>34745009</v>
      </c>
    </row>
    <row r="165" spans="1:14" ht="10.15" customHeight="1" x14ac:dyDescent="0.2">
      <c r="A165" s="64" t="s">
        <v>23</v>
      </c>
      <c r="B165" s="64">
        <v>678</v>
      </c>
      <c r="C165" s="23" t="s">
        <v>571</v>
      </c>
      <c r="D165" s="23"/>
      <c r="E165" s="73">
        <f>18825512/73208</f>
        <v>257.15102174625724</v>
      </c>
      <c r="F165" s="92">
        <v>39934</v>
      </c>
      <c r="G165" s="75">
        <v>4773</v>
      </c>
      <c r="H165" s="90">
        <v>8761.25</v>
      </c>
      <c r="I165" s="76">
        <f t="shared" si="22"/>
        <v>1.8355900000000001</v>
      </c>
      <c r="J165" s="73">
        <f t="shared" si="23"/>
        <v>472.02</v>
      </c>
      <c r="K165" s="88">
        <v>73208</v>
      </c>
      <c r="L165" s="77">
        <f t="shared" si="21"/>
        <v>34555640</v>
      </c>
    </row>
    <row r="166" spans="1:14" ht="10.15" customHeight="1" x14ac:dyDescent="0.2">
      <c r="A166" s="64" t="s">
        <v>126</v>
      </c>
      <c r="B166" s="64"/>
      <c r="C166" s="23" t="s">
        <v>580</v>
      </c>
      <c r="D166" s="23"/>
      <c r="E166" s="73">
        <f>14930038/69275</f>
        <v>215.51841212558642</v>
      </c>
      <c r="F166" s="92">
        <v>40513</v>
      </c>
      <c r="G166" s="75">
        <v>4970</v>
      </c>
      <c r="H166" s="90">
        <v>8761.25</v>
      </c>
      <c r="I166" s="76">
        <f t="shared" si="22"/>
        <v>1.7628299999999999</v>
      </c>
      <c r="J166" s="73">
        <f t="shared" si="23"/>
        <v>379.92</v>
      </c>
      <c r="K166" s="88">
        <v>69275</v>
      </c>
      <c r="L166" s="77">
        <f t="shared" si="21"/>
        <v>26318958</v>
      </c>
    </row>
    <row r="167" spans="1:14" ht="10.15" customHeight="1" x14ac:dyDescent="0.2">
      <c r="A167" s="64" t="s">
        <v>24</v>
      </c>
      <c r="B167" s="64"/>
      <c r="C167" s="23" t="s">
        <v>602</v>
      </c>
      <c r="D167" s="23"/>
      <c r="E167" s="73">
        <f>11432301/48590</f>
        <v>235.28094258077795</v>
      </c>
      <c r="F167" s="92">
        <v>40448</v>
      </c>
      <c r="G167" s="75">
        <v>4910</v>
      </c>
      <c r="H167" s="90">
        <v>8761.25</v>
      </c>
      <c r="I167" s="76">
        <f t="shared" si="22"/>
        <v>1.78437</v>
      </c>
      <c r="J167" s="73">
        <f t="shared" si="23"/>
        <v>419.83</v>
      </c>
      <c r="K167" s="88">
        <v>48590</v>
      </c>
      <c r="L167" s="77">
        <f t="shared" si="21"/>
        <v>20399540</v>
      </c>
    </row>
    <row r="168" spans="1:14" s="15" customFormat="1" ht="10.15" customHeight="1" x14ac:dyDescent="0.2">
      <c r="A168" s="64" t="s">
        <v>22</v>
      </c>
      <c r="B168" s="64"/>
      <c r="C168" s="23" t="s">
        <v>605</v>
      </c>
      <c r="D168" s="23"/>
      <c r="E168" s="73">
        <f>13898708/58238</f>
        <v>238.65359387341599</v>
      </c>
      <c r="F168" s="92">
        <v>40087</v>
      </c>
      <c r="G168" s="75">
        <v>4762</v>
      </c>
      <c r="H168" s="90">
        <v>8761.25</v>
      </c>
      <c r="I168" s="76">
        <f t="shared" si="22"/>
        <v>1.8398300000000001</v>
      </c>
      <c r="J168" s="73">
        <f t="shared" si="23"/>
        <v>439.08</v>
      </c>
      <c r="K168" s="88">
        <v>58238</v>
      </c>
      <c r="L168" s="77">
        <f t="shared" si="21"/>
        <v>25571141</v>
      </c>
      <c r="M168"/>
      <c r="N168"/>
    </row>
    <row r="169" spans="1:14" s="15" customFormat="1" ht="10.15" customHeight="1" x14ac:dyDescent="0.2">
      <c r="A169" s="64" t="s">
        <v>21</v>
      </c>
      <c r="B169" s="95"/>
      <c r="C169" s="23" t="s">
        <v>616</v>
      </c>
      <c r="D169" s="23"/>
      <c r="E169" s="73">
        <f>3393262/15991</f>
        <v>212.19823650803576</v>
      </c>
      <c r="F169" s="92">
        <v>40544</v>
      </c>
      <c r="G169" s="75">
        <v>4969</v>
      </c>
      <c r="H169" s="90">
        <v>8761.25</v>
      </c>
      <c r="I169" s="76">
        <f t="shared" ref="I169:I179" si="24">ROUND(H169/G169,5)</f>
        <v>1.76318</v>
      </c>
      <c r="J169" s="73">
        <f t="shared" ref="J169:J178" si="25">ROUND(E169*I169,2)</f>
        <v>374.14</v>
      </c>
      <c r="K169" s="88">
        <v>15991</v>
      </c>
      <c r="L169" s="77">
        <f t="shared" si="21"/>
        <v>5982873</v>
      </c>
      <c r="M169"/>
    </row>
    <row r="170" spans="1:14" s="15" customFormat="1" ht="10.15" customHeight="1" x14ac:dyDescent="0.2">
      <c r="A170" s="64" t="s">
        <v>24</v>
      </c>
      <c r="B170" s="95"/>
      <c r="C170" s="23" t="s">
        <v>608</v>
      </c>
      <c r="D170" s="23"/>
      <c r="E170" s="73">
        <f>3635149/11788</f>
        <v>308.3770783847981</v>
      </c>
      <c r="F170" s="92">
        <v>40817</v>
      </c>
      <c r="G170" s="75">
        <v>5104</v>
      </c>
      <c r="H170" s="90">
        <v>8761.25</v>
      </c>
      <c r="I170" s="76">
        <f t="shared" si="24"/>
        <v>1.71655</v>
      </c>
      <c r="J170" s="73">
        <f t="shared" si="25"/>
        <v>529.34</v>
      </c>
      <c r="K170" s="88">
        <v>11788</v>
      </c>
      <c r="L170" s="77">
        <f t="shared" si="21"/>
        <v>6239860</v>
      </c>
      <c r="M170"/>
    </row>
    <row r="171" spans="1:14" s="15" customFormat="1" ht="10.15" customHeight="1" x14ac:dyDescent="0.2">
      <c r="A171" s="64" t="s">
        <v>29</v>
      </c>
      <c r="B171" s="95"/>
      <c r="C171" s="23" t="s">
        <v>620</v>
      </c>
      <c r="D171" s="23"/>
      <c r="E171" s="73">
        <f>13810164/44380</f>
        <v>311.17990085624155</v>
      </c>
      <c r="F171" s="92">
        <v>40695</v>
      </c>
      <c r="G171" s="75">
        <v>5059</v>
      </c>
      <c r="H171" s="90">
        <v>8761.25</v>
      </c>
      <c r="I171" s="76">
        <f t="shared" si="24"/>
        <v>1.7318100000000001</v>
      </c>
      <c r="J171" s="73">
        <f t="shared" si="25"/>
        <v>538.9</v>
      </c>
      <c r="K171" s="88">
        <v>44380</v>
      </c>
      <c r="L171" s="77">
        <f t="shared" si="21"/>
        <v>23916382</v>
      </c>
      <c r="M171"/>
    </row>
    <row r="172" spans="1:14" s="15" customFormat="1" ht="10.15" customHeight="1" x14ac:dyDescent="0.2">
      <c r="A172" s="64" t="s">
        <v>19</v>
      </c>
      <c r="B172" s="64"/>
      <c r="C172" s="23" t="s">
        <v>632</v>
      </c>
      <c r="D172" s="23"/>
      <c r="E172" s="73">
        <f>15395753/33400</f>
        <v>460.95068862275451</v>
      </c>
      <c r="F172" s="92">
        <v>41620</v>
      </c>
      <c r="G172" s="75">
        <v>5326</v>
      </c>
      <c r="H172" s="90">
        <v>8761.25</v>
      </c>
      <c r="I172" s="76">
        <f t="shared" si="24"/>
        <v>1.645</v>
      </c>
      <c r="J172" s="73">
        <f t="shared" si="25"/>
        <v>758.26</v>
      </c>
      <c r="K172" s="88">
        <v>33400</v>
      </c>
      <c r="L172" s="77">
        <f t="shared" si="21"/>
        <v>25325884</v>
      </c>
    </row>
    <row r="173" spans="1:14" s="15" customFormat="1" ht="10.15" customHeight="1" x14ac:dyDescent="0.2">
      <c r="A173" s="64" t="s">
        <v>24</v>
      </c>
      <c r="B173" s="64"/>
      <c r="C173" s="72" t="s">
        <v>631</v>
      </c>
      <c r="D173" s="23"/>
      <c r="E173" s="73">
        <f>12508379/26182</f>
        <v>477.74726911618671</v>
      </c>
      <c r="F173" s="92">
        <v>41275</v>
      </c>
      <c r="G173" s="75">
        <v>5226</v>
      </c>
      <c r="H173" s="90">
        <v>8761.25</v>
      </c>
      <c r="I173" s="76">
        <f t="shared" si="24"/>
        <v>1.6764699999999999</v>
      </c>
      <c r="J173" s="73">
        <f t="shared" si="25"/>
        <v>800.93</v>
      </c>
      <c r="K173" s="88">
        <v>26182</v>
      </c>
      <c r="L173" s="77">
        <f t="shared" si="21"/>
        <v>20969949</v>
      </c>
    </row>
    <row r="174" spans="1:14" s="15" customFormat="1" ht="10.15" customHeight="1" x14ac:dyDescent="0.2">
      <c r="A174" s="64" t="s">
        <v>24</v>
      </c>
      <c r="B174" s="64"/>
      <c r="C174" s="72" t="s">
        <v>634</v>
      </c>
      <c r="D174" s="23"/>
      <c r="E174" s="73">
        <f>36126802/129418</f>
        <v>279.14820195026965</v>
      </c>
      <c r="F174" s="92">
        <v>41434</v>
      </c>
      <c r="G174" s="75">
        <v>5286</v>
      </c>
      <c r="H174" s="90">
        <v>8761.25</v>
      </c>
      <c r="I174" s="76">
        <f t="shared" si="24"/>
        <v>1.65744</v>
      </c>
      <c r="J174" s="73">
        <f t="shared" si="25"/>
        <v>462.67</v>
      </c>
      <c r="K174" s="88">
        <v>129418</v>
      </c>
      <c r="L174" s="77">
        <f t="shared" si="21"/>
        <v>59877826</v>
      </c>
    </row>
    <row r="175" spans="1:14" s="15" customFormat="1" ht="10.15" customHeight="1" x14ac:dyDescent="0.2">
      <c r="A175" s="64" t="s">
        <v>22</v>
      </c>
      <c r="B175" s="64"/>
      <c r="C175" s="72" t="s">
        <v>637</v>
      </c>
      <c r="D175" s="23"/>
      <c r="E175" s="73">
        <f>36099868.07/K175</f>
        <v>319.32373946272037</v>
      </c>
      <c r="F175" s="92">
        <v>41852</v>
      </c>
      <c r="G175" s="75">
        <v>5390</v>
      </c>
      <c r="H175" s="90">
        <v>8761.25</v>
      </c>
      <c r="I175" s="76">
        <f t="shared" si="24"/>
        <v>1.6254599999999999</v>
      </c>
      <c r="J175" s="73">
        <f t="shared" si="25"/>
        <v>519.04999999999995</v>
      </c>
      <c r="K175" s="88">
        <v>113051</v>
      </c>
      <c r="L175" s="77">
        <f t="shared" si="21"/>
        <v>58679122</v>
      </c>
    </row>
    <row r="176" spans="1:14" ht="10.15" customHeight="1" x14ac:dyDescent="0.2">
      <c r="A176" s="64" t="s">
        <v>22</v>
      </c>
      <c r="B176" s="64"/>
      <c r="C176" s="72" t="s">
        <v>638</v>
      </c>
      <c r="D176" s="23"/>
      <c r="E176" s="73">
        <f>46163143/K176</f>
        <v>289.63473748933393</v>
      </c>
      <c r="F176" s="92">
        <v>41821</v>
      </c>
      <c r="G176" s="75">
        <v>5383</v>
      </c>
      <c r="H176" s="90">
        <v>8761.25</v>
      </c>
      <c r="I176" s="76">
        <f t="shared" si="24"/>
        <v>1.62758</v>
      </c>
      <c r="J176" s="73">
        <f t="shared" si="25"/>
        <v>471.4</v>
      </c>
      <c r="K176" s="88">
        <v>159384</v>
      </c>
      <c r="L176" s="77">
        <f t="shared" si="21"/>
        <v>75133618</v>
      </c>
      <c r="M176" s="15"/>
      <c r="N176" s="15"/>
    </row>
    <row r="177" spans="1:14" ht="10.15" customHeight="1" x14ac:dyDescent="0.2">
      <c r="A177" s="64" t="s">
        <v>24</v>
      </c>
      <c r="B177" s="95"/>
      <c r="C177" s="23" t="s">
        <v>649</v>
      </c>
      <c r="D177" s="23"/>
      <c r="E177" s="73">
        <f>45419000/109202</f>
        <v>415.91729089210821</v>
      </c>
      <c r="F177" s="92">
        <v>42200</v>
      </c>
      <c r="G177" s="75">
        <v>5510</v>
      </c>
      <c r="H177" s="90">
        <v>8761.25</v>
      </c>
      <c r="I177" s="76">
        <f t="shared" si="24"/>
        <v>1.59006</v>
      </c>
      <c r="J177" s="73">
        <f t="shared" si="25"/>
        <v>661.33</v>
      </c>
      <c r="K177" s="88">
        <v>109202</v>
      </c>
      <c r="L177" s="77">
        <f t="shared" si="21"/>
        <v>72218559</v>
      </c>
      <c r="M177" s="15"/>
      <c r="N177" s="15"/>
    </row>
    <row r="178" spans="1:14" ht="10.15" customHeight="1" x14ac:dyDescent="0.2">
      <c r="A178" s="64" t="s">
        <v>23</v>
      </c>
      <c r="B178" s="95"/>
      <c r="C178" s="23" t="s">
        <v>657</v>
      </c>
      <c r="D178" s="23"/>
      <c r="E178" s="73">
        <f>5755993/22694</f>
        <v>253.63501365999824</v>
      </c>
      <c r="F178" s="92">
        <v>42537</v>
      </c>
      <c r="G178" s="75">
        <v>5636</v>
      </c>
      <c r="H178" s="90">
        <v>8761.25</v>
      </c>
      <c r="I178" s="76">
        <f t="shared" si="24"/>
        <v>1.5545199999999999</v>
      </c>
      <c r="J178" s="73">
        <f t="shared" si="25"/>
        <v>394.28</v>
      </c>
      <c r="K178" s="88">
        <v>22694</v>
      </c>
      <c r="L178" s="77">
        <f t="shared" si="21"/>
        <v>8947790</v>
      </c>
      <c r="M178" s="15"/>
      <c r="N178" s="15"/>
    </row>
    <row r="179" spans="1:14" ht="10.15" customHeight="1" x14ac:dyDescent="0.2">
      <c r="A179" s="64" t="s">
        <v>22</v>
      </c>
      <c r="B179" s="95"/>
      <c r="C179" s="23" t="s">
        <v>660</v>
      </c>
      <c r="D179" s="23"/>
      <c r="E179" s="73">
        <f>33662314/94476</f>
        <v>356.30545323680087</v>
      </c>
      <c r="F179" s="92">
        <v>42567</v>
      </c>
      <c r="G179" s="75">
        <v>5659</v>
      </c>
      <c r="H179" s="90">
        <v>8761.25</v>
      </c>
      <c r="I179" s="76">
        <f t="shared" si="24"/>
        <v>1.5482</v>
      </c>
      <c r="J179" s="73">
        <f t="shared" ref="J179:J184" si="26">ROUND(E179*I179,2)</f>
        <v>551.63</v>
      </c>
      <c r="K179" s="88">
        <v>94476</v>
      </c>
      <c r="L179" s="77">
        <f>ROUND(J179*K179,0)</f>
        <v>52115796</v>
      </c>
      <c r="M179" s="15"/>
      <c r="N179" s="15"/>
    </row>
    <row r="180" spans="1:14" ht="10.15" customHeight="1" x14ac:dyDescent="0.2">
      <c r="A180" s="64" t="s">
        <v>24</v>
      </c>
      <c r="B180" s="95"/>
      <c r="C180" s="23" t="s">
        <v>672</v>
      </c>
      <c r="D180" s="23"/>
      <c r="E180" s="73">
        <f>COSTBASE!F408/COSTBASE!G408</f>
        <v>292.65507633366229</v>
      </c>
      <c r="F180" s="92">
        <v>43070</v>
      </c>
      <c r="G180" s="75">
        <v>5914</v>
      </c>
      <c r="H180" s="90">
        <v>8761.25</v>
      </c>
      <c r="I180" s="76">
        <f t="shared" ref="I180:I190" si="27">ROUND(H180/G180,5)</f>
        <v>1.4814400000000001</v>
      </c>
      <c r="J180" s="73">
        <f t="shared" si="26"/>
        <v>433.55</v>
      </c>
      <c r="K180" s="88">
        <v>51681</v>
      </c>
      <c r="L180" s="77">
        <f t="shared" si="21"/>
        <v>22406298</v>
      </c>
      <c r="M180" s="15"/>
      <c r="N180" s="15"/>
    </row>
    <row r="181" spans="1:14" ht="10.15" customHeight="1" x14ac:dyDescent="0.2">
      <c r="A181" s="64" t="s">
        <v>19</v>
      </c>
      <c r="B181" s="95"/>
      <c r="C181" s="23" t="s">
        <v>676</v>
      </c>
      <c r="D181" s="23"/>
      <c r="E181" s="73">
        <v>306.70999999999998</v>
      </c>
      <c r="F181" s="92">
        <v>43101</v>
      </c>
      <c r="G181" s="75">
        <v>5921</v>
      </c>
      <c r="H181" s="90">
        <v>8761.25</v>
      </c>
      <c r="I181" s="76">
        <f t="shared" si="27"/>
        <v>1.4796899999999999</v>
      </c>
      <c r="J181" s="73">
        <f t="shared" si="26"/>
        <v>453.84</v>
      </c>
      <c r="K181" s="88">
        <v>23852</v>
      </c>
      <c r="L181" s="77">
        <f t="shared" ref="L181:L190" si="28">ROUND(J181*K181,0)</f>
        <v>10824992</v>
      </c>
      <c r="M181" s="15"/>
      <c r="N181" s="15"/>
    </row>
    <row r="182" spans="1:14" ht="10.15" customHeight="1" x14ac:dyDescent="0.2">
      <c r="A182" s="64" t="s">
        <v>19</v>
      </c>
      <c r="B182" s="95"/>
      <c r="C182" s="23" t="s">
        <v>703</v>
      </c>
      <c r="D182" s="23"/>
      <c r="E182" s="73">
        <f>COSTBASE!F758/COSTBASE!G758</f>
        <v>393.08074078216976</v>
      </c>
      <c r="F182" s="92">
        <v>43802</v>
      </c>
      <c r="G182" s="75">
        <v>6199</v>
      </c>
      <c r="H182" s="90">
        <v>8761.25</v>
      </c>
      <c r="I182" s="76">
        <f t="shared" si="27"/>
        <v>1.41333</v>
      </c>
      <c r="J182" s="73">
        <f t="shared" si="26"/>
        <v>555.54999999999995</v>
      </c>
      <c r="K182" s="88">
        <v>143038</v>
      </c>
      <c r="L182" s="77">
        <f t="shared" si="28"/>
        <v>79464761</v>
      </c>
      <c r="M182" s="15"/>
      <c r="N182" s="15"/>
    </row>
    <row r="183" spans="1:14" ht="10.15" customHeight="1" x14ac:dyDescent="0.2">
      <c r="A183" s="64" t="s">
        <v>24</v>
      </c>
      <c r="B183" s="95"/>
      <c r="C183" s="23" t="s">
        <v>699</v>
      </c>
      <c r="D183" s="23"/>
      <c r="E183" s="73">
        <f>COSTBASE!F420/COSTBASE!G420</f>
        <v>487.9241489023226</v>
      </c>
      <c r="F183" s="92">
        <v>43784</v>
      </c>
      <c r="G183" s="75">
        <v>6179</v>
      </c>
      <c r="H183" s="90">
        <v>8761.25</v>
      </c>
      <c r="I183" s="76">
        <f t="shared" si="27"/>
        <v>1.41791</v>
      </c>
      <c r="J183" s="73">
        <f t="shared" si="26"/>
        <v>691.83</v>
      </c>
      <c r="K183" s="88">
        <v>15715</v>
      </c>
      <c r="L183" s="77">
        <f t="shared" si="28"/>
        <v>10872108</v>
      </c>
      <c r="M183" s="15"/>
      <c r="N183" s="15"/>
    </row>
    <row r="184" spans="1:14" s="19" customFormat="1" ht="10.5" customHeight="1" x14ac:dyDescent="0.2">
      <c r="A184" s="102" t="s">
        <v>18</v>
      </c>
      <c r="B184" s="103"/>
      <c r="C184" s="104" t="s">
        <v>715</v>
      </c>
      <c r="D184" s="104"/>
      <c r="E184" s="105">
        <v>360.12</v>
      </c>
      <c r="F184" s="106">
        <v>44305</v>
      </c>
      <c r="G184" s="107">
        <v>6612</v>
      </c>
      <c r="H184" s="90">
        <v>8761.25</v>
      </c>
      <c r="I184" s="76">
        <f t="shared" si="27"/>
        <v>1.3250500000000001</v>
      </c>
      <c r="J184" s="73">
        <f t="shared" si="26"/>
        <v>477.18</v>
      </c>
      <c r="K184" s="109">
        <v>89493</v>
      </c>
      <c r="L184" s="110">
        <f t="shared" si="28"/>
        <v>42704270</v>
      </c>
      <c r="M184" s="18"/>
      <c r="N184" s="18"/>
    </row>
    <row r="185" spans="1:14" s="15" customFormat="1" ht="11.25" customHeight="1" x14ac:dyDescent="0.2">
      <c r="A185" s="64" t="s">
        <v>22</v>
      </c>
      <c r="B185" s="95"/>
      <c r="C185" s="23" t="s">
        <v>740</v>
      </c>
      <c r="D185" s="23"/>
      <c r="E185" s="73">
        <v>433.64</v>
      </c>
      <c r="F185" s="96">
        <v>44637</v>
      </c>
      <c r="G185" s="75">
        <v>7564.14</v>
      </c>
      <c r="H185" s="90">
        <v>8761.25</v>
      </c>
      <c r="I185" s="76">
        <f t="shared" si="27"/>
        <v>1.1582600000000001</v>
      </c>
      <c r="J185" s="73">
        <f t="shared" ref="J185:J190" si="29">ROUND(E185*I185,2)</f>
        <v>502.27</v>
      </c>
      <c r="K185" s="88">
        <v>15543</v>
      </c>
      <c r="L185" s="77">
        <f t="shared" si="28"/>
        <v>7806783</v>
      </c>
    </row>
    <row r="186" spans="1:14" s="19" customFormat="1" ht="10.5" customHeight="1" x14ac:dyDescent="0.2">
      <c r="A186" s="102" t="s">
        <v>24</v>
      </c>
      <c r="B186" s="103"/>
      <c r="C186" s="104" t="s">
        <v>722</v>
      </c>
      <c r="D186" s="104"/>
      <c r="E186" s="105">
        <v>374.67</v>
      </c>
      <c r="F186" s="106">
        <v>44321</v>
      </c>
      <c r="G186" s="107">
        <v>6754</v>
      </c>
      <c r="H186" s="90">
        <v>8761.25</v>
      </c>
      <c r="I186" s="76">
        <f t="shared" si="27"/>
        <v>1.2971900000000001</v>
      </c>
      <c r="J186" s="73">
        <f t="shared" si="29"/>
        <v>486.02</v>
      </c>
      <c r="K186" s="109">
        <v>7298</v>
      </c>
      <c r="L186" s="110">
        <f t="shared" si="28"/>
        <v>3546974</v>
      </c>
      <c r="M186" s="18"/>
      <c r="N186" s="18"/>
    </row>
    <row r="187" spans="1:14" s="19" customFormat="1" ht="10.5" customHeight="1" x14ac:dyDescent="0.2">
      <c r="A187" s="102" t="s">
        <v>22</v>
      </c>
      <c r="B187" s="103"/>
      <c r="C187" s="104" t="s">
        <v>741</v>
      </c>
      <c r="D187" s="104"/>
      <c r="E187" s="105">
        <v>433.64</v>
      </c>
      <c r="F187" s="106">
        <v>44637</v>
      </c>
      <c r="G187" s="107">
        <v>7565.14</v>
      </c>
      <c r="H187" s="90">
        <v>8761.25</v>
      </c>
      <c r="I187" s="76">
        <f t="shared" si="27"/>
        <v>1.15811</v>
      </c>
      <c r="J187" s="73">
        <f t="shared" si="29"/>
        <v>502.2</v>
      </c>
      <c r="K187" s="109">
        <v>15543</v>
      </c>
      <c r="L187" s="110">
        <f t="shared" si="28"/>
        <v>7805695</v>
      </c>
      <c r="M187" s="18"/>
      <c r="N187" s="18"/>
    </row>
    <row r="188" spans="1:14" s="19" customFormat="1" ht="10.5" customHeight="1" x14ac:dyDescent="0.2">
      <c r="A188" s="102" t="s">
        <v>24</v>
      </c>
      <c r="B188" s="103"/>
      <c r="C188" s="104" t="s">
        <v>746</v>
      </c>
      <c r="D188" s="104"/>
      <c r="E188" s="105">
        <v>406.46</v>
      </c>
      <c r="F188" s="106">
        <v>45047</v>
      </c>
      <c r="G188" s="107">
        <v>8054.43</v>
      </c>
      <c r="H188" s="90">
        <v>8761.25</v>
      </c>
      <c r="I188" s="76">
        <f t="shared" si="27"/>
        <v>1.0877600000000001</v>
      </c>
      <c r="J188" s="73">
        <f t="shared" si="29"/>
        <v>442.13</v>
      </c>
      <c r="K188" s="109">
        <v>53528</v>
      </c>
      <c r="L188" s="110">
        <f t="shared" si="28"/>
        <v>23666335</v>
      </c>
      <c r="M188" s="18"/>
      <c r="N188" s="18"/>
    </row>
    <row r="189" spans="1:14" s="19" customFormat="1" ht="10.5" customHeight="1" x14ac:dyDescent="0.2">
      <c r="A189" s="102" t="s">
        <v>24</v>
      </c>
      <c r="B189" s="103"/>
      <c r="C189" s="104" t="s">
        <v>748</v>
      </c>
      <c r="D189" s="104"/>
      <c r="E189" s="105">
        <v>453.84</v>
      </c>
      <c r="F189" s="106">
        <v>45261</v>
      </c>
      <c r="G189" s="107">
        <v>8272.36</v>
      </c>
      <c r="H189" s="90">
        <v>8761.25</v>
      </c>
      <c r="I189" s="76">
        <f>ROUND(H189/G189,5)</f>
        <v>1.0590999999999999</v>
      </c>
      <c r="J189" s="73">
        <f t="shared" si="29"/>
        <v>480.66</v>
      </c>
      <c r="K189" s="109">
        <v>271682</v>
      </c>
      <c r="L189" s="110">
        <f>ROUND(J189*K189,0)</f>
        <v>130586670</v>
      </c>
      <c r="M189" s="18"/>
      <c r="N189" s="18"/>
    </row>
    <row r="190" spans="1:14" s="19" customFormat="1" ht="10.5" customHeight="1" x14ac:dyDescent="0.2">
      <c r="A190" s="102" t="s">
        <v>22</v>
      </c>
      <c r="B190" s="103"/>
      <c r="C190" s="104" t="s">
        <v>771</v>
      </c>
      <c r="D190" s="104"/>
      <c r="E190" s="105">
        <v>379.72</v>
      </c>
      <c r="F190" s="106">
        <v>45565</v>
      </c>
      <c r="G190" s="107">
        <v>8272.36</v>
      </c>
      <c r="H190" s="90">
        <v>8761.25</v>
      </c>
      <c r="I190" s="76">
        <f t="shared" si="27"/>
        <v>1.0590999999999999</v>
      </c>
      <c r="J190" s="73">
        <f t="shared" si="29"/>
        <v>402.16</v>
      </c>
      <c r="K190" s="109">
        <v>271682</v>
      </c>
      <c r="L190" s="110">
        <f t="shared" si="28"/>
        <v>109259633</v>
      </c>
      <c r="M190" s="18"/>
      <c r="N190" s="18"/>
    </row>
    <row r="191" spans="1:14" ht="10.15" customHeight="1" x14ac:dyDescent="0.2">
      <c r="A191" s="65"/>
      <c r="B191" s="65"/>
      <c r="C191" s="64" t="s">
        <v>33</v>
      </c>
      <c r="D191" s="65"/>
      <c r="E191" s="36"/>
      <c r="F191" s="23"/>
      <c r="G191" s="36"/>
      <c r="H191" s="36"/>
      <c r="I191" s="97"/>
      <c r="J191" s="36"/>
      <c r="K191" s="98">
        <f>SUM(K128:K190)</f>
        <v>2809774</v>
      </c>
      <c r="L191" s="98">
        <f>SUM(L128:L190)</f>
        <v>1282101143</v>
      </c>
    </row>
    <row r="192" spans="1:14" ht="10.15" customHeight="1" x14ac:dyDescent="0.2">
      <c r="A192" s="65"/>
      <c r="B192" s="65"/>
      <c r="C192" s="23"/>
      <c r="D192" s="23"/>
      <c r="E192" s="26"/>
      <c r="F192" s="95"/>
      <c r="G192" s="26"/>
      <c r="H192" s="26"/>
      <c r="I192" s="99"/>
      <c r="J192" s="26"/>
      <c r="K192" s="100"/>
      <c r="L192" s="100"/>
    </row>
    <row r="193" spans="1:12" ht="10.15" customHeight="1" x14ac:dyDescent="0.2">
      <c r="A193" s="65"/>
      <c r="B193" s="65"/>
      <c r="C193" s="70" t="s">
        <v>73</v>
      </c>
      <c r="D193" s="65"/>
      <c r="E193" s="36" t="s">
        <v>236</v>
      </c>
      <c r="F193" s="95"/>
      <c r="G193" s="36"/>
      <c r="H193" s="36"/>
      <c r="I193" s="97"/>
      <c r="J193" s="101">
        <f>ROUND(L191/K191,2)</f>
        <v>456.3</v>
      </c>
      <c r="K193" s="100"/>
      <c r="L193" s="100"/>
    </row>
    <row r="194" spans="1:12" ht="10.15" customHeight="1" x14ac:dyDescent="0.2">
      <c r="A194" s="65"/>
      <c r="B194" s="65"/>
      <c r="C194" s="23"/>
      <c r="D194" s="23"/>
      <c r="E194" s="26"/>
      <c r="F194" s="95"/>
      <c r="G194" s="26"/>
      <c r="H194" s="26"/>
      <c r="I194" s="99"/>
      <c r="J194" s="26"/>
      <c r="K194" s="100"/>
      <c r="L194" s="100"/>
    </row>
    <row r="195" spans="1:12" ht="11.25" x14ac:dyDescent="0.2">
      <c r="A195" s="71" t="s">
        <v>74</v>
      </c>
      <c r="B195" s="65"/>
      <c r="C195" s="23"/>
      <c r="D195" s="23"/>
      <c r="E195" s="26"/>
      <c r="F195" s="95"/>
      <c r="G195" s="26"/>
      <c r="H195" s="26"/>
      <c r="I195" s="99"/>
      <c r="J195" s="26"/>
      <c r="K195" s="100"/>
      <c r="L195" s="100"/>
    </row>
    <row r="196" spans="1:12" ht="11.25" x14ac:dyDescent="0.2">
      <c r="A196" s="64" t="s">
        <v>19</v>
      </c>
      <c r="B196" s="65"/>
      <c r="C196" s="23" t="s">
        <v>26</v>
      </c>
      <c r="D196" s="23"/>
      <c r="E196" s="26">
        <f>SUM(2999000/25000)</f>
        <v>119.96</v>
      </c>
      <c r="F196" s="231">
        <v>34639</v>
      </c>
      <c r="G196" s="26"/>
      <c r="H196" s="26"/>
      <c r="I196" s="99"/>
      <c r="J196" s="26"/>
      <c r="K196" s="100"/>
      <c r="L196" s="100"/>
    </row>
    <row r="197" spans="1:12" ht="11.25" x14ac:dyDescent="0.2">
      <c r="A197" s="64" t="s">
        <v>22</v>
      </c>
      <c r="B197" s="65"/>
      <c r="C197" s="23" t="s">
        <v>37</v>
      </c>
      <c r="D197" s="23"/>
      <c r="E197" s="26">
        <f>SUM(9481553/74052)</f>
        <v>128.0391211581051</v>
      </c>
      <c r="F197" s="231">
        <v>34335</v>
      </c>
      <c r="G197" s="26"/>
      <c r="H197" s="26"/>
      <c r="I197" s="99"/>
      <c r="J197" s="26"/>
      <c r="K197" s="100"/>
      <c r="L197" s="100"/>
    </row>
    <row r="198" spans="1:12" ht="11.25" x14ac:dyDescent="0.2">
      <c r="A198" s="64" t="s">
        <v>23</v>
      </c>
      <c r="B198" s="64">
        <v>624</v>
      </c>
      <c r="C198" s="72" t="s">
        <v>76</v>
      </c>
      <c r="D198" s="23"/>
      <c r="E198" s="73">
        <v>127</v>
      </c>
      <c r="F198" s="86">
        <v>35643</v>
      </c>
      <c r="G198" s="75"/>
      <c r="H198" s="75"/>
      <c r="I198" s="76"/>
      <c r="J198" s="73"/>
      <c r="K198" s="77"/>
      <c r="L198" s="77"/>
    </row>
    <row r="199" spans="1:12" ht="11.25" x14ac:dyDescent="0.2">
      <c r="A199" s="64" t="s">
        <v>24</v>
      </c>
      <c r="B199" s="78">
        <v>128</v>
      </c>
      <c r="C199" s="79" t="s">
        <v>129</v>
      </c>
      <c r="D199" s="80"/>
      <c r="E199" s="81">
        <v>108.05</v>
      </c>
      <c r="F199" s="82">
        <v>34759</v>
      </c>
      <c r="G199" s="83"/>
      <c r="H199" s="75"/>
      <c r="I199" s="84"/>
      <c r="J199" s="81"/>
      <c r="K199" s="85"/>
      <c r="L199" s="85"/>
    </row>
    <row r="200" spans="1:12" ht="10.15" customHeight="1" x14ac:dyDescent="0.2">
      <c r="A200" s="64" t="s">
        <v>17</v>
      </c>
      <c r="B200" s="78">
        <v>550</v>
      </c>
      <c r="C200" s="79" t="s">
        <v>130</v>
      </c>
      <c r="D200" s="80"/>
      <c r="E200" s="81">
        <v>142.22</v>
      </c>
      <c r="F200" s="82">
        <v>35612</v>
      </c>
      <c r="G200" s="83"/>
      <c r="H200" s="75"/>
      <c r="I200" s="84"/>
      <c r="J200" s="81"/>
      <c r="K200" s="85"/>
      <c r="L200" s="85"/>
    </row>
    <row r="201" spans="1:12" ht="10.15" customHeight="1" x14ac:dyDescent="0.2">
      <c r="A201" s="64" t="s">
        <v>20</v>
      </c>
      <c r="B201" s="64">
        <v>430</v>
      </c>
      <c r="C201" s="72" t="s">
        <v>153</v>
      </c>
      <c r="D201" s="23"/>
      <c r="E201" s="73">
        <v>107.85</v>
      </c>
      <c r="F201" s="86">
        <v>36161</v>
      </c>
      <c r="G201" s="75"/>
      <c r="H201" s="75"/>
      <c r="I201" s="76"/>
      <c r="J201" s="73"/>
      <c r="K201" s="77"/>
      <c r="L201" s="77"/>
    </row>
    <row r="202" spans="1:12" ht="10.15" customHeight="1" x14ac:dyDescent="0.2">
      <c r="A202" s="64" t="s">
        <v>24</v>
      </c>
      <c r="B202" s="64">
        <v>112</v>
      </c>
      <c r="C202" s="72" t="s">
        <v>423</v>
      </c>
      <c r="D202" s="23"/>
      <c r="E202" s="73">
        <f>4973201/30800</f>
        <v>161.46756493506493</v>
      </c>
      <c r="F202" s="118">
        <v>36678</v>
      </c>
      <c r="G202" s="75"/>
      <c r="H202" s="75"/>
      <c r="I202" s="76"/>
      <c r="J202" s="73"/>
      <c r="K202" s="77"/>
      <c r="L202" s="77"/>
    </row>
    <row r="203" spans="1:12" ht="11.25" x14ac:dyDescent="0.2">
      <c r="A203" s="64" t="s">
        <v>440</v>
      </c>
      <c r="B203" s="64">
        <v>57</v>
      </c>
      <c r="C203" s="91" t="s">
        <v>442</v>
      </c>
      <c r="D203" s="65"/>
      <c r="E203" s="73">
        <f>5381000/31000</f>
        <v>173.58064516129033</v>
      </c>
      <c r="F203" s="118">
        <v>37196</v>
      </c>
      <c r="G203" s="75"/>
      <c r="H203" s="75"/>
      <c r="I203" s="76"/>
      <c r="J203" s="73"/>
      <c r="K203" s="77"/>
      <c r="L203" s="77"/>
    </row>
    <row r="204" spans="1:12" ht="11.25" x14ac:dyDescent="0.2">
      <c r="A204" s="64" t="s">
        <v>24</v>
      </c>
      <c r="B204" s="64">
        <v>161</v>
      </c>
      <c r="C204" s="87" t="s">
        <v>466</v>
      </c>
      <c r="D204" s="23"/>
      <c r="E204" s="73">
        <f>6700000/58404</f>
        <v>114.71816998835696</v>
      </c>
      <c r="F204" s="89">
        <v>37585</v>
      </c>
      <c r="G204" s="75"/>
      <c r="H204" s="75"/>
      <c r="I204" s="76"/>
      <c r="J204" s="73"/>
      <c r="K204" s="77"/>
      <c r="L204" s="77"/>
    </row>
    <row r="205" spans="1:12" ht="11.25" x14ac:dyDescent="0.2">
      <c r="A205" s="64" t="s">
        <v>126</v>
      </c>
      <c r="B205" s="64">
        <v>1029</v>
      </c>
      <c r="C205" s="91" t="s">
        <v>470</v>
      </c>
      <c r="D205" s="23"/>
      <c r="E205" s="73">
        <f>1383789/6500</f>
        <v>212.89061538461539</v>
      </c>
      <c r="F205" s="92">
        <v>37841</v>
      </c>
      <c r="G205" s="75">
        <v>3712</v>
      </c>
      <c r="H205" s="90">
        <v>8761.25</v>
      </c>
      <c r="I205" s="76">
        <f t="shared" ref="I205:I212" si="30">ROUND(H205/G205,5)</f>
        <v>2.3602500000000002</v>
      </c>
      <c r="J205" s="73">
        <f t="shared" ref="J205:J212" si="31">ROUND(E205*I205,2)</f>
        <v>502.48</v>
      </c>
      <c r="K205" s="77">
        <v>6500</v>
      </c>
      <c r="L205" s="77">
        <f t="shared" ref="L205:L212" si="32">ROUND(J205*K205,0)</f>
        <v>3266120</v>
      </c>
    </row>
    <row r="206" spans="1:12" ht="11.25" x14ac:dyDescent="0.2">
      <c r="A206" s="64" t="s">
        <v>24</v>
      </c>
      <c r="B206" s="64">
        <v>115</v>
      </c>
      <c r="C206" s="91" t="s">
        <v>483</v>
      </c>
      <c r="D206" s="23"/>
      <c r="E206" s="73">
        <f>4537574/26000</f>
        <v>174.52207692307692</v>
      </c>
      <c r="F206" s="92">
        <v>38200</v>
      </c>
      <c r="G206" s="75">
        <v>3908</v>
      </c>
      <c r="H206" s="90">
        <v>8761.25</v>
      </c>
      <c r="I206" s="76">
        <f t="shared" si="30"/>
        <v>2.2418800000000001</v>
      </c>
      <c r="J206" s="73">
        <f t="shared" si="31"/>
        <v>391.26</v>
      </c>
      <c r="K206" s="77">
        <v>26000</v>
      </c>
      <c r="L206" s="77">
        <f t="shared" si="32"/>
        <v>10172760</v>
      </c>
    </row>
    <row r="207" spans="1:12" ht="11.25" x14ac:dyDescent="0.2">
      <c r="A207" s="64" t="s">
        <v>19</v>
      </c>
      <c r="B207" s="64">
        <v>272</v>
      </c>
      <c r="C207" s="91" t="s">
        <v>485</v>
      </c>
      <c r="D207" s="23"/>
      <c r="E207" s="73">
        <f>8826863/39481</f>
        <v>223.57242724348421</v>
      </c>
      <c r="F207" s="92">
        <v>38076</v>
      </c>
      <c r="G207" s="75">
        <v>3859</v>
      </c>
      <c r="H207" s="90">
        <v>8761.25</v>
      </c>
      <c r="I207" s="76">
        <f t="shared" si="30"/>
        <v>2.27034</v>
      </c>
      <c r="J207" s="73">
        <f t="shared" si="31"/>
        <v>507.59</v>
      </c>
      <c r="K207" s="77">
        <v>39481</v>
      </c>
      <c r="L207" s="77">
        <f t="shared" si="32"/>
        <v>20040161</v>
      </c>
    </row>
    <row r="208" spans="1:12" ht="11.25" x14ac:dyDescent="0.2">
      <c r="A208" s="64" t="s">
        <v>19</v>
      </c>
      <c r="B208" s="64">
        <v>282</v>
      </c>
      <c r="C208" s="91" t="s">
        <v>486</v>
      </c>
      <c r="D208" s="23"/>
      <c r="E208" s="73">
        <f>8440392/37695</f>
        <v>223.91277357739753</v>
      </c>
      <c r="F208" s="92">
        <v>38076</v>
      </c>
      <c r="G208" s="75">
        <v>3859</v>
      </c>
      <c r="H208" s="90">
        <v>8761.25</v>
      </c>
      <c r="I208" s="76">
        <f t="shared" si="30"/>
        <v>2.27034</v>
      </c>
      <c r="J208" s="73">
        <f t="shared" si="31"/>
        <v>508.36</v>
      </c>
      <c r="K208" s="77">
        <v>37695</v>
      </c>
      <c r="L208" s="77">
        <f t="shared" si="32"/>
        <v>19162630</v>
      </c>
    </row>
    <row r="209" spans="1:14" ht="11.25" x14ac:dyDescent="0.2">
      <c r="A209" s="64" t="s">
        <v>23</v>
      </c>
      <c r="B209" s="64">
        <v>614</v>
      </c>
      <c r="C209" s="87" t="s">
        <v>498</v>
      </c>
      <c r="D209" s="23"/>
      <c r="E209" s="73">
        <f>4778447/20310</f>
        <v>235.27557853274249</v>
      </c>
      <c r="F209" s="92">
        <v>38231</v>
      </c>
      <c r="G209" s="75">
        <v>4102</v>
      </c>
      <c r="H209" s="90">
        <v>8761.25</v>
      </c>
      <c r="I209" s="76">
        <f t="shared" si="30"/>
        <v>2.13585</v>
      </c>
      <c r="J209" s="73">
        <f t="shared" si="31"/>
        <v>502.51</v>
      </c>
      <c r="K209" s="88">
        <v>20310</v>
      </c>
      <c r="L209" s="77">
        <f t="shared" si="32"/>
        <v>10205978</v>
      </c>
    </row>
    <row r="210" spans="1:14" ht="11.25" x14ac:dyDescent="0.2">
      <c r="A210" s="64" t="s">
        <v>19</v>
      </c>
      <c r="B210" s="64"/>
      <c r="C210" s="91" t="s">
        <v>591</v>
      </c>
      <c r="D210" s="23"/>
      <c r="E210" s="73">
        <f>4897677/24220</f>
        <v>202.21622625928984</v>
      </c>
      <c r="F210" s="92">
        <v>40210</v>
      </c>
      <c r="G210" s="75">
        <v>4812</v>
      </c>
      <c r="H210" s="90">
        <v>8761.25</v>
      </c>
      <c r="I210" s="76">
        <f t="shared" si="30"/>
        <v>1.8207100000000001</v>
      </c>
      <c r="J210" s="73">
        <f t="shared" si="31"/>
        <v>368.18</v>
      </c>
      <c r="K210" s="88">
        <v>24220</v>
      </c>
      <c r="L210" s="77">
        <f t="shared" si="32"/>
        <v>8917320</v>
      </c>
    </row>
    <row r="211" spans="1:14" s="15" customFormat="1" ht="11.25" x14ac:dyDescent="0.2">
      <c r="A211" s="64" t="s">
        <v>24</v>
      </c>
      <c r="B211" s="64"/>
      <c r="C211" s="91" t="s">
        <v>601</v>
      </c>
      <c r="D211" s="23"/>
      <c r="E211" s="73">
        <f>13304315/25950</f>
        <v>512.690366088632</v>
      </c>
      <c r="F211" s="92">
        <v>40200</v>
      </c>
      <c r="G211" s="75">
        <v>4800</v>
      </c>
      <c r="H211" s="90">
        <v>8761.25</v>
      </c>
      <c r="I211" s="76">
        <f t="shared" si="30"/>
        <v>1.8252600000000001</v>
      </c>
      <c r="J211" s="73">
        <f t="shared" si="31"/>
        <v>935.79</v>
      </c>
      <c r="K211" s="88">
        <v>25950</v>
      </c>
      <c r="L211" s="77">
        <f t="shared" si="32"/>
        <v>24283751</v>
      </c>
      <c r="M211"/>
      <c r="N211"/>
    </row>
    <row r="212" spans="1:14" ht="10.15" customHeight="1" x14ac:dyDescent="0.2">
      <c r="A212" s="64" t="s">
        <v>19</v>
      </c>
      <c r="B212" s="64"/>
      <c r="C212" s="91" t="s">
        <v>650</v>
      </c>
      <c r="D212" s="23"/>
      <c r="E212" s="73">
        <f>10905409/24763</f>
        <v>440.39126923232243</v>
      </c>
      <c r="F212" s="92">
        <v>42170</v>
      </c>
      <c r="G212" s="75">
        <v>5507</v>
      </c>
      <c r="H212" s="90">
        <v>8761.25</v>
      </c>
      <c r="I212" s="76">
        <f t="shared" si="30"/>
        <v>1.59093</v>
      </c>
      <c r="J212" s="73">
        <f t="shared" si="31"/>
        <v>700.63</v>
      </c>
      <c r="K212" s="88">
        <v>24763</v>
      </c>
      <c r="L212" s="77">
        <f t="shared" si="32"/>
        <v>17349701</v>
      </c>
      <c r="M212" s="15"/>
      <c r="N212" s="15"/>
    </row>
    <row r="213" spans="1:14" ht="10.15" customHeight="1" x14ac:dyDescent="0.2">
      <c r="A213" s="64"/>
      <c r="B213" s="64"/>
      <c r="C213" s="91"/>
      <c r="D213" s="23"/>
      <c r="E213" s="73"/>
      <c r="F213" s="92"/>
      <c r="G213" s="75"/>
      <c r="H213" s="107"/>
      <c r="I213" s="76"/>
      <c r="J213" s="73"/>
      <c r="K213" s="88"/>
      <c r="L213" s="77"/>
      <c r="M213" s="15"/>
      <c r="N213" s="15"/>
    </row>
    <row r="214" spans="1:14" ht="10.15" customHeight="1" x14ac:dyDescent="0.2">
      <c r="A214" s="65"/>
      <c r="B214" s="65"/>
      <c r="C214" s="64" t="s">
        <v>33</v>
      </c>
      <c r="D214" s="65"/>
      <c r="E214" s="119"/>
      <c r="F214" s="64"/>
      <c r="G214" s="36"/>
      <c r="H214" s="75"/>
      <c r="I214" s="97"/>
      <c r="J214" s="36"/>
      <c r="K214" s="98">
        <f>SUM(K196:K213)</f>
        <v>204919</v>
      </c>
      <c r="L214" s="98">
        <f>SUM(L196:L213)</f>
        <v>113398421</v>
      </c>
    </row>
    <row r="215" spans="1:14" ht="10.15" customHeight="1" x14ac:dyDescent="0.2">
      <c r="A215" s="65"/>
      <c r="B215" s="65"/>
      <c r="C215" s="23"/>
      <c r="D215" s="23"/>
      <c r="E215" s="23"/>
      <c r="F215" s="95"/>
      <c r="G215" s="23"/>
      <c r="H215" s="75"/>
      <c r="I215" s="99"/>
      <c r="J215" s="23"/>
      <c r="K215" s="23"/>
      <c r="L215" s="23"/>
    </row>
    <row r="216" spans="1:14" ht="10.15" customHeight="1" x14ac:dyDescent="0.2">
      <c r="A216" s="65"/>
      <c r="B216" s="65"/>
      <c r="C216" s="70" t="s">
        <v>77</v>
      </c>
      <c r="D216" s="65"/>
      <c r="E216" s="36"/>
      <c r="F216" s="95"/>
      <c r="G216" s="36"/>
      <c r="H216" s="75"/>
      <c r="I216" s="97"/>
      <c r="J216" s="101">
        <f>ROUND(L214/K214,2)</f>
        <v>553.38</v>
      </c>
      <c r="K216" s="100"/>
      <c r="L216" s="100"/>
    </row>
    <row r="217" spans="1:14" ht="10.15" customHeight="1" x14ac:dyDescent="0.2">
      <c r="A217" s="65"/>
      <c r="B217" s="65"/>
      <c r="C217" s="23"/>
      <c r="D217" s="23"/>
      <c r="E217" s="23"/>
      <c r="F217" s="95"/>
      <c r="G217" s="23"/>
      <c r="H217" s="75"/>
      <c r="I217" s="99"/>
      <c r="J217" s="23"/>
      <c r="K217" s="23"/>
      <c r="L217" s="23"/>
    </row>
    <row r="218" spans="1:14" ht="10.15" customHeight="1" x14ac:dyDescent="0.2">
      <c r="A218" s="71" t="s">
        <v>78</v>
      </c>
      <c r="B218" s="65"/>
      <c r="C218" s="23"/>
      <c r="D218" s="23"/>
      <c r="E218" s="26"/>
      <c r="F218" s="95"/>
      <c r="G218" s="26"/>
      <c r="H218" s="75"/>
      <c r="I218" s="99"/>
      <c r="J218" s="26"/>
      <c r="K218" s="100"/>
      <c r="L218" s="100"/>
    </row>
    <row r="219" spans="1:14" ht="10.15" customHeight="1" x14ac:dyDescent="0.2">
      <c r="A219" s="64" t="s">
        <v>24</v>
      </c>
      <c r="B219" s="64">
        <v>159</v>
      </c>
      <c r="C219" s="23" t="s">
        <v>188</v>
      </c>
      <c r="D219" s="23"/>
      <c r="E219" s="73">
        <v>52.05</v>
      </c>
      <c r="F219" s="74" t="s">
        <v>167</v>
      </c>
      <c r="G219" s="26"/>
      <c r="H219" s="75"/>
      <c r="I219" s="99"/>
      <c r="J219" s="26"/>
      <c r="K219" s="100"/>
      <c r="L219" s="100"/>
    </row>
    <row r="220" spans="1:14" ht="10.15" customHeight="1" x14ac:dyDescent="0.2">
      <c r="A220" s="64" t="s">
        <v>29</v>
      </c>
      <c r="B220" s="64">
        <v>725</v>
      </c>
      <c r="C220" s="72" t="s">
        <v>201</v>
      </c>
      <c r="D220" s="23"/>
      <c r="E220" s="73">
        <v>58.21</v>
      </c>
      <c r="F220" s="95" t="s">
        <v>190</v>
      </c>
      <c r="G220" s="26"/>
      <c r="H220" s="75"/>
      <c r="I220" s="99"/>
      <c r="J220" s="26"/>
      <c r="K220" s="100"/>
      <c r="L220" s="100"/>
    </row>
    <row r="221" spans="1:14" ht="10.15" customHeight="1" x14ac:dyDescent="0.2">
      <c r="A221" s="64" t="s">
        <v>23</v>
      </c>
      <c r="B221" s="64">
        <v>244</v>
      </c>
      <c r="C221" s="72" t="s">
        <v>79</v>
      </c>
      <c r="D221" s="23"/>
      <c r="E221" s="73">
        <v>77.31</v>
      </c>
      <c r="F221" s="95" t="s">
        <v>54</v>
      </c>
      <c r="G221" s="75">
        <v>2016.1</v>
      </c>
      <c r="H221" s="90">
        <v>8761.25</v>
      </c>
      <c r="I221" s="116">
        <f>ROUND(H221/G221,5)</f>
        <v>4.3456400000000004</v>
      </c>
      <c r="J221" s="73">
        <f>ROUND(E221*I221,2)</f>
        <v>335.96</v>
      </c>
      <c r="K221" s="77">
        <v>49267</v>
      </c>
      <c r="L221" s="77">
        <f>ROUND(J221*K221,0)</f>
        <v>16551741</v>
      </c>
    </row>
    <row r="222" spans="1:14" ht="10.15" customHeight="1" x14ac:dyDescent="0.2">
      <c r="A222" s="64" t="s">
        <v>17</v>
      </c>
      <c r="B222" s="64">
        <v>587</v>
      </c>
      <c r="C222" s="72" t="s">
        <v>80</v>
      </c>
      <c r="D222" s="23"/>
      <c r="E222" s="73">
        <v>72.06</v>
      </c>
      <c r="F222" s="95" t="s">
        <v>55</v>
      </c>
      <c r="G222" s="75">
        <v>2568.7800000000002</v>
      </c>
      <c r="H222" s="90">
        <v>8761.25</v>
      </c>
      <c r="I222" s="116">
        <f>ROUND(H222/G222,5)</f>
        <v>3.4106700000000001</v>
      </c>
      <c r="J222" s="73">
        <f>ROUND(E222*I222,2)</f>
        <v>245.77</v>
      </c>
      <c r="K222" s="77">
        <v>22161</v>
      </c>
      <c r="L222" s="77">
        <f>ROUND(J222*K222,0)</f>
        <v>5446509</v>
      </c>
    </row>
    <row r="223" spans="1:14" ht="10.15" customHeight="1" x14ac:dyDescent="0.2">
      <c r="A223" s="64" t="s">
        <v>29</v>
      </c>
      <c r="B223" s="64">
        <v>785</v>
      </c>
      <c r="C223" s="72" t="s">
        <v>81</v>
      </c>
      <c r="D223" s="23"/>
      <c r="E223" s="73">
        <f>ROUND(1034700/10355,2)</f>
        <v>99.92</v>
      </c>
      <c r="F223" s="95" t="s">
        <v>82</v>
      </c>
      <c r="G223" s="75">
        <v>2785.47</v>
      </c>
      <c r="H223" s="90">
        <v>8761.25</v>
      </c>
      <c r="I223" s="116">
        <f>ROUND(H223/G223,5)</f>
        <v>3.14534</v>
      </c>
      <c r="J223" s="73">
        <f>ROUND(E223*I223,2)</f>
        <v>314.27999999999997</v>
      </c>
      <c r="K223" s="77">
        <v>10355</v>
      </c>
      <c r="L223" s="77">
        <f>ROUND(J223*K223,0)</f>
        <v>3254369</v>
      </c>
    </row>
    <row r="224" spans="1:14" ht="10.15" customHeight="1" x14ac:dyDescent="0.2">
      <c r="A224" s="64" t="s">
        <v>17</v>
      </c>
      <c r="B224" s="64">
        <v>522</v>
      </c>
      <c r="C224" s="72" t="s">
        <v>154</v>
      </c>
      <c r="D224" s="23"/>
      <c r="E224" s="73">
        <v>180.18</v>
      </c>
      <c r="F224" s="86">
        <v>36312</v>
      </c>
      <c r="G224" s="75">
        <v>3432.92</v>
      </c>
      <c r="H224" s="90">
        <v>8761.25</v>
      </c>
      <c r="I224" s="116">
        <f>ROUND(H224/G224,5)</f>
        <v>2.55213</v>
      </c>
      <c r="J224" s="73">
        <f>ROUND(E224*I224,2)</f>
        <v>459.84</v>
      </c>
      <c r="K224" s="77">
        <v>26996</v>
      </c>
      <c r="L224" s="77">
        <f>ROUND(J224*K224,0)</f>
        <v>12413841</v>
      </c>
    </row>
    <row r="225" spans="1:12" ht="10.15" customHeight="1" x14ac:dyDescent="0.2">
      <c r="A225" s="64" t="s">
        <v>18</v>
      </c>
      <c r="B225" s="64">
        <v>399</v>
      </c>
      <c r="C225" s="91" t="s">
        <v>487</v>
      </c>
      <c r="D225" s="23"/>
      <c r="E225" s="73">
        <f>21175050/160385</f>
        <v>132.02637403747232</v>
      </c>
      <c r="F225" s="92">
        <v>38032</v>
      </c>
      <c r="G225" s="75">
        <v>3802</v>
      </c>
      <c r="H225" s="90">
        <v>8761.25</v>
      </c>
      <c r="I225" s="76">
        <f>ROUND(H225/G225,5)</f>
        <v>2.3043800000000001</v>
      </c>
      <c r="J225" s="73">
        <f>ROUND(E225*I225,2)</f>
        <v>304.24</v>
      </c>
      <c r="K225" s="88">
        <v>160385</v>
      </c>
      <c r="L225" s="77">
        <f>ROUND(J225*K225,0)</f>
        <v>48795532</v>
      </c>
    </row>
    <row r="226" spans="1:12" ht="10.15" customHeight="1" x14ac:dyDescent="0.2">
      <c r="A226" s="65"/>
      <c r="B226" s="65"/>
      <c r="C226" s="64" t="s">
        <v>33</v>
      </c>
      <c r="D226" s="65"/>
      <c r="E226" s="36"/>
      <c r="F226" s="95"/>
      <c r="G226" s="36"/>
      <c r="H226" s="36"/>
      <c r="I226" s="97"/>
      <c r="J226" s="36"/>
      <c r="K226" s="98">
        <f>SUM(K221:K225)</f>
        <v>269164</v>
      </c>
      <c r="L226" s="98">
        <f>SUM(L221:L225)</f>
        <v>86461992</v>
      </c>
    </row>
    <row r="227" spans="1:12" ht="10.15" customHeight="1" x14ac:dyDescent="0.2">
      <c r="A227" s="65"/>
      <c r="B227" s="65"/>
      <c r="C227" s="23"/>
      <c r="D227" s="23"/>
      <c r="E227" s="26"/>
      <c r="F227" s="95"/>
      <c r="G227" s="26"/>
      <c r="H227" s="26"/>
      <c r="I227" s="99"/>
      <c r="J227" s="26"/>
      <c r="K227" s="100"/>
      <c r="L227" s="100"/>
    </row>
    <row r="228" spans="1:12" ht="10.15" customHeight="1" x14ac:dyDescent="0.2">
      <c r="A228" s="65"/>
      <c r="B228" s="65"/>
      <c r="C228" s="70" t="s">
        <v>83</v>
      </c>
      <c r="D228" s="65"/>
      <c r="E228" s="36"/>
      <c r="F228" s="95"/>
      <c r="G228" s="36"/>
      <c r="H228" s="36"/>
      <c r="I228" s="97"/>
      <c r="J228" s="101">
        <f>ROUND(L226/K226,2)</f>
        <v>321.22000000000003</v>
      </c>
      <c r="K228" s="100"/>
      <c r="L228" s="100"/>
    </row>
    <row r="229" spans="1:12" ht="10.15" customHeight="1" x14ac:dyDescent="0.2">
      <c r="A229" s="65"/>
      <c r="B229" s="65"/>
      <c r="C229" s="23"/>
      <c r="D229" s="23"/>
      <c r="E229" s="23"/>
      <c r="F229" s="95"/>
      <c r="G229" s="23"/>
      <c r="H229" s="23"/>
      <c r="I229" s="99"/>
      <c r="J229" s="23"/>
      <c r="K229" s="23"/>
      <c r="L229" s="23"/>
    </row>
    <row r="230" spans="1:12" ht="10.15" customHeight="1" x14ac:dyDescent="0.2">
      <c r="A230" s="120" t="s">
        <v>84</v>
      </c>
      <c r="B230" s="121"/>
      <c r="C230" s="122"/>
      <c r="D230" s="122"/>
      <c r="E230" s="123" t="s">
        <v>707</v>
      </c>
      <c r="F230" s="124"/>
      <c r="G230" s="125"/>
      <c r="H230" s="125"/>
      <c r="I230" s="126"/>
      <c r="J230" s="125"/>
      <c r="K230" s="127"/>
      <c r="L230" s="127"/>
    </row>
    <row r="231" spans="1:12" ht="10.15" customHeight="1" x14ac:dyDescent="0.2">
      <c r="A231" s="64" t="s">
        <v>21</v>
      </c>
      <c r="B231" s="64">
        <v>913</v>
      </c>
      <c r="C231" s="72" t="s">
        <v>202</v>
      </c>
      <c r="D231" s="23"/>
      <c r="E231" s="73">
        <v>80.3</v>
      </c>
      <c r="F231" s="95" t="s">
        <v>200</v>
      </c>
      <c r="G231" s="26"/>
      <c r="H231" s="26"/>
      <c r="I231" s="99"/>
      <c r="J231" s="26"/>
      <c r="K231" s="100"/>
      <c r="L231" s="100"/>
    </row>
    <row r="232" spans="1:12" ht="10.15" customHeight="1" x14ac:dyDescent="0.2">
      <c r="A232" s="64" t="s">
        <v>22</v>
      </c>
      <c r="B232" s="64">
        <v>824</v>
      </c>
      <c r="C232" s="72" t="s">
        <v>191</v>
      </c>
      <c r="D232" s="23"/>
      <c r="E232" s="73">
        <v>77.150000000000006</v>
      </c>
      <c r="F232" s="95" t="s">
        <v>190</v>
      </c>
      <c r="G232" s="26"/>
      <c r="H232" s="26"/>
      <c r="I232" s="99"/>
      <c r="J232" s="26"/>
      <c r="K232" s="100"/>
      <c r="L232" s="100"/>
    </row>
    <row r="233" spans="1:12" ht="10.15" customHeight="1" x14ac:dyDescent="0.2">
      <c r="A233" s="64" t="s">
        <v>21</v>
      </c>
      <c r="B233" s="64">
        <v>922</v>
      </c>
      <c r="C233" s="72" t="s">
        <v>203</v>
      </c>
      <c r="D233" s="23"/>
      <c r="E233" s="73">
        <v>53.64</v>
      </c>
      <c r="F233" s="95" t="s">
        <v>204</v>
      </c>
      <c r="G233" s="26"/>
      <c r="H233" s="26"/>
      <c r="I233" s="99"/>
      <c r="J233" s="26"/>
      <c r="K233" s="100"/>
      <c r="L233" s="100"/>
    </row>
    <row r="234" spans="1:12" ht="10.15" customHeight="1" x14ac:dyDescent="0.2">
      <c r="A234" s="64" t="s">
        <v>20</v>
      </c>
      <c r="B234" s="64">
        <v>423</v>
      </c>
      <c r="C234" s="72" t="s">
        <v>205</v>
      </c>
      <c r="D234" s="23"/>
      <c r="E234" s="73">
        <v>73.06</v>
      </c>
      <c r="F234" s="95" t="s">
        <v>206</v>
      </c>
      <c r="G234" s="26"/>
      <c r="H234" s="26"/>
      <c r="I234" s="99"/>
      <c r="J234" s="26"/>
      <c r="K234" s="100"/>
      <c r="L234" s="100"/>
    </row>
    <row r="235" spans="1:12" ht="10.15" customHeight="1" x14ac:dyDescent="0.2">
      <c r="A235" s="64" t="s">
        <v>19</v>
      </c>
      <c r="B235" s="64">
        <v>239</v>
      </c>
      <c r="C235" s="72" t="s">
        <v>158</v>
      </c>
      <c r="D235" s="23"/>
      <c r="E235" s="73">
        <v>92.07</v>
      </c>
      <c r="F235" s="74" t="s">
        <v>159</v>
      </c>
      <c r="G235" s="26"/>
      <c r="H235" s="26"/>
      <c r="I235" s="99"/>
      <c r="J235" s="26"/>
      <c r="K235" s="100"/>
      <c r="L235" s="100"/>
    </row>
    <row r="236" spans="1:12" ht="10.15" customHeight="1" x14ac:dyDescent="0.2">
      <c r="A236" s="64" t="s">
        <v>23</v>
      </c>
      <c r="B236" s="64">
        <v>621</v>
      </c>
      <c r="C236" s="72" t="s">
        <v>194</v>
      </c>
      <c r="D236" s="23"/>
      <c r="E236" s="73">
        <v>88.93</v>
      </c>
      <c r="F236" s="74" t="s">
        <v>180</v>
      </c>
      <c r="G236" s="26"/>
      <c r="H236" s="26"/>
      <c r="I236" s="99"/>
      <c r="J236" s="26"/>
      <c r="K236" s="100"/>
      <c r="L236" s="100"/>
    </row>
    <row r="237" spans="1:12" ht="10.15" customHeight="1" x14ac:dyDescent="0.2">
      <c r="A237" s="64" t="s">
        <v>21</v>
      </c>
      <c r="B237" s="64">
        <v>941</v>
      </c>
      <c r="C237" s="72" t="s">
        <v>207</v>
      </c>
      <c r="D237" s="23"/>
      <c r="E237" s="73">
        <v>70.3</v>
      </c>
      <c r="F237" s="95" t="s">
        <v>208</v>
      </c>
      <c r="G237" s="26"/>
      <c r="H237" s="26"/>
      <c r="I237" s="99"/>
      <c r="J237" s="26"/>
      <c r="K237" s="100"/>
      <c r="L237" s="100"/>
    </row>
    <row r="238" spans="1:12" ht="10.15" customHeight="1" x14ac:dyDescent="0.2">
      <c r="A238" s="64" t="s">
        <v>24</v>
      </c>
      <c r="B238" s="64">
        <v>105</v>
      </c>
      <c r="C238" s="72" t="s">
        <v>209</v>
      </c>
      <c r="D238" s="23"/>
      <c r="E238" s="73">
        <f>ROUND(4974804/54194,2)</f>
        <v>91.8</v>
      </c>
      <c r="F238" s="95" t="s">
        <v>171</v>
      </c>
      <c r="G238" s="26"/>
      <c r="H238" s="26"/>
      <c r="I238" s="99"/>
      <c r="J238" s="26"/>
      <c r="K238" s="100"/>
      <c r="L238" s="100"/>
    </row>
    <row r="239" spans="1:12" ht="10.15" customHeight="1" x14ac:dyDescent="0.2">
      <c r="A239" s="64" t="s">
        <v>24</v>
      </c>
      <c r="B239" s="64">
        <v>116</v>
      </c>
      <c r="C239" s="72" t="s">
        <v>210</v>
      </c>
      <c r="D239" s="23"/>
      <c r="E239" s="73">
        <f>ROUND(991272/9997,2)</f>
        <v>99.16</v>
      </c>
      <c r="F239" s="95" t="s">
        <v>211</v>
      </c>
      <c r="G239" s="26"/>
      <c r="H239" s="26"/>
      <c r="I239" s="99"/>
      <c r="J239" s="26"/>
      <c r="K239" s="100"/>
      <c r="L239" s="100"/>
    </row>
    <row r="240" spans="1:12" ht="10.15" customHeight="1" x14ac:dyDescent="0.2">
      <c r="A240" s="64" t="s">
        <v>20</v>
      </c>
      <c r="B240" s="64">
        <v>452</v>
      </c>
      <c r="C240" s="72" t="s">
        <v>85</v>
      </c>
      <c r="D240" s="23"/>
      <c r="E240" s="73">
        <f>ROUND(8265000/93439,2)</f>
        <v>88.45</v>
      </c>
      <c r="F240" s="95" t="s">
        <v>86</v>
      </c>
      <c r="G240" s="75">
        <v>2874.83</v>
      </c>
      <c r="H240" s="90">
        <v>8761.25</v>
      </c>
      <c r="I240" s="99">
        <f>ROUND(H240/G240,5)</f>
        <v>3.0475699999999999</v>
      </c>
      <c r="J240" s="73">
        <f>ROUND(E240*I240,2)</f>
        <v>269.56</v>
      </c>
      <c r="K240" s="77">
        <v>93439</v>
      </c>
      <c r="L240" s="77">
        <f>ROUND(J240*K240,0)</f>
        <v>25187417</v>
      </c>
    </row>
    <row r="241" spans="1:12" ht="10.15" customHeight="1" x14ac:dyDescent="0.2">
      <c r="A241" s="64" t="s">
        <v>24</v>
      </c>
      <c r="B241" s="64">
        <v>152</v>
      </c>
      <c r="C241" s="72" t="s">
        <v>87</v>
      </c>
      <c r="D241" s="23"/>
      <c r="E241" s="73">
        <f>ROUND(4562000/57629,2)</f>
        <v>79.16</v>
      </c>
      <c r="F241" s="95" t="s">
        <v>56</v>
      </c>
      <c r="G241" s="75">
        <v>2886.42</v>
      </c>
      <c r="H241" s="90">
        <v>8761.25</v>
      </c>
      <c r="I241" s="99">
        <f>ROUND(H241/G241,5)</f>
        <v>3.0353300000000001</v>
      </c>
      <c r="J241" s="73">
        <f>ROUND(E241*I241,2)</f>
        <v>240.28</v>
      </c>
      <c r="K241" s="77">
        <v>57629</v>
      </c>
      <c r="L241" s="77">
        <f>ROUND(J241*K241,0)</f>
        <v>13847096</v>
      </c>
    </row>
    <row r="242" spans="1:12" ht="10.15" customHeight="1" x14ac:dyDescent="0.2">
      <c r="A242" s="64" t="s">
        <v>22</v>
      </c>
      <c r="B242" s="78">
        <v>808</v>
      </c>
      <c r="C242" s="79" t="s">
        <v>88</v>
      </c>
      <c r="D242" s="80"/>
      <c r="E242" s="81">
        <f>ROUND(4023777/38190,2)</f>
        <v>105.36</v>
      </c>
      <c r="F242" s="95" t="s">
        <v>59</v>
      </c>
      <c r="G242" s="83">
        <v>3071.1</v>
      </c>
      <c r="H242" s="90">
        <v>8761.25</v>
      </c>
      <c r="I242" s="128">
        <f>ROUND(H242/G242,5)</f>
        <v>2.8528099999999998</v>
      </c>
      <c r="J242" s="81">
        <f>ROUND(E242*I242,2)</f>
        <v>300.57</v>
      </c>
      <c r="K242" s="85">
        <v>38190</v>
      </c>
      <c r="L242" s="85">
        <f>ROUND(J242*K242,0)</f>
        <v>11478768</v>
      </c>
    </row>
    <row r="243" spans="1:12" ht="10.15" customHeight="1" x14ac:dyDescent="0.2">
      <c r="A243" s="64" t="s">
        <v>22</v>
      </c>
      <c r="B243" s="78">
        <v>897</v>
      </c>
      <c r="C243" s="79" t="s">
        <v>89</v>
      </c>
      <c r="D243" s="80"/>
      <c r="E243" s="81">
        <f>ROUND(6058965/57604,2)</f>
        <v>105.18</v>
      </c>
      <c r="F243" s="95" t="s">
        <v>59</v>
      </c>
      <c r="G243" s="83">
        <v>3071.1</v>
      </c>
      <c r="H243" s="90">
        <v>8761.25</v>
      </c>
      <c r="I243" s="128">
        <f>ROUND(H243/G243,5)</f>
        <v>2.8528099999999998</v>
      </c>
      <c r="J243" s="81">
        <f>ROUND(E243*I243,2)</f>
        <v>300.06</v>
      </c>
      <c r="K243" s="85">
        <v>57604</v>
      </c>
      <c r="L243" s="85">
        <f>ROUND(J243*K243,0)</f>
        <v>17284656</v>
      </c>
    </row>
    <row r="244" spans="1:12" ht="10.15" customHeight="1" x14ac:dyDescent="0.2">
      <c r="A244" s="65"/>
      <c r="B244" s="65"/>
      <c r="C244" s="64" t="s">
        <v>33</v>
      </c>
      <c r="D244" s="65"/>
      <c r="E244" s="36"/>
      <c r="F244" s="95"/>
      <c r="G244" s="36"/>
      <c r="H244" s="36"/>
      <c r="I244" s="97"/>
      <c r="J244" s="36"/>
      <c r="K244" s="98">
        <f>SUM(K240:K243)</f>
        <v>246862</v>
      </c>
      <c r="L244" s="98">
        <f>SUM(L240:L243)</f>
        <v>67797937</v>
      </c>
    </row>
    <row r="245" spans="1:12" ht="10.15" customHeight="1" x14ac:dyDescent="0.2">
      <c r="A245" s="65"/>
      <c r="B245" s="65"/>
      <c r="C245" s="23"/>
      <c r="D245" s="23"/>
      <c r="E245" s="26"/>
      <c r="F245" s="95"/>
      <c r="G245" s="26"/>
      <c r="H245" s="26"/>
      <c r="I245" s="99"/>
      <c r="J245" s="26"/>
      <c r="K245" s="100"/>
      <c r="L245" s="100"/>
    </row>
    <row r="246" spans="1:12" ht="10.15" customHeight="1" x14ac:dyDescent="0.2">
      <c r="A246" s="121"/>
      <c r="B246" s="121"/>
      <c r="C246" s="129" t="s">
        <v>90</v>
      </c>
      <c r="D246" s="121"/>
      <c r="E246" s="123"/>
      <c r="F246" s="124"/>
      <c r="G246" s="123"/>
      <c r="H246" s="123"/>
      <c r="I246" s="130"/>
      <c r="J246" s="131">
        <f>ROUND(L244/K244,2)</f>
        <v>274.64</v>
      </c>
      <c r="K246" s="127"/>
      <c r="L246" s="127"/>
    </row>
    <row r="247" spans="1:12" ht="10.15" customHeight="1" x14ac:dyDescent="0.2">
      <c r="A247" s="65"/>
      <c r="B247" s="65"/>
      <c r="C247" s="23"/>
      <c r="D247" s="23"/>
      <c r="E247" s="26"/>
      <c r="F247" s="95"/>
      <c r="G247" s="26"/>
      <c r="H247" s="26"/>
      <c r="I247" s="99"/>
      <c r="J247" s="26"/>
      <c r="K247" s="100"/>
      <c r="L247" s="100"/>
    </row>
    <row r="248" spans="1:12" ht="10.15" customHeight="1" x14ac:dyDescent="0.2">
      <c r="A248" s="71" t="s">
        <v>91</v>
      </c>
      <c r="B248" s="65"/>
      <c r="C248" s="23"/>
      <c r="D248" s="23"/>
      <c r="E248" s="26"/>
      <c r="F248" s="95"/>
      <c r="G248" s="26"/>
      <c r="H248" s="26"/>
      <c r="I248" s="99"/>
      <c r="J248" s="26"/>
      <c r="K248" s="100"/>
      <c r="L248" s="100"/>
    </row>
    <row r="249" spans="1:12" ht="10.15" customHeight="1" x14ac:dyDescent="0.2">
      <c r="A249" s="64" t="s">
        <v>23</v>
      </c>
      <c r="B249" s="64">
        <v>603</v>
      </c>
      <c r="C249" s="72" t="s">
        <v>92</v>
      </c>
      <c r="D249" s="23"/>
      <c r="E249" s="73">
        <v>54.42</v>
      </c>
      <c r="F249" s="95" t="s">
        <v>212</v>
      </c>
      <c r="G249" s="26"/>
      <c r="H249" s="26"/>
      <c r="I249" s="99"/>
      <c r="J249" s="26"/>
      <c r="K249" s="100"/>
      <c r="L249" s="100"/>
    </row>
    <row r="250" spans="1:12" ht="10.15" customHeight="1" x14ac:dyDescent="0.2">
      <c r="A250" s="64" t="s">
        <v>19</v>
      </c>
      <c r="B250" s="64">
        <v>286</v>
      </c>
      <c r="C250" s="72" t="s">
        <v>213</v>
      </c>
      <c r="D250" s="23"/>
      <c r="E250" s="73">
        <f>ROUND(10568442/102941,2)</f>
        <v>102.67</v>
      </c>
      <c r="F250" s="95" t="s">
        <v>164</v>
      </c>
      <c r="G250" s="26"/>
      <c r="H250" s="26"/>
      <c r="I250" s="99"/>
      <c r="J250" s="26"/>
      <c r="K250" s="100"/>
      <c r="L250" s="100"/>
    </row>
    <row r="251" spans="1:12" ht="10.15" customHeight="1" x14ac:dyDescent="0.2">
      <c r="A251" s="64" t="s">
        <v>20</v>
      </c>
      <c r="B251" s="64">
        <v>442</v>
      </c>
      <c r="C251" s="72" t="s">
        <v>214</v>
      </c>
      <c r="D251" s="23"/>
      <c r="E251" s="73">
        <f>ROUND(8091487/89204,2)</f>
        <v>90.71</v>
      </c>
      <c r="F251" s="95" t="s">
        <v>215</v>
      </c>
      <c r="G251" s="26"/>
      <c r="H251" s="26"/>
      <c r="I251" s="99"/>
      <c r="J251" s="26"/>
      <c r="K251" s="100"/>
      <c r="L251" s="100"/>
    </row>
    <row r="252" spans="1:12" ht="10.15" customHeight="1" x14ac:dyDescent="0.2">
      <c r="A252" s="64" t="s">
        <v>21</v>
      </c>
      <c r="B252" s="64">
        <v>955</v>
      </c>
      <c r="C252" s="72" t="s">
        <v>92</v>
      </c>
      <c r="D252" s="23"/>
      <c r="E252" s="73">
        <f>ROUND(7689800/100078,2)</f>
        <v>76.84</v>
      </c>
      <c r="F252" s="95" t="s">
        <v>93</v>
      </c>
      <c r="G252" s="75"/>
      <c r="H252" s="75"/>
      <c r="I252" s="132"/>
      <c r="J252" s="73"/>
      <c r="K252" s="77"/>
      <c r="L252" s="77"/>
    </row>
    <row r="253" spans="1:12" ht="10.15" customHeight="1" x14ac:dyDescent="0.2">
      <c r="A253" s="64" t="s">
        <v>17</v>
      </c>
      <c r="B253" s="64">
        <v>535</v>
      </c>
      <c r="C253" s="72" t="s">
        <v>94</v>
      </c>
      <c r="D253" s="23"/>
      <c r="E253" s="73">
        <f>ROUND(7858000/90382,2)</f>
        <v>86.94</v>
      </c>
      <c r="F253" s="95" t="s">
        <v>36</v>
      </c>
      <c r="G253" s="75"/>
      <c r="H253" s="75"/>
      <c r="I253" s="132"/>
      <c r="J253" s="73"/>
      <c r="K253" s="77"/>
      <c r="L253" s="77"/>
    </row>
    <row r="254" spans="1:12" ht="10.15" customHeight="1" x14ac:dyDescent="0.2">
      <c r="A254" s="64" t="s">
        <v>22</v>
      </c>
      <c r="B254" s="78">
        <v>892</v>
      </c>
      <c r="C254" s="79" t="s">
        <v>95</v>
      </c>
      <c r="D254" s="80"/>
      <c r="E254" s="81">
        <f>ROUND(1173700/12861,2)</f>
        <v>91.26</v>
      </c>
      <c r="F254" s="95" t="s">
        <v>57</v>
      </c>
      <c r="G254" s="83"/>
      <c r="H254" s="75"/>
      <c r="I254" s="133"/>
      <c r="J254" s="81"/>
      <c r="K254" s="85"/>
      <c r="L254" s="85"/>
    </row>
    <row r="255" spans="1:12" ht="10.15" customHeight="1" x14ac:dyDescent="0.2">
      <c r="A255" s="64" t="s">
        <v>19</v>
      </c>
      <c r="B255" s="78">
        <v>253</v>
      </c>
      <c r="C255" s="79" t="s">
        <v>96</v>
      </c>
      <c r="D255" s="80"/>
      <c r="E255" s="81">
        <f>ROUND(378999/2800,2)</f>
        <v>135.36000000000001</v>
      </c>
      <c r="F255" s="95" t="s">
        <v>39</v>
      </c>
      <c r="G255" s="83">
        <v>3109.43</v>
      </c>
      <c r="H255" s="90">
        <v>8761.25</v>
      </c>
      <c r="I255" s="133">
        <f t="shared" ref="I255:I261" si="33">ROUND(H255/G255,5)</f>
        <v>2.8176399999999999</v>
      </c>
      <c r="J255" s="81">
        <f t="shared" ref="J255:J261" si="34">ROUND(E255*I255,2)</f>
        <v>381.4</v>
      </c>
      <c r="K255" s="85">
        <v>2800</v>
      </c>
      <c r="L255" s="85">
        <f>ROUND(J255*K255,0)</f>
        <v>1067920</v>
      </c>
    </row>
    <row r="256" spans="1:12" ht="10.15" customHeight="1" x14ac:dyDescent="0.2">
      <c r="A256" s="64" t="s">
        <v>23</v>
      </c>
      <c r="B256" s="64">
        <v>650</v>
      </c>
      <c r="C256" s="72" t="s">
        <v>417</v>
      </c>
      <c r="D256" s="23"/>
      <c r="E256" s="73">
        <f>6562325/59088</f>
        <v>111.06019834822638</v>
      </c>
      <c r="F256" s="118">
        <v>36557</v>
      </c>
      <c r="G256" s="75">
        <v>3523</v>
      </c>
      <c r="H256" s="90">
        <v>8761.25</v>
      </c>
      <c r="I256" s="132">
        <f t="shared" si="33"/>
        <v>2.4868700000000001</v>
      </c>
      <c r="J256" s="73">
        <f t="shared" si="34"/>
        <v>276.19</v>
      </c>
      <c r="K256" s="77">
        <v>59088</v>
      </c>
      <c r="L256" s="77">
        <f>ROUND(J256*K256,0)</f>
        <v>16319515</v>
      </c>
    </row>
    <row r="257" spans="1:14" ht="10.15" customHeight="1" x14ac:dyDescent="0.2">
      <c r="A257" s="64" t="s">
        <v>20</v>
      </c>
      <c r="B257" s="64">
        <v>440</v>
      </c>
      <c r="C257" s="87" t="s">
        <v>428</v>
      </c>
      <c r="D257" s="23"/>
      <c r="E257" s="73">
        <f>10771389/80794</f>
        <v>133.31916974032725</v>
      </c>
      <c r="F257" s="118">
        <v>36770</v>
      </c>
      <c r="G257" s="75">
        <v>3539</v>
      </c>
      <c r="H257" s="90">
        <v>8761.25</v>
      </c>
      <c r="I257" s="132">
        <f t="shared" si="33"/>
        <v>2.4756300000000002</v>
      </c>
      <c r="J257" s="73">
        <f t="shared" si="34"/>
        <v>330.05</v>
      </c>
      <c r="K257" s="77">
        <v>80794</v>
      </c>
      <c r="L257" s="77">
        <f>ROUND(J257*K257,0)</f>
        <v>26666060</v>
      </c>
    </row>
    <row r="258" spans="1:14" ht="10.15" customHeight="1" x14ac:dyDescent="0.2">
      <c r="A258" s="64" t="s">
        <v>126</v>
      </c>
      <c r="B258" s="64">
        <v>1021</v>
      </c>
      <c r="C258" s="87" t="s">
        <v>445</v>
      </c>
      <c r="D258" s="23"/>
      <c r="E258" s="73">
        <f>11405229/77615</f>
        <v>146.94619596727438</v>
      </c>
      <c r="F258" s="118">
        <v>37135</v>
      </c>
      <c r="G258" s="75">
        <v>3655</v>
      </c>
      <c r="H258" s="90">
        <v>8761.25</v>
      </c>
      <c r="I258" s="132">
        <f t="shared" si="33"/>
        <v>2.3970600000000002</v>
      </c>
      <c r="J258" s="73">
        <f t="shared" si="34"/>
        <v>352.24</v>
      </c>
      <c r="K258" s="77">
        <v>77615</v>
      </c>
      <c r="L258" s="77">
        <f t="shared" ref="L258:L266" si="35">ROUND(J258*K258,0)</f>
        <v>27339108</v>
      </c>
    </row>
    <row r="259" spans="1:14" ht="10.15" customHeight="1" x14ac:dyDescent="0.2">
      <c r="A259" s="64" t="s">
        <v>22</v>
      </c>
      <c r="B259" s="64">
        <v>873</v>
      </c>
      <c r="C259" s="87" t="s">
        <v>475</v>
      </c>
      <c r="D259" s="23"/>
      <c r="E259" s="73">
        <f>5970314/50017</f>
        <v>119.36569566347441</v>
      </c>
      <c r="F259" s="118">
        <v>37819</v>
      </c>
      <c r="G259" s="75">
        <v>3683</v>
      </c>
      <c r="H259" s="90">
        <v>8761.25</v>
      </c>
      <c r="I259" s="132">
        <f t="shared" si="33"/>
        <v>2.3788399999999998</v>
      </c>
      <c r="J259" s="73">
        <f t="shared" si="34"/>
        <v>283.95</v>
      </c>
      <c r="K259" s="77">
        <v>50017</v>
      </c>
      <c r="L259" s="77">
        <f t="shared" si="35"/>
        <v>14202327</v>
      </c>
    </row>
    <row r="260" spans="1:14" ht="10.15" customHeight="1" x14ac:dyDescent="0.2">
      <c r="A260" s="64" t="s">
        <v>29</v>
      </c>
      <c r="B260" s="64">
        <v>708</v>
      </c>
      <c r="C260" s="87" t="s">
        <v>478</v>
      </c>
      <c r="D260" s="23"/>
      <c r="E260" s="73">
        <f>12763601/108358</f>
        <v>117.79103527196884</v>
      </c>
      <c r="F260" s="118">
        <v>37841</v>
      </c>
      <c r="G260" s="75">
        <v>3683</v>
      </c>
      <c r="H260" s="90">
        <v>8761.25</v>
      </c>
      <c r="I260" s="132">
        <f t="shared" si="33"/>
        <v>2.3788399999999998</v>
      </c>
      <c r="J260" s="73">
        <f t="shared" si="34"/>
        <v>280.20999999999998</v>
      </c>
      <c r="K260" s="77">
        <v>108358</v>
      </c>
      <c r="L260" s="77">
        <f t="shared" si="35"/>
        <v>30362995</v>
      </c>
    </row>
    <row r="261" spans="1:14" ht="10.15" customHeight="1" x14ac:dyDescent="0.2">
      <c r="A261" s="64" t="s">
        <v>18</v>
      </c>
      <c r="B261" s="64">
        <v>304</v>
      </c>
      <c r="C261" s="91" t="s">
        <v>551</v>
      </c>
      <c r="D261" s="23"/>
      <c r="E261" s="73">
        <v>247.28850325379611</v>
      </c>
      <c r="F261" s="118">
        <v>39295</v>
      </c>
      <c r="G261" s="75">
        <v>4512</v>
      </c>
      <c r="H261" s="90">
        <v>8761.25</v>
      </c>
      <c r="I261" s="132">
        <f t="shared" si="33"/>
        <v>1.94177</v>
      </c>
      <c r="J261" s="73">
        <f t="shared" si="34"/>
        <v>480.18</v>
      </c>
      <c r="K261" s="77">
        <v>138000</v>
      </c>
      <c r="L261" s="77">
        <f t="shared" si="35"/>
        <v>66264840</v>
      </c>
    </row>
    <row r="262" spans="1:14" s="17" customFormat="1" ht="10.15" customHeight="1" x14ac:dyDescent="0.2">
      <c r="A262" s="64" t="s">
        <v>23</v>
      </c>
      <c r="B262" s="64">
        <v>668</v>
      </c>
      <c r="C262" s="91" t="s">
        <v>474</v>
      </c>
      <c r="D262" s="23"/>
      <c r="E262" s="73">
        <f>8173658/39026</f>
        <v>209.44134679444474</v>
      </c>
      <c r="F262" s="118">
        <v>39448</v>
      </c>
      <c r="G262" s="75">
        <v>4557</v>
      </c>
      <c r="H262" s="90">
        <v>8761.25</v>
      </c>
      <c r="I262" s="132">
        <f>ROUND(H262/G262,5)</f>
        <v>1.92259</v>
      </c>
      <c r="J262" s="73">
        <f>ROUND(E262*I262,2)</f>
        <v>402.67</v>
      </c>
      <c r="K262" s="77">
        <v>39026</v>
      </c>
      <c r="L262" s="77">
        <f t="shared" si="35"/>
        <v>15714599</v>
      </c>
      <c r="M262"/>
      <c r="N262"/>
    </row>
    <row r="263" spans="1:14" s="15" customFormat="1" ht="10.15" customHeight="1" x14ac:dyDescent="0.2">
      <c r="A263" s="64" t="s">
        <v>19</v>
      </c>
      <c r="B263" s="64"/>
      <c r="C263" s="91" t="s">
        <v>598</v>
      </c>
      <c r="D263" s="23"/>
      <c r="E263" s="73">
        <f>3096011/45440</f>
        <v>68.134044894366198</v>
      </c>
      <c r="F263" s="118">
        <v>40238</v>
      </c>
      <c r="G263" s="75">
        <v>4811</v>
      </c>
      <c r="H263" s="90">
        <v>8761.25</v>
      </c>
      <c r="I263" s="132">
        <f>ROUND(H263/G263,5)</f>
        <v>1.8210900000000001</v>
      </c>
      <c r="J263" s="73">
        <f>ROUND(E263*I263,2)</f>
        <v>124.08</v>
      </c>
      <c r="K263" s="77">
        <v>45440</v>
      </c>
      <c r="L263" s="77">
        <f t="shared" si="35"/>
        <v>5638195</v>
      </c>
      <c r="M263"/>
      <c r="N263"/>
    </row>
    <row r="264" spans="1:14" ht="10.15" customHeight="1" x14ac:dyDescent="0.2">
      <c r="A264" s="64" t="s">
        <v>22</v>
      </c>
      <c r="B264" s="64"/>
      <c r="C264" s="91" t="s">
        <v>614</v>
      </c>
      <c r="D264" s="23"/>
      <c r="E264" s="73">
        <f>5085920/12021</f>
        <v>423.08626570168872</v>
      </c>
      <c r="F264" s="118">
        <v>40603</v>
      </c>
      <c r="G264" s="75">
        <v>5010</v>
      </c>
      <c r="H264" s="90">
        <v>8761.25</v>
      </c>
      <c r="I264" s="132">
        <f>ROUND(H264/G264,5)</f>
        <v>1.74875</v>
      </c>
      <c r="J264" s="73">
        <f>ROUND(E264*I264,2)</f>
        <v>739.87</v>
      </c>
      <c r="K264" s="77">
        <v>12021</v>
      </c>
      <c r="L264" s="77">
        <f t="shared" si="35"/>
        <v>8893977</v>
      </c>
      <c r="M264" s="15"/>
      <c r="N264" s="15"/>
    </row>
    <row r="265" spans="1:14" s="19" customFormat="1" ht="10.15" customHeight="1" x14ac:dyDescent="0.2">
      <c r="A265" s="102" t="s">
        <v>22</v>
      </c>
      <c r="B265" s="102"/>
      <c r="C265" s="134" t="s">
        <v>668</v>
      </c>
      <c r="D265" s="104"/>
      <c r="E265" s="105">
        <f>COSTBASE!F2198/COSTBASE!G2198</f>
        <v>325.53132592568596</v>
      </c>
      <c r="F265" s="135">
        <v>43041</v>
      </c>
      <c r="G265" s="107">
        <v>5902</v>
      </c>
      <c r="H265" s="90">
        <v>8761.25</v>
      </c>
      <c r="I265" s="136">
        <f>ROUND(H265/G265,5)</f>
        <v>1.48445</v>
      </c>
      <c r="J265" s="105">
        <f>ROUND(E265*I265,2)</f>
        <v>483.23</v>
      </c>
      <c r="K265" s="110">
        <v>61738</v>
      </c>
      <c r="L265" s="110">
        <f t="shared" si="35"/>
        <v>29833654</v>
      </c>
      <c r="M265" s="18"/>
      <c r="N265" s="18"/>
    </row>
    <row r="266" spans="1:14" s="19" customFormat="1" ht="10.15" customHeight="1" x14ac:dyDescent="0.2">
      <c r="A266" s="64" t="s">
        <v>29</v>
      </c>
      <c r="B266" s="64"/>
      <c r="C266" s="91" t="s">
        <v>682</v>
      </c>
      <c r="D266" s="23"/>
      <c r="E266" s="73">
        <v>189.74</v>
      </c>
      <c r="F266" s="118">
        <v>43191</v>
      </c>
      <c r="G266" s="75">
        <v>5954</v>
      </c>
      <c r="H266" s="90">
        <v>8761.25</v>
      </c>
      <c r="I266" s="132">
        <f>ROUND(H266/G266,5)</f>
        <v>1.47149</v>
      </c>
      <c r="J266" s="73">
        <f>ROUND(E266*I266,2)</f>
        <v>279.2</v>
      </c>
      <c r="K266" s="77">
        <v>34353</v>
      </c>
      <c r="L266" s="77">
        <f t="shared" si="35"/>
        <v>9591358</v>
      </c>
      <c r="M266" s="18"/>
      <c r="N266" s="18"/>
    </row>
    <row r="267" spans="1:14" ht="10.15" customHeight="1" x14ac:dyDescent="0.2">
      <c r="A267" s="65"/>
      <c r="B267" s="65"/>
      <c r="C267" s="64" t="s">
        <v>33</v>
      </c>
      <c r="D267" s="65"/>
      <c r="E267" s="65"/>
      <c r="F267" s="95"/>
      <c r="G267" s="65"/>
      <c r="H267" s="65"/>
      <c r="I267" s="65"/>
      <c r="J267" s="65"/>
      <c r="K267" s="98">
        <f>SUM(K252:K266)</f>
        <v>709250</v>
      </c>
      <c r="L267" s="98">
        <f>SUM(L252:L266)</f>
        <v>251894548</v>
      </c>
    </row>
    <row r="268" spans="1:14" ht="10.15" customHeight="1" x14ac:dyDescent="0.2">
      <c r="A268" s="65"/>
      <c r="B268" s="65"/>
      <c r="C268" s="23"/>
      <c r="D268" s="23"/>
      <c r="E268" s="23"/>
      <c r="F268" s="95"/>
      <c r="G268" s="23"/>
      <c r="H268" s="23"/>
      <c r="I268" s="23"/>
      <c r="J268" s="23"/>
      <c r="K268" s="23"/>
      <c r="L268" s="23"/>
    </row>
    <row r="269" spans="1:14" ht="10.15" customHeight="1" x14ac:dyDescent="0.2">
      <c r="A269" s="65"/>
      <c r="B269" s="65"/>
      <c r="C269" s="70" t="s">
        <v>97</v>
      </c>
      <c r="D269" s="65"/>
      <c r="E269" s="36"/>
      <c r="F269" s="95"/>
      <c r="G269" s="36"/>
      <c r="H269" s="36"/>
      <c r="I269" s="97"/>
      <c r="J269" s="101">
        <f>ROUND(L267/K267,2)</f>
        <v>355.16</v>
      </c>
      <c r="K269" s="112"/>
      <c r="L269" s="100"/>
    </row>
    <row r="270" spans="1:14" ht="10.15" customHeight="1" x14ac:dyDescent="0.2">
      <c r="A270" s="65"/>
      <c r="B270" s="65"/>
      <c r="C270" s="23"/>
      <c r="D270" s="23"/>
      <c r="E270" s="26"/>
      <c r="F270" s="95"/>
      <c r="G270" s="26"/>
      <c r="H270" s="26"/>
      <c r="I270" s="99"/>
      <c r="J270" s="26"/>
      <c r="K270" s="100"/>
      <c r="L270" s="100"/>
    </row>
    <row r="271" spans="1:14" ht="10.15" customHeight="1" x14ac:dyDescent="0.2">
      <c r="A271" s="71" t="s">
        <v>98</v>
      </c>
      <c r="B271" s="65"/>
      <c r="C271" s="23"/>
      <c r="D271" s="23"/>
      <c r="E271" s="26"/>
      <c r="F271" s="95"/>
      <c r="G271" s="26"/>
      <c r="H271" s="26"/>
      <c r="I271" s="99"/>
      <c r="J271" s="26"/>
      <c r="K271" s="100"/>
      <c r="L271" s="100"/>
    </row>
    <row r="272" spans="1:14" ht="10.15" customHeight="1" x14ac:dyDescent="0.2">
      <c r="A272" s="64" t="s">
        <v>19</v>
      </c>
      <c r="B272" s="64">
        <v>211</v>
      </c>
      <c r="C272" s="72" t="s">
        <v>216</v>
      </c>
      <c r="D272" s="23"/>
      <c r="E272" s="73">
        <v>39.06</v>
      </c>
      <c r="F272" s="95" t="s">
        <v>200</v>
      </c>
      <c r="G272" s="26"/>
      <c r="H272" s="26"/>
      <c r="I272" s="99"/>
      <c r="J272" s="26"/>
      <c r="K272" s="100"/>
      <c r="L272" s="100"/>
    </row>
    <row r="273" spans="1:14" ht="10.15" customHeight="1" x14ac:dyDescent="0.2">
      <c r="A273" s="64" t="s">
        <v>22</v>
      </c>
      <c r="B273" s="64" t="s">
        <v>217</v>
      </c>
      <c r="C273" s="72" t="s">
        <v>218</v>
      </c>
      <c r="D273" s="23"/>
      <c r="E273" s="73">
        <v>57.66</v>
      </c>
      <c r="F273" s="95" t="s">
        <v>219</v>
      </c>
      <c r="G273" s="26"/>
      <c r="H273" s="26"/>
      <c r="I273" s="99"/>
      <c r="J273" s="26"/>
      <c r="K273" s="100"/>
      <c r="L273" s="100"/>
    </row>
    <row r="274" spans="1:14" ht="10.15" customHeight="1" x14ac:dyDescent="0.2">
      <c r="A274" s="64" t="s">
        <v>22</v>
      </c>
      <c r="B274" s="64">
        <v>834</v>
      </c>
      <c r="C274" s="72" t="s">
        <v>193</v>
      </c>
      <c r="D274" s="23"/>
      <c r="E274" s="73">
        <v>64.28</v>
      </c>
      <c r="F274" s="95" t="s">
        <v>168</v>
      </c>
      <c r="G274" s="26"/>
      <c r="H274" s="26"/>
      <c r="I274" s="99"/>
      <c r="J274" s="26"/>
      <c r="K274" s="100"/>
      <c r="L274" s="100"/>
    </row>
    <row r="275" spans="1:14" ht="10.15" customHeight="1" x14ac:dyDescent="0.2">
      <c r="A275" s="64" t="s">
        <v>20</v>
      </c>
      <c r="B275" s="64">
        <v>476</v>
      </c>
      <c r="C275" s="72" t="s">
        <v>220</v>
      </c>
      <c r="D275" s="23"/>
      <c r="E275" s="73">
        <f>ROUND(1907500/55865,2)</f>
        <v>34.14</v>
      </c>
      <c r="F275" s="95" t="s">
        <v>186</v>
      </c>
      <c r="G275" s="26"/>
      <c r="H275" s="26"/>
      <c r="I275" s="99"/>
      <c r="J275" s="26"/>
      <c r="K275" s="100"/>
      <c r="L275" s="100"/>
    </row>
    <row r="276" spans="1:14" ht="10.15" customHeight="1" x14ac:dyDescent="0.2">
      <c r="A276" s="64" t="s">
        <v>24</v>
      </c>
      <c r="B276" s="64">
        <v>146</v>
      </c>
      <c r="C276" s="72" t="s">
        <v>221</v>
      </c>
      <c r="D276" s="23"/>
      <c r="E276" s="73">
        <f>ROUND(888350/10830,2)</f>
        <v>82.03</v>
      </c>
      <c r="F276" s="95" t="s">
        <v>36</v>
      </c>
      <c r="G276" s="26"/>
      <c r="H276" s="26"/>
      <c r="I276" s="99"/>
      <c r="J276" s="26"/>
      <c r="K276" s="100"/>
      <c r="L276" s="100"/>
    </row>
    <row r="277" spans="1:14" ht="10.15" customHeight="1" x14ac:dyDescent="0.2">
      <c r="A277" s="64" t="s">
        <v>18</v>
      </c>
      <c r="B277" s="78">
        <v>380</v>
      </c>
      <c r="C277" s="79" t="s">
        <v>222</v>
      </c>
      <c r="D277" s="80"/>
      <c r="E277" s="81">
        <f>ROUND(6966764/79709,2)</f>
        <v>87.4</v>
      </c>
      <c r="F277" s="95" t="s">
        <v>223</v>
      </c>
      <c r="G277" s="26"/>
      <c r="H277" s="26"/>
      <c r="I277" s="99"/>
      <c r="J277" s="26"/>
      <c r="K277" s="100"/>
      <c r="L277" s="100"/>
    </row>
    <row r="278" spans="1:14" ht="10.15" customHeight="1" x14ac:dyDescent="0.2">
      <c r="A278" s="64" t="s">
        <v>21</v>
      </c>
      <c r="B278" s="78">
        <v>973</v>
      </c>
      <c r="C278" s="79" t="s">
        <v>99</v>
      </c>
      <c r="D278" s="80"/>
      <c r="E278" s="81">
        <f>ROUND(2000000/34523,2)</f>
        <v>57.93</v>
      </c>
      <c r="F278" s="95" t="s">
        <v>100</v>
      </c>
      <c r="G278" s="83"/>
      <c r="H278" s="75"/>
      <c r="I278" s="84"/>
      <c r="J278" s="81"/>
      <c r="K278" s="85"/>
      <c r="L278" s="85"/>
    </row>
    <row r="279" spans="1:14" ht="10.15" customHeight="1" x14ac:dyDescent="0.2">
      <c r="A279" s="64" t="s">
        <v>29</v>
      </c>
      <c r="B279" s="78">
        <v>796</v>
      </c>
      <c r="C279" s="79" t="s">
        <v>101</v>
      </c>
      <c r="D279" s="80"/>
      <c r="E279" s="81">
        <f>ROUND(4924008/52891,2)</f>
        <v>93.1</v>
      </c>
      <c r="F279" s="95" t="s">
        <v>66</v>
      </c>
      <c r="G279" s="83"/>
      <c r="H279" s="75"/>
      <c r="I279" s="84"/>
      <c r="J279" s="81"/>
      <c r="K279" s="85"/>
      <c r="L279" s="85"/>
    </row>
    <row r="280" spans="1:14" ht="10.15" customHeight="1" x14ac:dyDescent="0.2">
      <c r="A280" s="64" t="s">
        <v>20</v>
      </c>
      <c r="B280" s="78">
        <v>407</v>
      </c>
      <c r="C280" s="79" t="s">
        <v>102</v>
      </c>
      <c r="D280" s="80"/>
      <c r="E280" s="81">
        <f>ROUND(473555/12175,2)</f>
        <v>38.9</v>
      </c>
      <c r="F280" s="137" t="s">
        <v>103</v>
      </c>
      <c r="G280" s="83"/>
      <c r="H280" s="75"/>
      <c r="I280" s="84"/>
      <c r="J280" s="81"/>
      <c r="K280" s="85"/>
      <c r="L280" s="85"/>
    </row>
    <row r="281" spans="1:14" ht="10.15" customHeight="1" x14ac:dyDescent="0.2">
      <c r="A281" s="64" t="s">
        <v>20</v>
      </c>
      <c r="B281" s="78">
        <v>405</v>
      </c>
      <c r="C281" s="79" t="s">
        <v>69</v>
      </c>
      <c r="D281" s="80"/>
      <c r="E281" s="81">
        <v>112.09</v>
      </c>
      <c r="F281" s="137" t="s">
        <v>70</v>
      </c>
      <c r="G281" s="83"/>
      <c r="H281" s="75"/>
      <c r="I281" s="84"/>
      <c r="J281" s="81"/>
      <c r="K281" s="85"/>
      <c r="L281" s="85"/>
    </row>
    <row r="282" spans="1:14" ht="10.15" customHeight="1" x14ac:dyDescent="0.2">
      <c r="A282" s="64" t="s">
        <v>22</v>
      </c>
      <c r="B282" s="64">
        <v>804</v>
      </c>
      <c r="C282" s="72" t="s">
        <v>104</v>
      </c>
      <c r="D282" s="23"/>
      <c r="E282" s="73">
        <v>80.849999999999994</v>
      </c>
      <c r="F282" s="86">
        <v>35674</v>
      </c>
      <c r="G282" s="75"/>
      <c r="H282" s="75"/>
      <c r="I282" s="76"/>
      <c r="J282" s="73"/>
      <c r="K282" s="77"/>
      <c r="L282" s="77"/>
    </row>
    <row r="283" spans="1:14" ht="10.15" customHeight="1" x14ac:dyDescent="0.2">
      <c r="A283" s="64" t="s">
        <v>19</v>
      </c>
      <c r="B283" s="64">
        <v>288</v>
      </c>
      <c r="C283" s="87" t="s">
        <v>533</v>
      </c>
      <c r="D283" s="23"/>
      <c r="E283" s="73">
        <f>6606630/18195</f>
        <v>363.10140148392418</v>
      </c>
      <c r="F283" s="86">
        <v>38718</v>
      </c>
      <c r="G283" s="75">
        <v>4335</v>
      </c>
      <c r="H283" s="90">
        <v>8761.25</v>
      </c>
      <c r="I283" s="76">
        <f>ROUND(H283/G283,5)</f>
        <v>2.0210499999999998</v>
      </c>
      <c r="J283" s="73">
        <f>ROUND(E283*I283,2)</f>
        <v>733.85</v>
      </c>
      <c r="K283" s="77">
        <v>18195</v>
      </c>
      <c r="L283" s="77">
        <f>ROUND(J283*K283,0)</f>
        <v>13352401</v>
      </c>
    </row>
    <row r="284" spans="1:14" ht="10.15" customHeight="1" x14ac:dyDescent="0.2">
      <c r="A284" s="64" t="s">
        <v>23</v>
      </c>
      <c r="B284" s="64">
        <v>669</v>
      </c>
      <c r="C284" s="91" t="s">
        <v>535</v>
      </c>
      <c r="D284" s="23"/>
      <c r="E284" s="73">
        <f>5846056/30630</f>
        <v>190.86046359777995</v>
      </c>
      <c r="F284" s="86">
        <v>38991</v>
      </c>
      <c r="G284" s="75">
        <v>4431</v>
      </c>
      <c r="H284" s="90">
        <v>8761.25</v>
      </c>
      <c r="I284" s="76">
        <f>ROUND(H284/G284,5)</f>
        <v>1.97726</v>
      </c>
      <c r="J284" s="73">
        <f>ROUND(E284*I284,2)</f>
        <v>377.38</v>
      </c>
      <c r="K284" s="77">
        <v>30630</v>
      </c>
      <c r="L284" s="77">
        <f>ROUND(J284*K284,0)</f>
        <v>11559149</v>
      </c>
    </row>
    <row r="285" spans="1:14" s="15" customFormat="1" ht="10.15" customHeight="1" x14ac:dyDescent="0.2">
      <c r="A285" s="64" t="s">
        <v>23</v>
      </c>
      <c r="B285" s="64">
        <v>668</v>
      </c>
      <c r="C285" s="91" t="s">
        <v>474</v>
      </c>
      <c r="D285" s="23"/>
      <c r="E285" s="73">
        <f>8173658/39026</f>
        <v>209.44134679444474</v>
      </c>
      <c r="F285" s="118">
        <v>39448</v>
      </c>
      <c r="G285" s="75">
        <v>4557</v>
      </c>
      <c r="H285" s="90">
        <v>8761.25</v>
      </c>
      <c r="I285" s="132">
        <f>ROUND(H285/G285,5)</f>
        <v>1.92259</v>
      </c>
      <c r="J285" s="73">
        <f>ROUND(E285*I285,2)</f>
        <v>402.67</v>
      </c>
      <c r="K285" s="77">
        <v>39026</v>
      </c>
      <c r="L285" s="77">
        <f>ROUND(J285*K285,0)</f>
        <v>15714599</v>
      </c>
      <c r="M285"/>
      <c r="N285"/>
    </row>
    <row r="286" spans="1:14" ht="10.15" customHeight="1" x14ac:dyDescent="0.2">
      <c r="A286" s="64" t="s">
        <v>19</v>
      </c>
      <c r="B286" s="95"/>
      <c r="C286" s="91" t="s">
        <v>618</v>
      </c>
      <c r="D286" s="23"/>
      <c r="E286" s="73">
        <f>48774476/170632</f>
        <v>285.8460077828309</v>
      </c>
      <c r="F286" s="92">
        <v>40299</v>
      </c>
      <c r="G286" s="75">
        <v>4858</v>
      </c>
      <c r="H286" s="90">
        <v>8761.25</v>
      </c>
      <c r="I286" s="76">
        <f>ROUND(H286/G286,5)</f>
        <v>1.8034699999999999</v>
      </c>
      <c r="J286" s="73">
        <f>ROUND(E286*I286,2)</f>
        <v>515.51</v>
      </c>
      <c r="K286" s="88">
        <v>170632</v>
      </c>
      <c r="L286" s="77">
        <f>ROUND(J286*K286,0)</f>
        <v>87962502</v>
      </c>
      <c r="N286" s="15"/>
    </row>
    <row r="287" spans="1:14" ht="10.15" customHeight="1" x14ac:dyDescent="0.2">
      <c r="A287" s="23"/>
      <c r="B287" s="23"/>
      <c r="C287" s="64" t="s">
        <v>33</v>
      </c>
      <c r="D287" s="65"/>
      <c r="E287" s="36"/>
      <c r="F287" s="65"/>
      <c r="G287" s="36"/>
      <c r="H287" s="36"/>
      <c r="I287" s="65"/>
      <c r="J287" s="36"/>
      <c r="K287" s="98">
        <f>SUM(K272:K286)</f>
        <v>258483</v>
      </c>
      <c r="L287" s="98">
        <f>SUM(L271:L286)</f>
        <v>128588651</v>
      </c>
    </row>
    <row r="288" spans="1:14" ht="10.15" customHeight="1" x14ac:dyDescent="0.2">
      <c r="A288" s="23"/>
      <c r="B288" s="23"/>
      <c r="C288" s="23"/>
      <c r="D288" s="23"/>
      <c r="E288" s="26"/>
      <c r="F288" s="23"/>
      <c r="G288" s="26"/>
      <c r="H288" s="26"/>
      <c r="I288" s="23"/>
      <c r="J288" s="26"/>
      <c r="K288" s="100"/>
      <c r="L288" s="100"/>
    </row>
    <row r="289" spans="1:12" ht="10.15" customHeight="1" x14ac:dyDescent="0.2">
      <c r="A289" s="23"/>
      <c r="B289" s="23"/>
      <c r="C289" s="70" t="s">
        <v>105</v>
      </c>
      <c r="D289" s="65"/>
      <c r="E289" s="36"/>
      <c r="F289" s="65"/>
      <c r="G289" s="36"/>
      <c r="H289" s="36"/>
      <c r="I289" s="65"/>
      <c r="J289" s="101">
        <f>ROUND(L287/K287,2)</f>
        <v>497.47</v>
      </c>
      <c r="K289" s="100"/>
      <c r="L289" s="100"/>
    </row>
    <row r="290" spans="1:12" ht="10.15" customHeight="1" x14ac:dyDescent="0.2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1:12" ht="10.15" customHeight="1" x14ac:dyDescent="0.2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1:12" ht="10.15" customHeight="1" x14ac:dyDescent="0.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1:12" ht="10.15" customHeight="1" x14ac:dyDescent="0.2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1:12" ht="10.15" customHeight="1" x14ac:dyDescent="0.2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1:12" ht="10.15" customHeight="1" x14ac:dyDescent="0.2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</row>
    <row r="296" spans="1:12" ht="10.15" customHeight="1" x14ac:dyDescent="0.2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</row>
    <row r="297" spans="1:12" ht="12.75" customHeight="1" x14ac:dyDescent="0.2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138"/>
      <c r="L297" s="23"/>
    </row>
    <row r="298" spans="1:12" ht="10.15" customHeight="1" x14ac:dyDescent="0.2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1:12" ht="10.15" customHeight="1" x14ac:dyDescent="0.2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1:12" ht="10.15" customHeight="1" x14ac:dyDescent="0.2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</row>
    <row r="301" spans="1:12" ht="10.15" customHeight="1" x14ac:dyDescent="0.2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</row>
    <row r="302" spans="1:12" ht="10.15" customHeight="1" x14ac:dyDescent="0.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</row>
    <row r="303" spans="1:12" ht="10.15" customHeight="1" x14ac:dyDescent="0.2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</row>
    <row r="304" spans="1:12" ht="10.15" customHeight="1" x14ac:dyDescent="0.2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</row>
    <row r="305" spans="1:12" ht="10.15" customHeight="1" x14ac:dyDescent="0.2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</row>
    <row r="306" spans="1:12" ht="10.15" customHeight="1" x14ac:dyDescent="0.2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</row>
    <row r="307" spans="1:12" ht="10.15" customHeight="1" x14ac:dyDescent="0.2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</row>
    <row r="308" spans="1:12" ht="10.15" customHeight="1" x14ac:dyDescent="0.2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</row>
    <row r="309" spans="1:12" ht="10.15" customHeight="1" x14ac:dyDescent="0.2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</row>
    <row r="310" spans="1:12" ht="10.15" customHeight="1" x14ac:dyDescent="0.2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</row>
    <row r="311" spans="1:12" ht="10.15" customHeight="1" x14ac:dyDescent="0.2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</row>
    <row r="312" spans="1:12" ht="10.15" customHeight="1" x14ac:dyDescent="0.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</row>
    <row r="313" spans="1:12" ht="10.15" customHeight="1" x14ac:dyDescent="0.2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</row>
    <row r="314" spans="1:12" ht="10.15" customHeight="1" x14ac:dyDescent="0.2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</row>
    <row r="315" spans="1:12" ht="10.15" customHeight="1" x14ac:dyDescent="0.2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</row>
    <row r="316" spans="1:12" ht="10.15" customHeight="1" x14ac:dyDescent="0.2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</row>
    <row r="317" spans="1:12" ht="10.15" customHeight="1" x14ac:dyDescent="0.2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</row>
    <row r="318" spans="1:12" ht="10.15" customHeight="1" x14ac:dyDescent="0.2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</row>
    <row r="319" spans="1:12" ht="10.15" customHeight="1" x14ac:dyDescent="0.2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</row>
    <row r="320" spans="1:12" ht="10.15" customHeight="1" x14ac:dyDescent="0.2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</row>
    <row r="321" spans="1:12" ht="10.15" customHeight="1" x14ac:dyDescent="0.2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</row>
    <row r="322" spans="1:12" ht="10.15" customHeight="1" x14ac:dyDescent="0.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</row>
    <row r="323" spans="1:12" ht="10.15" customHeight="1" x14ac:dyDescent="0.2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  <row r="324" spans="1:12" ht="10.15" customHeight="1" x14ac:dyDescent="0.2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</row>
    <row r="325" spans="1:12" ht="10.15" customHeight="1" x14ac:dyDescent="0.2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</row>
    <row r="326" spans="1:12" ht="10.15" customHeight="1" x14ac:dyDescent="0.2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</row>
    <row r="327" spans="1:12" ht="10.15" customHeight="1" x14ac:dyDescent="0.2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</row>
    <row r="328" spans="1:12" ht="10.15" customHeight="1" x14ac:dyDescent="0.2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</row>
    <row r="329" spans="1:12" ht="10.15" customHeight="1" x14ac:dyDescent="0.2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</row>
    <row r="330" spans="1:12" ht="10.15" customHeight="1" x14ac:dyDescent="0.2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</row>
    <row r="331" spans="1:12" ht="10.15" customHeight="1" x14ac:dyDescent="0.2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</row>
    <row r="332" spans="1:12" ht="10.15" customHeight="1" x14ac:dyDescent="0.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</row>
    <row r="333" spans="1:12" ht="10.15" customHeight="1" x14ac:dyDescent="0.2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</row>
    <row r="334" spans="1:12" ht="10.15" customHeight="1" x14ac:dyDescent="0.2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</row>
    <row r="335" spans="1:12" ht="10.15" customHeight="1" x14ac:dyDescent="0.2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</row>
    <row r="336" spans="1:12" ht="10.15" customHeight="1" x14ac:dyDescent="0.2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</row>
    <row r="337" spans="1:12" ht="10.15" customHeight="1" x14ac:dyDescent="0.2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</row>
    <row r="338" spans="1:12" ht="10.15" customHeight="1" x14ac:dyDescent="0.2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</row>
    <row r="339" spans="1:12" ht="10.15" customHeight="1" x14ac:dyDescent="0.2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</row>
    <row r="340" spans="1:12" ht="10.15" customHeight="1" x14ac:dyDescent="0.2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</row>
    <row r="341" spans="1:12" ht="10.15" customHeight="1" x14ac:dyDescent="0.2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</row>
    <row r="342" spans="1:12" ht="10.15" customHeight="1" x14ac:dyDescent="0.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</row>
    <row r="343" spans="1:12" ht="10.15" customHeight="1" x14ac:dyDescent="0.2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</row>
    <row r="344" spans="1:12" ht="10.15" customHeight="1" x14ac:dyDescent="0.2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</row>
    <row r="345" spans="1:12" ht="10.15" customHeight="1" x14ac:dyDescent="0.2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</row>
    <row r="346" spans="1:12" ht="10.15" customHeight="1" x14ac:dyDescent="0.2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</row>
    <row r="347" spans="1:12" ht="10.15" customHeight="1" x14ac:dyDescent="0.2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</row>
    <row r="348" spans="1:12" ht="10.15" customHeight="1" x14ac:dyDescent="0.2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</row>
    <row r="349" spans="1:12" ht="10.15" customHeight="1" x14ac:dyDescent="0.2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</row>
    <row r="350" spans="1:12" ht="10.15" customHeight="1" x14ac:dyDescent="0.2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</row>
    <row r="351" spans="1:12" ht="10.15" customHeight="1" x14ac:dyDescent="0.2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</row>
    <row r="352" spans="1:12" ht="10.15" customHeight="1" x14ac:dyDescent="0.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</row>
    <row r="353" spans="1:12" ht="10.15" customHeight="1" x14ac:dyDescent="0.2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</row>
    <row r="354" spans="1:12" ht="10.15" customHeight="1" x14ac:dyDescent="0.2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</row>
    <row r="355" spans="1:12" ht="10.15" customHeight="1" x14ac:dyDescent="0.2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</row>
    <row r="356" spans="1:12" ht="10.15" customHeight="1" x14ac:dyDescent="0.2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</row>
    <row r="357" spans="1:12" ht="10.15" customHeight="1" x14ac:dyDescent="0.2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</row>
    <row r="358" spans="1:12" ht="10.15" customHeight="1" x14ac:dyDescent="0.2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</row>
    <row r="359" spans="1:12" ht="10.15" customHeight="1" x14ac:dyDescent="0.2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</row>
    <row r="360" spans="1:12" ht="10.15" customHeight="1" x14ac:dyDescent="0.2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</row>
    <row r="361" spans="1:12" ht="10.15" customHeight="1" x14ac:dyDescent="0.2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</row>
    <row r="362" spans="1:12" ht="10.15" customHeight="1" x14ac:dyDescent="0.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</row>
    <row r="363" spans="1:12" ht="10.15" customHeight="1" x14ac:dyDescent="0.2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</row>
    <row r="364" spans="1:12" ht="10.15" customHeight="1" x14ac:dyDescent="0.2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</row>
    <row r="365" spans="1:12" ht="10.15" customHeight="1" x14ac:dyDescent="0.2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</row>
    <row r="366" spans="1:12" ht="10.15" customHeight="1" x14ac:dyDescent="0.2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</row>
    <row r="367" spans="1:12" ht="10.15" customHeight="1" x14ac:dyDescent="0.2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</row>
    <row r="368" spans="1:12" ht="10.15" customHeight="1" x14ac:dyDescent="0.2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</row>
    <row r="369" spans="1:12" ht="10.15" customHeight="1" x14ac:dyDescent="0.2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</row>
    <row r="370" spans="1:12" ht="10.15" customHeight="1" x14ac:dyDescent="0.2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1:12" ht="10.15" customHeight="1" x14ac:dyDescent="0.2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1:12" ht="10.15" customHeight="1" x14ac:dyDescent="0.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</row>
    <row r="373" spans="1:12" ht="10.15" customHeight="1" x14ac:dyDescent="0.2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</row>
    <row r="374" spans="1:12" ht="10.15" customHeight="1" x14ac:dyDescent="0.2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</row>
    <row r="375" spans="1:12" ht="10.15" customHeight="1" x14ac:dyDescent="0.2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</row>
    <row r="376" spans="1:12" ht="10.15" customHeight="1" x14ac:dyDescent="0.2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</row>
    <row r="377" spans="1:12" ht="10.15" customHeight="1" x14ac:dyDescent="0.2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</row>
    <row r="378" spans="1:12" ht="10.15" customHeight="1" x14ac:dyDescent="0.2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</row>
    <row r="379" spans="1:12" ht="10.15" customHeight="1" x14ac:dyDescent="0.2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</row>
    <row r="380" spans="1:12" ht="10.15" customHeight="1" x14ac:dyDescent="0.2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</row>
    <row r="381" spans="1:12" ht="10.15" customHeight="1" x14ac:dyDescent="0.2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</row>
    <row r="382" spans="1:12" ht="11.25" x14ac:dyDescent="0.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</row>
    <row r="383" spans="1:12" ht="11.25" x14ac:dyDescent="0.2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</row>
    <row r="384" spans="1:12" ht="11.25" x14ac:dyDescent="0.2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</row>
    <row r="387" ht="10.15" customHeight="1" x14ac:dyDescent="0.15"/>
    <row r="388" ht="10.15" customHeight="1" x14ac:dyDescent="0.15"/>
    <row r="389" ht="10.15" customHeight="1" x14ac:dyDescent="0.15"/>
    <row r="390" ht="10.15" customHeight="1" x14ac:dyDescent="0.15"/>
    <row r="391" ht="10.15" customHeight="1" x14ac:dyDescent="0.15"/>
    <row r="392" ht="10.15" customHeight="1" x14ac:dyDescent="0.15"/>
    <row r="393" ht="10.15" customHeight="1" x14ac:dyDescent="0.15"/>
    <row r="394" ht="10.15" customHeight="1" x14ac:dyDescent="0.15"/>
    <row r="395" ht="10.15" customHeight="1" x14ac:dyDescent="0.15"/>
    <row r="396" ht="10.15" customHeight="1" x14ac:dyDescent="0.15"/>
    <row r="397" ht="10.15" customHeight="1" x14ac:dyDescent="0.15"/>
    <row r="398" ht="10.15" customHeight="1" x14ac:dyDescent="0.15"/>
    <row r="399" ht="10.15" customHeight="1" x14ac:dyDescent="0.15"/>
    <row r="400" ht="10.15" customHeight="1" x14ac:dyDescent="0.15"/>
  </sheetData>
  <mergeCells count="1">
    <mergeCell ref="A5:L5"/>
  </mergeCells>
  <phoneticPr fontId="3" type="noConversion"/>
  <printOptions horizontalCentered="1" gridLinesSet="0"/>
  <pageMargins left="0.5" right="0.5" top="0.5" bottom="0.44" header="0.5" footer="0"/>
  <pageSetup paperSize="5" fitToHeight="0" orientation="landscape" horizontalDpi="300" verticalDpi="300" r:id="rId1"/>
  <headerFooter alignWithMargins="0">
    <oddFooter>&amp;L&amp;F&amp;C&amp;P</oddFooter>
  </headerFooter>
  <rowBreaks count="7" manualBreakCount="7">
    <brk id="33" max="11" man="1"/>
    <brk id="61" max="11" man="1"/>
    <brk id="77" max="11" man="1"/>
    <brk id="126" max="11" man="1"/>
    <brk id="194" max="11" man="1"/>
    <brk id="229" max="11" man="1"/>
    <brk id="26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3075-3E46-4540-9254-3E36E1A96757}">
  <sheetPr syncVertical="1" syncRef="A2465" transitionEvaluation="1">
    <pageSetUpPr fitToPage="1"/>
  </sheetPr>
  <dimension ref="A1:BP3029"/>
  <sheetViews>
    <sheetView showGridLines="0" zoomScale="125" zoomScaleNormal="110" zoomScaleSheetLayoutView="90" workbookViewId="0">
      <pane ySplit="7" topLeftCell="A2465" activePane="bottomLeft" state="frozen"/>
      <selection pane="bottomLeft" activeCell="L475" sqref="L475"/>
    </sheetView>
  </sheetViews>
  <sheetFormatPr defaultColWidth="13" defaultRowHeight="12" x14ac:dyDescent="0.15"/>
  <cols>
    <col min="1" max="1" width="7.33203125" style="6" customWidth="1"/>
    <col min="2" max="2" width="7.83203125" style="6" hidden="1" customWidth="1"/>
    <col min="3" max="3" width="12" style="212" customWidth="1"/>
    <col min="4" max="4" width="52.6640625" style="6" customWidth="1"/>
    <col min="5" max="5" width="12.83203125" style="216" customWidth="1"/>
    <col min="6" max="6" width="17" style="6" customWidth="1"/>
    <col min="7" max="8" width="11.6640625" style="6" customWidth="1"/>
    <col min="9" max="9" width="15.6640625" style="6" customWidth="1"/>
    <col min="10" max="10" width="28.6640625" style="6" customWidth="1"/>
    <col min="11" max="12" width="13" style="6"/>
    <col min="13" max="13" width="14.33203125" style="6" customWidth="1"/>
    <col min="14" max="14" width="17.5" style="6" bestFit="1" customWidth="1"/>
    <col min="15" max="16384" width="13" style="6"/>
  </cols>
  <sheetData>
    <row r="1" spans="1:11" s="218" customFormat="1" ht="12.75" x14ac:dyDescent="0.2">
      <c r="A1" s="255" t="s">
        <v>525</v>
      </c>
      <c r="B1" s="255"/>
      <c r="C1" s="255"/>
      <c r="D1" s="255"/>
      <c r="E1" s="255"/>
      <c r="F1" s="255"/>
      <c r="G1" s="255"/>
      <c r="H1" s="255"/>
      <c r="I1" s="255"/>
      <c r="J1" s="255"/>
      <c r="K1" s="217"/>
    </row>
    <row r="2" spans="1:11" s="218" customFormat="1" ht="12.75" x14ac:dyDescent="0.2">
      <c r="A2" s="255" t="s">
        <v>526</v>
      </c>
      <c r="B2" s="255"/>
      <c r="C2" s="255"/>
      <c r="D2" s="255"/>
      <c r="E2" s="255"/>
      <c r="F2" s="255"/>
      <c r="G2" s="255"/>
      <c r="H2" s="255"/>
      <c r="I2" s="255"/>
      <c r="J2" s="255"/>
      <c r="K2" s="217"/>
    </row>
    <row r="3" spans="1:11" s="218" customFormat="1" ht="12.75" x14ac:dyDescent="0.2">
      <c r="A3" s="256" t="s">
        <v>226</v>
      </c>
      <c r="B3" s="256"/>
      <c r="C3" s="256"/>
      <c r="D3" s="256"/>
      <c r="E3" s="256"/>
      <c r="F3" s="256"/>
      <c r="G3" s="256"/>
      <c r="H3" s="256"/>
      <c r="I3" s="256"/>
      <c r="J3" s="256"/>
      <c r="K3" s="217"/>
    </row>
    <row r="4" spans="1:11" s="218" customFormat="1" ht="12.75" x14ac:dyDescent="0.2">
      <c r="A4" s="256" t="s">
        <v>764</v>
      </c>
      <c r="B4" s="256"/>
      <c r="C4" s="256"/>
      <c r="D4" s="256"/>
      <c r="E4" s="256"/>
      <c r="F4" s="256"/>
      <c r="G4" s="256"/>
      <c r="H4" s="256"/>
      <c r="I4" s="256"/>
      <c r="J4" s="256"/>
      <c r="K4" s="217"/>
    </row>
    <row r="5" spans="1:11" ht="12.75" x14ac:dyDescent="0.2">
      <c r="A5" s="257" t="s">
        <v>621</v>
      </c>
      <c r="B5" s="257"/>
      <c r="C5" s="257"/>
      <c r="D5" s="257"/>
      <c r="E5" s="257"/>
      <c r="F5" s="257"/>
      <c r="G5" s="257"/>
      <c r="H5" s="257"/>
      <c r="I5" s="257"/>
      <c r="J5" s="257"/>
      <c r="K5" s="139"/>
    </row>
    <row r="6" spans="1:11" ht="18.75" customHeight="1" x14ac:dyDescent="0.2">
      <c r="A6" s="250" t="s">
        <v>227</v>
      </c>
      <c r="B6" s="250" t="s">
        <v>228</v>
      </c>
      <c r="C6" s="248" t="s">
        <v>229</v>
      </c>
      <c r="D6" s="250" t="s">
        <v>9</v>
      </c>
      <c r="E6" s="253" t="s">
        <v>681</v>
      </c>
      <c r="F6" s="250" t="s">
        <v>667</v>
      </c>
      <c r="G6" s="250" t="s">
        <v>12</v>
      </c>
      <c r="H6" s="250" t="s">
        <v>230</v>
      </c>
      <c r="I6" s="250" t="s">
        <v>231</v>
      </c>
      <c r="J6" s="250" t="s">
        <v>232</v>
      </c>
      <c r="K6" s="139"/>
    </row>
    <row r="7" spans="1:11" ht="12.75" x14ac:dyDescent="0.2">
      <c r="A7" s="251"/>
      <c r="B7" s="251"/>
      <c r="C7" s="249"/>
      <c r="D7" s="252"/>
      <c r="E7" s="254"/>
      <c r="F7" s="251"/>
      <c r="G7" s="252"/>
      <c r="H7" s="251"/>
      <c r="I7" s="251"/>
      <c r="J7" s="251"/>
      <c r="K7" s="139"/>
    </row>
    <row r="8" spans="1:11" ht="12.75" x14ac:dyDescent="0.2">
      <c r="A8" s="147"/>
      <c r="B8" s="147"/>
      <c r="C8" s="169"/>
      <c r="D8" s="147"/>
      <c r="E8" s="165"/>
      <c r="F8" s="147"/>
      <c r="G8" s="147"/>
      <c r="H8" s="147"/>
      <c r="I8" s="147"/>
      <c r="J8" s="147"/>
      <c r="K8" s="139"/>
    </row>
    <row r="9" spans="1:11" ht="12.75" x14ac:dyDescent="0.2">
      <c r="A9" s="148" t="s">
        <v>24</v>
      </c>
      <c r="B9" s="148" t="s">
        <v>233</v>
      </c>
      <c r="C9" s="148" t="s">
        <v>234</v>
      </c>
      <c r="D9" s="149" t="s">
        <v>188</v>
      </c>
      <c r="E9" s="165" t="s">
        <v>235</v>
      </c>
      <c r="F9" s="150">
        <v>5047300</v>
      </c>
      <c r="G9" s="147">
        <v>96964</v>
      </c>
      <c r="H9" s="149" t="s">
        <v>236</v>
      </c>
      <c r="I9" s="147"/>
      <c r="J9" s="147"/>
      <c r="K9" s="139"/>
    </row>
    <row r="10" spans="1:11" ht="12.75" x14ac:dyDescent="0.2">
      <c r="A10" s="151"/>
      <c r="B10" s="151"/>
      <c r="C10" s="148"/>
      <c r="D10" s="149" t="s">
        <v>237</v>
      </c>
      <c r="E10" s="165"/>
      <c r="F10" s="147"/>
      <c r="G10" s="147"/>
      <c r="H10" s="147">
        <v>8069</v>
      </c>
      <c r="I10" s="152">
        <f t="shared" ref="I10:I17" si="0">ROUND(H10/$H$18,4)</f>
        <v>0.14080000000000001</v>
      </c>
      <c r="J10" s="147"/>
      <c r="K10" s="139"/>
    </row>
    <row r="11" spans="1:11" ht="12.75" x14ac:dyDescent="0.2">
      <c r="A11" s="147"/>
      <c r="B11" s="147"/>
      <c r="C11" s="169"/>
      <c r="D11" s="149" t="s">
        <v>238</v>
      </c>
      <c r="E11" s="165"/>
      <c r="F11" s="147"/>
      <c r="G11" s="147"/>
      <c r="H11" s="147">
        <v>16807</v>
      </c>
      <c r="I11" s="152">
        <f t="shared" si="0"/>
        <v>0.29330000000000001</v>
      </c>
      <c r="J11" s="153" t="s">
        <v>238</v>
      </c>
      <c r="K11" s="139"/>
    </row>
    <row r="12" spans="1:11" ht="12.75" x14ac:dyDescent="0.2">
      <c r="A12" s="147"/>
      <c r="B12" s="147"/>
      <c r="C12" s="169"/>
      <c r="D12" s="149" t="s">
        <v>239</v>
      </c>
      <c r="E12" s="165"/>
      <c r="F12" s="147"/>
      <c r="G12" s="147"/>
      <c r="H12" s="147">
        <v>277</v>
      </c>
      <c r="I12" s="152">
        <f t="shared" si="0"/>
        <v>4.7999999999999996E-3</v>
      </c>
      <c r="J12" s="147"/>
      <c r="K12" s="139"/>
    </row>
    <row r="13" spans="1:11" ht="12.75" x14ac:dyDescent="0.2">
      <c r="A13" s="147"/>
      <c r="B13" s="147"/>
      <c r="C13" s="169"/>
      <c r="D13" s="149" t="s">
        <v>240</v>
      </c>
      <c r="E13" s="165"/>
      <c r="F13" s="147"/>
      <c r="G13" s="147"/>
      <c r="H13" s="147">
        <v>15427</v>
      </c>
      <c r="I13" s="152">
        <f t="shared" si="0"/>
        <v>0.26919999999999999</v>
      </c>
      <c r="J13" s="151" t="s">
        <v>240</v>
      </c>
      <c r="K13" s="139"/>
    </row>
    <row r="14" spans="1:11" ht="12.75" x14ac:dyDescent="0.2">
      <c r="A14" s="147"/>
      <c r="B14" s="147"/>
      <c r="C14" s="169"/>
      <c r="D14" s="149" t="s">
        <v>241</v>
      </c>
      <c r="E14" s="165"/>
      <c r="F14" s="147"/>
      <c r="G14" s="147"/>
      <c r="H14" s="147">
        <v>3355</v>
      </c>
      <c r="I14" s="152">
        <f t="shared" si="0"/>
        <v>5.8500000000000003E-2</v>
      </c>
      <c r="J14" s="147"/>
      <c r="K14" s="139"/>
    </row>
    <row r="15" spans="1:11" ht="12.75" x14ac:dyDescent="0.2">
      <c r="A15" s="147"/>
      <c r="B15" s="147"/>
      <c r="C15" s="169"/>
      <c r="D15" s="149" t="s">
        <v>242</v>
      </c>
      <c r="E15" s="165"/>
      <c r="F15" s="147"/>
      <c r="G15" s="147"/>
      <c r="H15" s="147">
        <v>11328</v>
      </c>
      <c r="I15" s="152">
        <f t="shared" si="0"/>
        <v>0.19769999999999999</v>
      </c>
      <c r="J15" s="151" t="s">
        <v>242</v>
      </c>
      <c r="K15" s="139"/>
    </row>
    <row r="16" spans="1:11" ht="12.75" x14ac:dyDescent="0.2">
      <c r="A16" s="147"/>
      <c r="B16" s="147"/>
      <c r="C16" s="169"/>
      <c r="D16" s="149" t="s">
        <v>243</v>
      </c>
      <c r="E16" s="165"/>
      <c r="F16" s="147"/>
      <c r="G16" s="147"/>
      <c r="H16" s="147">
        <v>1333</v>
      </c>
      <c r="I16" s="152">
        <f t="shared" si="0"/>
        <v>2.3300000000000001E-2</v>
      </c>
      <c r="J16" s="147"/>
      <c r="K16" s="139"/>
    </row>
    <row r="17" spans="1:11" ht="12.75" x14ac:dyDescent="0.2">
      <c r="A17" s="147"/>
      <c r="B17" s="147"/>
      <c r="C17" s="169"/>
      <c r="D17" s="154" t="s">
        <v>244</v>
      </c>
      <c r="E17" s="165"/>
      <c r="F17" s="147"/>
      <c r="G17" s="147"/>
      <c r="H17" s="147">
        <v>711</v>
      </c>
      <c r="I17" s="152">
        <f t="shared" si="0"/>
        <v>1.24E-2</v>
      </c>
      <c r="J17" s="147"/>
      <c r="K17" s="139"/>
    </row>
    <row r="18" spans="1:11" ht="12.75" x14ac:dyDescent="0.2">
      <c r="A18" s="147"/>
      <c r="B18" s="147"/>
      <c r="C18" s="169"/>
      <c r="D18" s="148" t="s">
        <v>33</v>
      </c>
      <c r="E18" s="165"/>
      <c r="F18" s="147"/>
      <c r="G18" s="147"/>
      <c r="H18" s="155">
        <f>SUM(H10:H17)</f>
        <v>57307</v>
      </c>
      <c r="I18" s="156">
        <f>SUM(I10:I17)</f>
        <v>1</v>
      </c>
      <c r="J18" s="147"/>
      <c r="K18" s="139"/>
    </row>
    <row r="19" spans="1:11" ht="12.75" x14ac:dyDescent="0.2">
      <c r="A19" s="147"/>
      <c r="B19" s="147"/>
      <c r="C19" s="169"/>
      <c r="D19" s="147"/>
      <c r="E19" s="165"/>
      <c r="F19" s="147"/>
      <c r="G19" s="147"/>
      <c r="H19" s="147"/>
      <c r="I19" s="152"/>
      <c r="J19" s="147"/>
      <c r="K19" s="139"/>
    </row>
    <row r="20" spans="1:11" ht="12.75" x14ac:dyDescent="0.2">
      <c r="A20" s="148" t="s">
        <v>24</v>
      </c>
      <c r="B20" s="148" t="s">
        <v>245</v>
      </c>
      <c r="C20" s="148" t="s">
        <v>234</v>
      </c>
      <c r="D20" s="149" t="s">
        <v>178</v>
      </c>
      <c r="E20" s="165" t="s">
        <v>246</v>
      </c>
      <c r="F20" s="150">
        <v>4668000</v>
      </c>
      <c r="G20" s="147">
        <v>52274</v>
      </c>
      <c r="H20" s="147"/>
      <c r="I20" s="152"/>
      <c r="J20" s="147"/>
      <c r="K20" s="139"/>
    </row>
    <row r="21" spans="1:11" ht="12.75" x14ac:dyDescent="0.2">
      <c r="A21" s="151"/>
      <c r="B21" s="151"/>
      <c r="C21" s="148"/>
      <c r="D21" s="149" t="s">
        <v>238</v>
      </c>
      <c r="E21" s="165"/>
      <c r="F21" s="150"/>
      <c r="G21" s="147"/>
      <c r="H21" s="147">
        <v>3490</v>
      </c>
      <c r="I21" s="152">
        <f>ROUND(H21/$H$26,4)</f>
        <v>0.1235</v>
      </c>
      <c r="J21" s="147"/>
      <c r="K21" s="139"/>
    </row>
    <row r="22" spans="1:11" ht="12.75" x14ac:dyDescent="0.2">
      <c r="A22" s="151"/>
      <c r="B22" s="151"/>
      <c r="C22" s="148"/>
      <c r="D22" s="149" t="s">
        <v>241</v>
      </c>
      <c r="E22" s="165"/>
      <c r="F22" s="150"/>
      <c r="G22" s="147"/>
      <c r="H22" s="147">
        <v>960</v>
      </c>
      <c r="I22" s="152">
        <f>ROUND(H22/$H$26,4)</f>
        <v>3.4000000000000002E-2</v>
      </c>
      <c r="J22" s="147"/>
      <c r="K22" s="139"/>
    </row>
    <row r="23" spans="1:11" ht="12.75" x14ac:dyDescent="0.2">
      <c r="A23" s="151"/>
      <c r="B23" s="151"/>
      <c r="C23" s="148"/>
      <c r="D23" s="149" t="s">
        <v>239</v>
      </c>
      <c r="E23" s="165"/>
      <c r="F23" s="150"/>
      <c r="G23" s="147"/>
      <c r="H23" s="147">
        <v>12929</v>
      </c>
      <c r="I23" s="152">
        <f>ROUND(H23/$H$26,4)-0.0001</f>
        <v>0.45729999999999998</v>
      </c>
      <c r="J23" s="153" t="s">
        <v>239</v>
      </c>
      <c r="K23" s="139"/>
    </row>
    <row r="24" spans="1:11" ht="12.75" x14ac:dyDescent="0.2">
      <c r="A24" s="151"/>
      <c r="B24" s="151"/>
      <c r="C24" s="148"/>
      <c r="D24" s="149" t="s">
        <v>240</v>
      </c>
      <c r="E24" s="165"/>
      <c r="F24" s="150"/>
      <c r="G24" s="147"/>
      <c r="H24" s="147">
        <v>10470</v>
      </c>
      <c r="I24" s="152">
        <f>ROUND(H24/$H$26,4)-0.0001</f>
        <v>0.37030000000000002</v>
      </c>
      <c r="J24" s="151" t="s">
        <v>240</v>
      </c>
      <c r="K24" s="139"/>
    </row>
    <row r="25" spans="1:11" ht="12.75" x14ac:dyDescent="0.2">
      <c r="A25" s="151"/>
      <c r="B25" s="151"/>
      <c r="C25" s="148"/>
      <c r="D25" s="149" t="s">
        <v>242</v>
      </c>
      <c r="E25" s="165"/>
      <c r="F25" s="150"/>
      <c r="G25" s="147"/>
      <c r="H25" s="147">
        <v>420</v>
      </c>
      <c r="I25" s="152">
        <f>ROUND(H25/$H$26,4)</f>
        <v>1.49E-2</v>
      </c>
      <c r="J25" s="151"/>
      <c r="K25" s="139"/>
    </row>
    <row r="26" spans="1:11" ht="12.75" x14ac:dyDescent="0.2">
      <c r="A26" s="151"/>
      <c r="B26" s="151"/>
      <c r="C26" s="148"/>
      <c r="D26" s="148" t="s">
        <v>33</v>
      </c>
      <c r="E26" s="165"/>
      <c r="F26" s="150"/>
      <c r="G26" s="147"/>
      <c r="H26" s="155">
        <f>SUM(H21:H25)</f>
        <v>28269</v>
      </c>
      <c r="I26" s="156">
        <f>SUM(I21:I25)</f>
        <v>1</v>
      </c>
      <c r="J26" s="151"/>
      <c r="K26" s="139"/>
    </row>
    <row r="27" spans="1:11" ht="12.75" x14ac:dyDescent="0.2">
      <c r="A27" s="151"/>
      <c r="B27" s="151"/>
      <c r="C27" s="148"/>
      <c r="D27" s="148"/>
      <c r="E27" s="165"/>
      <c r="F27" s="150"/>
      <c r="G27" s="147"/>
      <c r="H27" s="157"/>
      <c r="I27" s="158"/>
      <c r="J27" s="151"/>
      <c r="K27" s="139"/>
    </row>
    <row r="28" spans="1:11" ht="12.75" x14ac:dyDescent="0.2">
      <c r="A28" s="148" t="s">
        <v>24</v>
      </c>
      <c r="B28" s="148" t="s">
        <v>247</v>
      </c>
      <c r="C28" s="148" t="s">
        <v>234</v>
      </c>
      <c r="D28" s="149" t="s">
        <v>248</v>
      </c>
      <c r="E28" s="165" t="s">
        <v>249</v>
      </c>
      <c r="F28" s="150">
        <v>10267927</v>
      </c>
      <c r="G28" s="147">
        <v>114570</v>
      </c>
      <c r="H28" s="147"/>
      <c r="I28" s="152"/>
      <c r="J28" s="151"/>
      <c r="K28" s="139"/>
    </row>
    <row r="29" spans="1:11" ht="12.75" x14ac:dyDescent="0.2">
      <c r="A29" s="147"/>
      <c r="B29" s="147"/>
      <c r="C29" s="169"/>
      <c r="D29" s="149" t="s">
        <v>241</v>
      </c>
      <c r="E29" s="165"/>
      <c r="F29" s="150"/>
      <c r="G29" s="147"/>
      <c r="H29" s="147">
        <v>85450</v>
      </c>
      <c r="I29" s="152">
        <f>ROUND(H29/$H$31,4)</f>
        <v>0.92879999999999996</v>
      </c>
      <c r="J29" s="153" t="s">
        <v>241</v>
      </c>
      <c r="K29" s="139"/>
    </row>
    <row r="30" spans="1:11" ht="12.75" x14ac:dyDescent="0.2">
      <c r="A30" s="147"/>
      <c r="B30" s="147"/>
      <c r="C30" s="169"/>
      <c r="D30" s="149" t="s">
        <v>240</v>
      </c>
      <c r="E30" s="165"/>
      <c r="F30" s="150"/>
      <c r="G30" s="147"/>
      <c r="H30" s="147">
        <v>6550</v>
      </c>
      <c r="I30" s="152">
        <f>ROUND(H30/$H$31,4)</f>
        <v>7.1199999999999999E-2</v>
      </c>
      <c r="J30" s="151"/>
      <c r="K30" s="139"/>
    </row>
    <row r="31" spans="1:11" ht="12.75" x14ac:dyDescent="0.2">
      <c r="A31" s="147"/>
      <c r="B31" s="147"/>
      <c r="C31" s="169"/>
      <c r="D31" s="148" t="s">
        <v>33</v>
      </c>
      <c r="E31" s="165"/>
      <c r="F31" s="150"/>
      <c r="G31" s="147"/>
      <c r="H31" s="155">
        <f>SUM(H29:H30)</f>
        <v>92000</v>
      </c>
      <c r="I31" s="156">
        <f>SUM(I29:I30)</f>
        <v>1</v>
      </c>
      <c r="J31" s="151"/>
      <c r="K31" s="139"/>
    </row>
    <row r="32" spans="1:11" ht="12.75" x14ac:dyDescent="0.2">
      <c r="A32" s="151"/>
      <c r="B32" s="151"/>
      <c r="C32" s="148"/>
      <c r="D32" s="148"/>
      <c r="E32" s="165"/>
      <c r="F32" s="150"/>
      <c r="G32" s="147"/>
      <c r="H32" s="157"/>
      <c r="I32" s="158"/>
      <c r="J32" s="151"/>
      <c r="K32" s="139"/>
    </row>
    <row r="33" spans="1:11" ht="12.75" x14ac:dyDescent="0.2">
      <c r="A33" s="148" t="s">
        <v>24</v>
      </c>
      <c r="B33" s="148" t="s">
        <v>250</v>
      </c>
      <c r="C33" s="148" t="s">
        <v>234</v>
      </c>
      <c r="D33" s="149" t="s">
        <v>179</v>
      </c>
      <c r="E33" s="165" t="s">
        <v>251</v>
      </c>
      <c r="F33" s="150">
        <v>2405000</v>
      </c>
      <c r="G33" s="147">
        <v>26557</v>
      </c>
      <c r="H33" s="147"/>
      <c r="I33" s="152"/>
      <c r="J33" s="151"/>
      <c r="K33" s="139"/>
    </row>
    <row r="34" spans="1:11" ht="12.75" x14ac:dyDescent="0.2">
      <c r="A34" s="151"/>
      <c r="B34" s="151"/>
      <c r="C34" s="148"/>
      <c r="D34" s="149" t="s">
        <v>238</v>
      </c>
      <c r="E34" s="165"/>
      <c r="F34" s="150"/>
      <c r="G34" s="147"/>
      <c r="H34" s="147">
        <v>1000</v>
      </c>
      <c r="I34" s="152">
        <f>ROUND(H34/$H$37,4)</f>
        <v>5.7799999999999997E-2</v>
      </c>
      <c r="J34" s="151"/>
      <c r="K34" s="139"/>
    </row>
    <row r="35" spans="1:11" ht="12.75" x14ac:dyDescent="0.2">
      <c r="A35" s="151"/>
      <c r="B35" s="151"/>
      <c r="C35" s="148"/>
      <c r="D35" s="149" t="s">
        <v>239</v>
      </c>
      <c r="E35" s="165"/>
      <c r="F35" s="150"/>
      <c r="G35" s="147"/>
      <c r="H35" s="147">
        <v>11190</v>
      </c>
      <c r="I35" s="152">
        <f>ROUND(H35/$H$37,4)</f>
        <v>0.64680000000000004</v>
      </c>
      <c r="J35" s="153" t="s">
        <v>239</v>
      </c>
      <c r="K35" s="139"/>
    </row>
    <row r="36" spans="1:11" ht="12.75" x14ac:dyDescent="0.2">
      <c r="A36" s="151"/>
      <c r="B36" s="151"/>
      <c r="C36" s="148"/>
      <c r="D36" s="149" t="s">
        <v>240</v>
      </c>
      <c r="E36" s="165"/>
      <c r="F36" s="150"/>
      <c r="G36" s="147"/>
      <c r="H36" s="147">
        <v>5110</v>
      </c>
      <c r="I36" s="152">
        <f>ROUND(H36/$H$37,4)</f>
        <v>0.2954</v>
      </c>
      <c r="J36" s="151" t="s">
        <v>240</v>
      </c>
      <c r="K36" s="139"/>
    </row>
    <row r="37" spans="1:11" ht="12.75" x14ac:dyDescent="0.2">
      <c r="A37" s="151"/>
      <c r="B37" s="151"/>
      <c r="C37" s="148"/>
      <c r="D37" s="148" t="s">
        <v>33</v>
      </c>
      <c r="E37" s="165"/>
      <c r="F37" s="150"/>
      <c r="G37" s="147"/>
      <c r="H37" s="155">
        <f>SUM(H34:H36)</f>
        <v>17300</v>
      </c>
      <c r="I37" s="156">
        <f>SUM(I34:I36)</f>
        <v>1</v>
      </c>
      <c r="J37" s="151"/>
      <c r="K37" s="139"/>
    </row>
    <row r="38" spans="1:11" ht="12.75" x14ac:dyDescent="0.2">
      <c r="A38" s="151"/>
      <c r="B38" s="151"/>
      <c r="C38" s="148"/>
      <c r="D38" s="148"/>
      <c r="E38" s="165"/>
      <c r="F38" s="150"/>
      <c r="G38" s="147"/>
      <c r="H38" s="157"/>
      <c r="I38" s="158"/>
      <c r="J38" s="151"/>
      <c r="K38" s="139"/>
    </row>
    <row r="39" spans="1:11" ht="12.75" x14ac:dyDescent="0.2">
      <c r="A39" s="148" t="s">
        <v>24</v>
      </c>
      <c r="B39" s="148" t="s">
        <v>252</v>
      </c>
      <c r="C39" s="148" t="s">
        <v>234</v>
      </c>
      <c r="D39" s="154" t="s">
        <v>253</v>
      </c>
      <c r="E39" s="165" t="s">
        <v>254</v>
      </c>
      <c r="F39" s="150">
        <v>1920000</v>
      </c>
      <c r="G39" s="147">
        <v>23725</v>
      </c>
      <c r="H39" s="147"/>
      <c r="I39" s="152"/>
      <c r="J39" s="151"/>
      <c r="K39" s="139"/>
    </row>
    <row r="40" spans="1:11" ht="12.75" x14ac:dyDescent="0.2">
      <c r="A40" s="151"/>
      <c r="B40" s="151"/>
      <c r="C40" s="148"/>
      <c r="D40" s="149" t="s">
        <v>241</v>
      </c>
      <c r="E40" s="165"/>
      <c r="F40" s="150"/>
      <c r="G40" s="147"/>
      <c r="H40" s="147">
        <v>925</v>
      </c>
      <c r="I40" s="152">
        <f>ROUND(H40/$H$43,4)</f>
        <v>6.7599999999999993E-2</v>
      </c>
      <c r="J40" s="151"/>
      <c r="K40" s="139"/>
    </row>
    <row r="41" spans="1:11" ht="12.75" x14ac:dyDescent="0.2">
      <c r="A41" s="151"/>
      <c r="B41" s="151"/>
      <c r="C41" s="148"/>
      <c r="D41" s="149" t="s">
        <v>239</v>
      </c>
      <c r="E41" s="165"/>
      <c r="F41" s="150"/>
      <c r="G41" s="147"/>
      <c r="H41" s="147">
        <v>7350</v>
      </c>
      <c r="I41" s="152">
        <f>ROUND(H41/$H$43,4)</f>
        <v>0.53690000000000004</v>
      </c>
      <c r="J41" s="153" t="s">
        <v>239</v>
      </c>
      <c r="K41" s="139"/>
    </row>
    <row r="42" spans="1:11" ht="12.75" x14ac:dyDescent="0.2">
      <c r="A42" s="151"/>
      <c r="B42" s="151"/>
      <c r="C42" s="148"/>
      <c r="D42" s="149" t="s">
        <v>240</v>
      </c>
      <c r="E42" s="165"/>
      <c r="F42" s="150"/>
      <c r="G42" s="147"/>
      <c r="H42" s="147">
        <v>5415</v>
      </c>
      <c r="I42" s="152">
        <f>ROUND(H42/$H$43,4)</f>
        <v>0.39550000000000002</v>
      </c>
      <c r="J42" s="153" t="s">
        <v>240</v>
      </c>
      <c r="K42" s="139"/>
    </row>
    <row r="43" spans="1:11" ht="12.75" x14ac:dyDescent="0.2">
      <c r="A43" s="151"/>
      <c r="B43" s="151"/>
      <c r="C43" s="148"/>
      <c r="D43" s="148" t="s">
        <v>33</v>
      </c>
      <c r="E43" s="165"/>
      <c r="F43" s="150"/>
      <c r="G43" s="147"/>
      <c r="H43" s="155">
        <f>SUM(H40:H42)</f>
        <v>13690</v>
      </c>
      <c r="I43" s="156">
        <f>SUM(I40:I42)</f>
        <v>1</v>
      </c>
      <c r="J43" s="151"/>
      <c r="K43" s="139"/>
    </row>
    <row r="44" spans="1:11" ht="12.75" x14ac:dyDescent="0.2">
      <c r="A44" s="151"/>
      <c r="B44" s="151"/>
      <c r="C44" s="148"/>
      <c r="D44" s="148"/>
      <c r="E44" s="165"/>
      <c r="F44" s="150"/>
      <c r="G44" s="147"/>
      <c r="H44" s="157"/>
      <c r="I44" s="158"/>
      <c r="J44" s="151"/>
      <c r="K44" s="139"/>
    </row>
    <row r="45" spans="1:11" ht="12.75" x14ac:dyDescent="0.2">
      <c r="A45" s="148" t="s">
        <v>24</v>
      </c>
      <c r="B45" s="148" t="s">
        <v>255</v>
      </c>
      <c r="C45" s="148" t="s">
        <v>234</v>
      </c>
      <c r="D45" s="149" t="s">
        <v>256</v>
      </c>
      <c r="E45" s="165" t="s">
        <v>257</v>
      </c>
      <c r="F45" s="150">
        <v>485000</v>
      </c>
      <c r="G45" s="147">
        <v>4581</v>
      </c>
      <c r="H45" s="147"/>
      <c r="I45" s="152"/>
      <c r="J45" s="151"/>
      <c r="K45" s="139"/>
    </row>
    <row r="46" spans="1:11" ht="12.75" x14ac:dyDescent="0.2">
      <c r="A46" s="151"/>
      <c r="B46" s="151"/>
      <c r="C46" s="148"/>
      <c r="D46" s="149" t="s">
        <v>239</v>
      </c>
      <c r="E46" s="165"/>
      <c r="F46" s="150"/>
      <c r="G46" s="147"/>
      <c r="H46" s="147">
        <v>1976</v>
      </c>
      <c r="I46" s="152">
        <f>ROUND(H46/$H$49,4)</f>
        <v>0.54649999999999999</v>
      </c>
      <c r="J46" s="153" t="s">
        <v>239</v>
      </c>
      <c r="K46" s="139"/>
    </row>
    <row r="47" spans="1:11" ht="12.75" x14ac:dyDescent="0.2">
      <c r="A47" s="151"/>
      <c r="B47" s="151"/>
      <c r="C47" s="148"/>
      <c r="D47" s="149" t="s">
        <v>240</v>
      </c>
      <c r="E47" s="165"/>
      <c r="F47" s="150"/>
      <c r="G47" s="147"/>
      <c r="H47" s="147">
        <v>600</v>
      </c>
      <c r="I47" s="152">
        <f>ROUND(H47/$H$49,4)</f>
        <v>0.16589999999999999</v>
      </c>
      <c r="J47" s="151"/>
      <c r="K47" s="139"/>
    </row>
    <row r="48" spans="1:11" ht="12.75" x14ac:dyDescent="0.2">
      <c r="A48" s="151"/>
      <c r="B48" s="151"/>
      <c r="C48" s="148"/>
      <c r="D48" s="149" t="s">
        <v>258</v>
      </c>
      <c r="E48" s="165"/>
      <c r="F48" s="150"/>
      <c r="G48" s="147"/>
      <c r="H48" s="147">
        <v>1040</v>
      </c>
      <c r="I48" s="152">
        <f>ROUND(H48/$H$49,4)</f>
        <v>0.28760000000000002</v>
      </c>
      <c r="J48" s="151"/>
      <c r="K48" s="139"/>
    </row>
    <row r="49" spans="1:11" ht="12.75" x14ac:dyDescent="0.2">
      <c r="A49" s="151"/>
      <c r="B49" s="151"/>
      <c r="C49" s="148"/>
      <c r="D49" s="148" t="s">
        <v>33</v>
      </c>
      <c r="E49" s="165"/>
      <c r="F49" s="150"/>
      <c r="G49" s="147"/>
      <c r="H49" s="155">
        <f>SUM(H46:H48)</f>
        <v>3616</v>
      </c>
      <c r="I49" s="156">
        <f>SUM(I46:I48)</f>
        <v>1</v>
      </c>
      <c r="J49" s="151"/>
      <c r="K49" s="139"/>
    </row>
    <row r="50" spans="1:11" ht="12.75" x14ac:dyDescent="0.2">
      <c r="A50" s="151"/>
      <c r="B50" s="151"/>
      <c r="C50" s="148"/>
      <c r="D50" s="148"/>
      <c r="E50" s="165"/>
      <c r="F50" s="150"/>
      <c r="G50" s="147"/>
      <c r="H50" s="157"/>
      <c r="I50" s="158"/>
      <c r="J50" s="151"/>
      <c r="K50" s="139"/>
    </row>
    <row r="51" spans="1:11" ht="12.75" x14ac:dyDescent="0.2">
      <c r="A51" s="148" t="s">
        <v>24</v>
      </c>
      <c r="B51" s="148" t="s">
        <v>259</v>
      </c>
      <c r="C51" s="148" t="s">
        <v>234</v>
      </c>
      <c r="D51" s="149" t="s">
        <v>181</v>
      </c>
      <c r="E51" s="165" t="s">
        <v>260</v>
      </c>
      <c r="F51" s="150">
        <v>9838000</v>
      </c>
      <c r="G51" s="147">
        <v>98517</v>
      </c>
      <c r="H51" s="147"/>
      <c r="I51" s="152"/>
      <c r="J51" s="151"/>
      <c r="K51" s="139"/>
    </row>
    <row r="52" spans="1:11" ht="12.75" x14ac:dyDescent="0.2">
      <c r="A52" s="151"/>
      <c r="B52" s="151"/>
      <c r="C52" s="148"/>
      <c r="D52" s="149" t="s">
        <v>261</v>
      </c>
      <c r="E52" s="165"/>
      <c r="F52" s="150"/>
      <c r="G52" s="147"/>
      <c r="H52" s="147">
        <v>530</v>
      </c>
      <c r="I52" s="152">
        <f>ROUND(H52/$H$57,4)</f>
        <v>8.6E-3</v>
      </c>
      <c r="J52" s="151"/>
      <c r="K52" s="139"/>
    </row>
    <row r="53" spans="1:11" ht="12.75" x14ac:dyDescent="0.2">
      <c r="A53" s="151"/>
      <c r="B53" s="151"/>
      <c r="C53" s="148"/>
      <c r="D53" s="149" t="s">
        <v>238</v>
      </c>
      <c r="E53" s="165"/>
      <c r="F53" s="150"/>
      <c r="G53" s="147"/>
      <c r="H53" s="147">
        <v>4800</v>
      </c>
      <c r="I53" s="152">
        <f>ROUND(H53/$H$57,4)</f>
        <v>7.8E-2</v>
      </c>
      <c r="J53" s="151"/>
      <c r="K53" s="139"/>
    </row>
    <row r="54" spans="1:11" ht="12.75" x14ac:dyDescent="0.2">
      <c r="A54" s="151"/>
      <c r="B54" s="151"/>
      <c r="C54" s="148"/>
      <c r="D54" s="149" t="s">
        <v>239</v>
      </c>
      <c r="E54" s="165"/>
      <c r="F54" s="150"/>
      <c r="G54" s="147"/>
      <c r="H54" s="147">
        <v>40388</v>
      </c>
      <c r="I54" s="152">
        <f>ROUND(H54/$H$57,4)</f>
        <v>0.65590000000000004</v>
      </c>
      <c r="J54" s="153" t="s">
        <v>239</v>
      </c>
      <c r="K54" s="139"/>
    </row>
    <row r="55" spans="1:11" ht="12.75" x14ac:dyDescent="0.2">
      <c r="A55" s="151"/>
      <c r="B55" s="151"/>
      <c r="C55" s="148"/>
      <c r="D55" s="149" t="s">
        <v>240</v>
      </c>
      <c r="E55" s="165"/>
      <c r="F55" s="150"/>
      <c r="G55" s="147"/>
      <c r="H55" s="147">
        <v>10555</v>
      </c>
      <c r="I55" s="152">
        <f>ROUND(H55/$H$57,4)</f>
        <v>0.1714</v>
      </c>
      <c r="J55" s="151"/>
      <c r="K55" s="139"/>
    </row>
    <row r="56" spans="1:11" ht="12.75" x14ac:dyDescent="0.2">
      <c r="A56" s="151"/>
      <c r="B56" s="151"/>
      <c r="C56" s="148"/>
      <c r="D56" s="149" t="s">
        <v>262</v>
      </c>
      <c r="E56" s="165"/>
      <c r="F56" s="150"/>
      <c r="G56" s="147"/>
      <c r="H56" s="147">
        <v>5300</v>
      </c>
      <c r="I56" s="152">
        <f>ROUND(H56/$H$57,4)</f>
        <v>8.6099999999999996E-2</v>
      </c>
      <c r="J56" s="151"/>
      <c r="K56" s="139"/>
    </row>
    <row r="57" spans="1:11" ht="12.75" x14ac:dyDescent="0.2">
      <c r="A57" s="151"/>
      <c r="B57" s="151"/>
      <c r="C57" s="148"/>
      <c r="D57" s="148" t="s">
        <v>33</v>
      </c>
      <c r="E57" s="165"/>
      <c r="F57" s="150"/>
      <c r="G57" s="147"/>
      <c r="H57" s="155">
        <f>SUM(H52:H56)</f>
        <v>61573</v>
      </c>
      <c r="I57" s="156">
        <f>SUM(I52:I56)</f>
        <v>1</v>
      </c>
      <c r="J57" s="151"/>
      <c r="K57" s="139"/>
    </row>
    <row r="58" spans="1:11" ht="12.75" x14ac:dyDescent="0.2">
      <c r="A58" s="151"/>
      <c r="B58" s="151"/>
      <c r="C58" s="148"/>
      <c r="D58" s="148"/>
      <c r="E58" s="165"/>
      <c r="F58" s="150"/>
      <c r="G58" s="147"/>
      <c r="H58" s="157"/>
      <c r="I58" s="158"/>
      <c r="J58" s="151"/>
      <c r="K58" s="139"/>
    </row>
    <row r="59" spans="1:11" ht="12.75" x14ac:dyDescent="0.2">
      <c r="A59" s="148" t="s">
        <v>24</v>
      </c>
      <c r="B59" s="148" t="s">
        <v>263</v>
      </c>
      <c r="C59" s="148" t="s">
        <v>234</v>
      </c>
      <c r="D59" s="149" t="s">
        <v>182</v>
      </c>
      <c r="E59" s="165" t="s">
        <v>264</v>
      </c>
      <c r="F59" s="150">
        <v>8337000</v>
      </c>
      <c r="G59" s="147">
        <v>104756</v>
      </c>
      <c r="H59" s="147"/>
      <c r="I59" s="147"/>
      <c r="J59" s="151"/>
      <c r="K59" s="139"/>
    </row>
    <row r="60" spans="1:11" ht="12.75" x14ac:dyDescent="0.2">
      <c r="A60" s="147"/>
      <c r="B60" s="147"/>
      <c r="C60" s="169"/>
      <c r="D60" s="149" t="s">
        <v>261</v>
      </c>
      <c r="E60" s="165"/>
      <c r="F60" s="150"/>
      <c r="G60" s="147"/>
      <c r="H60" s="147">
        <v>2100</v>
      </c>
      <c r="I60" s="152">
        <f>ROUND(H60/$H$65,4)</f>
        <v>3.5799999999999998E-2</v>
      </c>
      <c r="J60" s="151"/>
      <c r="K60" s="139"/>
    </row>
    <row r="61" spans="1:11" ht="12.75" x14ac:dyDescent="0.2">
      <c r="A61" s="147"/>
      <c r="B61" s="147"/>
      <c r="C61" s="169"/>
      <c r="D61" s="149" t="s">
        <v>238</v>
      </c>
      <c r="E61" s="165"/>
      <c r="F61" s="150"/>
      <c r="G61" s="147"/>
      <c r="H61" s="147">
        <v>5128</v>
      </c>
      <c r="I61" s="152">
        <f>ROUND(H61/$H$65,4)</f>
        <v>8.7400000000000005E-2</v>
      </c>
      <c r="J61" s="151"/>
      <c r="K61" s="139"/>
    </row>
    <row r="62" spans="1:11" ht="12.75" x14ac:dyDescent="0.2">
      <c r="A62" s="147"/>
      <c r="B62" s="147"/>
      <c r="C62" s="169"/>
      <c r="D62" s="149" t="s">
        <v>239</v>
      </c>
      <c r="E62" s="165"/>
      <c r="F62" s="150"/>
      <c r="G62" s="147"/>
      <c r="H62" s="147">
        <v>35195</v>
      </c>
      <c r="I62" s="152">
        <f>ROUND(H62/$H$65,4)</f>
        <v>0.59970000000000001</v>
      </c>
      <c r="J62" s="153" t="s">
        <v>239</v>
      </c>
      <c r="K62" s="139"/>
    </row>
    <row r="63" spans="1:11" ht="12.75" x14ac:dyDescent="0.2">
      <c r="A63" s="147"/>
      <c r="B63" s="147"/>
      <c r="C63" s="169"/>
      <c r="D63" s="149" t="s">
        <v>240</v>
      </c>
      <c r="E63" s="165"/>
      <c r="F63" s="150"/>
      <c r="G63" s="147"/>
      <c r="H63" s="147">
        <v>8264</v>
      </c>
      <c r="I63" s="152">
        <f>ROUND(H63/$H$65,4)</f>
        <v>0.14080000000000001</v>
      </c>
      <c r="J63" s="151"/>
      <c r="K63" s="139"/>
    </row>
    <row r="64" spans="1:11" ht="12.75" x14ac:dyDescent="0.2">
      <c r="A64" s="147"/>
      <c r="B64" s="147"/>
      <c r="C64" s="169"/>
      <c r="D64" s="154" t="s">
        <v>244</v>
      </c>
      <c r="E64" s="165"/>
      <c r="F64" s="150"/>
      <c r="G64" s="147"/>
      <c r="H64" s="147">
        <v>8000</v>
      </c>
      <c r="I64" s="152">
        <f>ROUND(H64/$H$65,4)</f>
        <v>0.1363</v>
      </c>
      <c r="J64" s="151"/>
      <c r="K64" s="139"/>
    </row>
    <row r="65" spans="1:11" ht="12.75" x14ac:dyDescent="0.2">
      <c r="A65" s="147"/>
      <c r="B65" s="147"/>
      <c r="C65" s="169"/>
      <c r="D65" s="148" t="s">
        <v>33</v>
      </c>
      <c r="E65" s="165"/>
      <c r="F65" s="150"/>
      <c r="G65" s="147"/>
      <c r="H65" s="155">
        <f>SUM(H60:H64)</f>
        <v>58687</v>
      </c>
      <c r="I65" s="156">
        <f>SUM(I60:I64)</f>
        <v>1</v>
      </c>
      <c r="J65" s="151"/>
      <c r="K65" s="139"/>
    </row>
    <row r="66" spans="1:11" ht="12.75" x14ac:dyDescent="0.2">
      <c r="A66" s="147"/>
      <c r="B66" s="147"/>
      <c r="C66" s="169"/>
      <c r="D66" s="147"/>
      <c r="E66" s="165"/>
      <c r="F66" s="150"/>
      <c r="G66" s="147"/>
      <c r="H66" s="147"/>
      <c r="I66" s="152"/>
      <c r="J66" s="151"/>
      <c r="K66" s="139"/>
    </row>
    <row r="67" spans="1:11" ht="12.75" x14ac:dyDescent="0.2">
      <c r="A67" s="148" t="s">
        <v>24</v>
      </c>
      <c r="B67" s="148" t="s">
        <v>265</v>
      </c>
      <c r="C67" s="148" t="s">
        <v>234</v>
      </c>
      <c r="D67" s="154" t="s">
        <v>266</v>
      </c>
      <c r="E67" s="165" t="s">
        <v>267</v>
      </c>
      <c r="F67" s="150">
        <v>4974804</v>
      </c>
      <c r="G67" s="147">
        <v>54191</v>
      </c>
      <c r="H67" s="147"/>
      <c r="I67" s="147"/>
      <c r="J67" s="151"/>
      <c r="K67" s="139"/>
    </row>
    <row r="68" spans="1:11" ht="12.75" x14ac:dyDescent="0.2">
      <c r="A68" s="151"/>
      <c r="B68" s="151"/>
      <c r="C68" s="148"/>
      <c r="D68" s="149" t="s">
        <v>243</v>
      </c>
      <c r="E68" s="165"/>
      <c r="F68" s="150"/>
      <c r="G68" s="147"/>
      <c r="H68" s="155">
        <v>40326</v>
      </c>
      <c r="I68" s="156">
        <f>ROUND(H68/$H$68,4)</f>
        <v>1</v>
      </c>
      <c r="J68" s="153" t="s">
        <v>243</v>
      </c>
      <c r="K68" s="139"/>
    </row>
    <row r="69" spans="1:11" ht="12.75" x14ac:dyDescent="0.2">
      <c r="A69" s="151"/>
      <c r="B69" s="151"/>
      <c r="C69" s="148"/>
      <c r="D69" s="149"/>
      <c r="E69" s="165"/>
      <c r="F69" s="150"/>
      <c r="G69" s="147"/>
      <c r="H69" s="157"/>
      <c r="I69" s="158"/>
      <c r="J69" s="153"/>
      <c r="K69" s="139"/>
    </row>
    <row r="70" spans="1:11" ht="12.75" x14ac:dyDescent="0.2">
      <c r="A70" s="148" t="s">
        <v>24</v>
      </c>
      <c r="B70" s="148" t="s">
        <v>268</v>
      </c>
      <c r="C70" s="148" t="s">
        <v>234</v>
      </c>
      <c r="D70" s="149" t="s">
        <v>183</v>
      </c>
      <c r="E70" s="165" t="s">
        <v>267</v>
      </c>
      <c r="F70" s="150">
        <v>3202000</v>
      </c>
      <c r="G70" s="147">
        <v>19845</v>
      </c>
      <c r="H70" s="147"/>
      <c r="I70" s="147"/>
      <c r="J70" s="151"/>
      <c r="K70" s="139"/>
    </row>
    <row r="71" spans="1:11" ht="12.75" x14ac:dyDescent="0.2">
      <c r="A71" s="151"/>
      <c r="B71" s="151"/>
      <c r="C71" s="148"/>
      <c r="D71" s="149" t="s">
        <v>239</v>
      </c>
      <c r="E71" s="165"/>
      <c r="F71" s="150"/>
      <c r="G71" s="147"/>
      <c r="H71" s="147">
        <v>9290</v>
      </c>
      <c r="I71" s="152">
        <f>ROUND(H71/$H$74,4)</f>
        <v>0.70220000000000005</v>
      </c>
      <c r="J71" s="153" t="s">
        <v>239</v>
      </c>
      <c r="K71" s="139"/>
    </row>
    <row r="72" spans="1:11" ht="12.75" x14ac:dyDescent="0.2">
      <c r="A72" s="151"/>
      <c r="B72" s="151"/>
      <c r="C72" s="148"/>
      <c r="D72" s="149" t="s">
        <v>240</v>
      </c>
      <c r="E72" s="165"/>
      <c r="F72" s="150"/>
      <c r="G72" s="147"/>
      <c r="H72" s="147">
        <v>2960</v>
      </c>
      <c r="I72" s="152">
        <f>ROUND(H72/$H$74,4)</f>
        <v>0.22370000000000001</v>
      </c>
      <c r="J72" s="151" t="s">
        <v>240</v>
      </c>
      <c r="K72" s="139"/>
    </row>
    <row r="73" spans="1:11" ht="12.75" x14ac:dyDescent="0.2">
      <c r="A73" s="151"/>
      <c r="B73" s="151"/>
      <c r="C73" s="148"/>
      <c r="D73" s="154" t="s">
        <v>244</v>
      </c>
      <c r="E73" s="165"/>
      <c r="F73" s="150"/>
      <c r="G73" s="147"/>
      <c r="H73" s="147">
        <v>980</v>
      </c>
      <c r="I73" s="152">
        <f>ROUND(H73/$H$74,4)</f>
        <v>7.4099999999999999E-2</v>
      </c>
      <c r="J73" s="151"/>
      <c r="K73" s="139"/>
    </row>
    <row r="74" spans="1:11" ht="12.75" x14ac:dyDescent="0.2">
      <c r="A74" s="151"/>
      <c r="B74" s="151"/>
      <c r="C74" s="148"/>
      <c r="D74" s="148" t="s">
        <v>33</v>
      </c>
      <c r="E74" s="165"/>
      <c r="F74" s="150"/>
      <c r="G74" s="147"/>
      <c r="H74" s="155">
        <f>SUM(H71:H73)</f>
        <v>13230</v>
      </c>
      <c r="I74" s="156">
        <f>ROUND(H74/$H$74,4)</f>
        <v>1</v>
      </c>
      <c r="J74" s="151"/>
      <c r="K74" s="139"/>
    </row>
    <row r="75" spans="1:11" ht="12.75" x14ac:dyDescent="0.2">
      <c r="A75" s="151"/>
      <c r="B75" s="151"/>
      <c r="C75" s="148"/>
      <c r="D75" s="148"/>
      <c r="E75" s="165"/>
      <c r="F75" s="150"/>
      <c r="G75" s="147"/>
      <c r="H75" s="157"/>
      <c r="I75" s="158"/>
      <c r="J75" s="151"/>
      <c r="K75" s="139"/>
    </row>
    <row r="76" spans="1:11" ht="12.75" x14ac:dyDescent="0.2">
      <c r="A76" s="148" t="s">
        <v>24</v>
      </c>
      <c r="B76" s="148" t="s">
        <v>269</v>
      </c>
      <c r="C76" s="148" t="s">
        <v>234</v>
      </c>
      <c r="D76" s="149" t="s">
        <v>210</v>
      </c>
      <c r="E76" s="165" t="s">
        <v>270</v>
      </c>
      <c r="F76" s="150">
        <v>991272</v>
      </c>
      <c r="G76" s="147">
        <v>9997</v>
      </c>
      <c r="H76" s="147"/>
      <c r="I76" s="147"/>
      <c r="J76" s="151"/>
      <c r="K76" s="139"/>
    </row>
    <row r="77" spans="1:11" ht="12.75" x14ac:dyDescent="0.2">
      <c r="A77" s="151"/>
      <c r="B77" s="151"/>
      <c r="C77" s="148"/>
      <c r="D77" s="149" t="s">
        <v>243</v>
      </c>
      <c r="E77" s="165"/>
      <c r="F77" s="150"/>
      <c r="G77" s="147"/>
      <c r="H77" s="155">
        <v>6665</v>
      </c>
      <c r="I77" s="156">
        <f>ROUND(H77/$H$77,4)</f>
        <v>1</v>
      </c>
      <c r="J77" s="153" t="s">
        <v>243</v>
      </c>
      <c r="K77" s="139"/>
    </row>
    <row r="78" spans="1:11" ht="12.75" x14ac:dyDescent="0.2">
      <c r="A78" s="151"/>
      <c r="B78" s="151"/>
      <c r="C78" s="148"/>
      <c r="D78" s="147"/>
      <c r="E78" s="165"/>
      <c r="F78" s="150"/>
      <c r="G78" s="147"/>
      <c r="H78" s="147"/>
      <c r="I78" s="147"/>
      <c r="J78" s="151"/>
      <c r="K78" s="139"/>
    </row>
    <row r="79" spans="1:11" ht="12.75" x14ac:dyDescent="0.2">
      <c r="A79" s="148" t="s">
        <v>24</v>
      </c>
      <c r="B79" s="148" t="s">
        <v>271</v>
      </c>
      <c r="C79" s="148" t="s">
        <v>234</v>
      </c>
      <c r="D79" s="149" t="s">
        <v>185</v>
      </c>
      <c r="E79" s="165" t="s">
        <v>272</v>
      </c>
      <c r="F79" s="150">
        <v>6615900</v>
      </c>
      <c r="G79" s="147">
        <v>69820</v>
      </c>
      <c r="H79" s="147"/>
      <c r="I79" s="147"/>
      <c r="J79" s="151"/>
      <c r="K79" s="139"/>
    </row>
    <row r="80" spans="1:11" ht="12.75" x14ac:dyDescent="0.2">
      <c r="A80" s="151"/>
      <c r="B80" s="151"/>
      <c r="C80" s="148"/>
      <c r="D80" s="149" t="s">
        <v>261</v>
      </c>
      <c r="E80" s="165"/>
      <c r="F80" s="150"/>
      <c r="G80" s="147"/>
      <c r="H80" s="147">
        <v>1887</v>
      </c>
      <c r="I80" s="152">
        <f t="shared" ref="I80:I85" si="1">ROUND(H80/$H$86,4)</f>
        <v>4.1500000000000002E-2</v>
      </c>
      <c r="J80" s="151"/>
      <c r="K80" s="139"/>
    </row>
    <row r="81" spans="1:11" ht="12.75" x14ac:dyDescent="0.2">
      <c r="A81" s="151"/>
      <c r="B81" s="151"/>
      <c r="C81" s="148"/>
      <c r="D81" s="149" t="s">
        <v>238</v>
      </c>
      <c r="E81" s="165"/>
      <c r="F81" s="150"/>
      <c r="G81" s="147"/>
      <c r="H81" s="147">
        <v>5619</v>
      </c>
      <c r="I81" s="152">
        <f t="shared" si="1"/>
        <v>0.1236</v>
      </c>
      <c r="J81" s="151"/>
      <c r="K81" s="139"/>
    </row>
    <row r="82" spans="1:11" ht="12.75" x14ac:dyDescent="0.2">
      <c r="A82" s="151"/>
      <c r="B82" s="151"/>
      <c r="C82" s="148"/>
      <c r="D82" s="149" t="s">
        <v>241</v>
      </c>
      <c r="E82" s="165"/>
      <c r="F82" s="150"/>
      <c r="G82" s="147"/>
      <c r="H82" s="147">
        <v>1082</v>
      </c>
      <c r="I82" s="152">
        <f t="shared" si="1"/>
        <v>2.3800000000000002E-2</v>
      </c>
      <c r="J82" s="151"/>
      <c r="K82" s="139"/>
    </row>
    <row r="83" spans="1:11" ht="12.75" x14ac:dyDescent="0.2">
      <c r="A83" s="151"/>
      <c r="B83" s="151"/>
      <c r="C83" s="148"/>
      <c r="D83" s="149" t="s">
        <v>239</v>
      </c>
      <c r="E83" s="165"/>
      <c r="F83" s="150"/>
      <c r="G83" s="147"/>
      <c r="H83" s="147">
        <v>30132</v>
      </c>
      <c r="I83" s="152">
        <f t="shared" si="1"/>
        <v>0.66259999999999997</v>
      </c>
      <c r="J83" s="153" t="s">
        <v>239</v>
      </c>
      <c r="K83" s="139"/>
    </row>
    <row r="84" spans="1:11" ht="12.75" x14ac:dyDescent="0.2">
      <c r="A84" s="151"/>
      <c r="B84" s="151"/>
      <c r="C84" s="148"/>
      <c r="D84" s="149" t="s">
        <v>240</v>
      </c>
      <c r="E84" s="165"/>
      <c r="F84" s="150"/>
      <c r="G84" s="147"/>
      <c r="H84" s="147">
        <v>6020</v>
      </c>
      <c r="I84" s="152">
        <f t="shared" si="1"/>
        <v>0.13239999999999999</v>
      </c>
      <c r="J84" s="151"/>
      <c r="K84" s="139"/>
    </row>
    <row r="85" spans="1:11" ht="12.75" x14ac:dyDescent="0.2">
      <c r="A85" s="151"/>
      <c r="B85" s="151"/>
      <c r="C85" s="148"/>
      <c r="D85" s="154" t="s">
        <v>244</v>
      </c>
      <c r="E85" s="165"/>
      <c r="F85" s="150"/>
      <c r="G85" s="147"/>
      <c r="H85" s="147">
        <v>734</v>
      </c>
      <c r="I85" s="152">
        <f t="shared" si="1"/>
        <v>1.61E-2</v>
      </c>
      <c r="J85" s="151"/>
      <c r="K85" s="139"/>
    </row>
    <row r="86" spans="1:11" ht="12.75" x14ac:dyDescent="0.2">
      <c r="A86" s="151"/>
      <c r="B86" s="151"/>
      <c r="C86" s="148"/>
      <c r="D86" s="148" t="s">
        <v>33</v>
      </c>
      <c r="E86" s="165"/>
      <c r="F86" s="150"/>
      <c r="G86" s="147"/>
      <c r="H86" s="155">
        <f>SUM(H80:H85)</f>
        <v>45474</v>
      </c>
      <c r="I86" s="156">
        <f>SUM(I80:I85)</f>
        <v>0.99999999999999989</v>
      </c>
      <c r="J86" s="151"/>
      <c r="K86" s="139"/>
    </row>
    <row r="87" spans="1:11" ht="12.75" x14ac:dyDescent="0.2">
      <c r="A87" s="151"/>
      <c r="B87" s="151"/>
      <c r="C87" s="148"/>
      <c r="D87" s="148"/>
      <c r="E87" s="165"/>
      <c r="F87" s="150"/>
      <c r="G87" s="147"/>
      <c r="H87" s="157"/>
      <c r="I87" s="158"/>
      <c r="J87" s="151"/>
      <c r="K87" s="139"/>
    </row>
    <row r="88" spans="1:11" ht="12.75" x14ac:dyDescent="0.2">
      <c r="A88" s="148" t="s">
        <v>24</v>
      </c>
      <c r="B88" s="148" t="s">
        <v>273</v>
      </c>
      <c r="C88" s="148" t="s">
        <v>234</v>
      </c>
      <c r="D88" s="149" t="s">
        <v>87</v>
      </c>
      <c r="E88" s="165" t="s">
        <v>274</v>
      </c>
      <c r="F88" s="150">
        <v>4562000</v>
      </c>
      <c r="G88" s="147">
        <v>57629</v>
      </c>
      <c r="H88" s="147"/>
      <c r="I88" s="147"/>
      <c r="J88" s="151"/>
      <c r="K88" s="139"/>
    </row>
    <row r="89" spans="1:11" ht="12.75" x14ac:dyDescent="0.2">
      <c r="A89" s="151"/>
      <c r="B89" s="151"/>
      <c r="C89" s="148"/>
      <c r="D89" s="149" t="s">
        <v>240</v>
      </c>
      <c r="E89" s="165"/>
      <c r="F89" s="150"/>
      <c r="G89" s="147"/>
      <c r="H89" s="147">
        <v>832</v>
      </c>
      <c r="I89" s="152">
        <f>ROUND(H89/$H$92,4)</f>
        <v>1.83E-2</v>
      </c>
      <c r="J89" s="151"/>
      <c r="K89" s="139"/>
    </row>
    <row r="90" spans="1:11" ht="12.75" x14ac:dyDescent="0.2">
      <c r="A90" s="151"/>
      <c r="B90" s="151"/>
      <c r="C90" s="148"/>
      <c r="D90" s="149" t="s">
        <v>243</v>
      </c>
      <c r="E90" s="165"/>
      <c r="F90" s="150"/>
      <c r="G90" s="147"/>
      <c r="H90" s="147">
        <v>43566</v>
      </c>
      <c r="I90" s="152">
        <f>ROUND(H90/$H$92,4)</f>
        <v>0.95599999999999996</v>
      </c>
      <c r="J90" s="153" t="s">
        <v>243</v>
      </c>
      <c r="K90" s="139"/>
    </row>
    <row r="91" spans="1:11" ht="12.75" x14ac:dyDescent="0.2">
      <c r="A91" s="151"/>
      <c r="B91" s="151"/>
      <c r="C91" s="148"/>
      <c r="D91" s="154" t="s">
        <v>244</v>
      </c>
      <c r="E91" s="165"/>
      <c r="F91" s="150"/>
      <c r="G91" s="147"/>
      <c r="H91" s="147">
        <v>1173</v>
      </c>
      <c r="I91" s="152">
        <f>ROUND(H91/$H$92,4)</f>
        <v>2.5700000000000001E-2</v>
      </c>
      <c r="J91" s="151"/>
      <c r="K91" s="139"/>
    </row>
    <row r="92" spans="1:11" ht="12.75" x14ac:dyDescent="0.2">
      <c r="A92" s="151"/>
      <c r="B92" s="151"/>
      <c r="C92" s="148"/>
      <c r="D92" s="148" t="s">
        <v>33</v>
      </c>
      <c r="E92" s="165"/>
      <c r="F92" s="150"/>
      <c r="G92" s="147"/>
      <c r="H92" s="155">
        <f>SUM(H89:H91)</f>
        <v>45571</v>
      </c>
      <c r="I92" s="156">
        <f>SUM(I89:I91)</f>
        <v>1</v>
      </c>
      <c r="J92" s="151"/>
      <c r="K92" s="139"/>
    </row>
    <row r="93" spans="1:11" ht="12.75" x14ac:dyDescent="0.2">
      <c r="A93" s="151"/>
      <c r="B93" s="151"/>
      <c r="C93" s="148"/>
      <c r="D93" s="148"/>
      <c r="E93" s="165"/>
      <c r="F93" s="150"/>
      <c r="G93" s="147"/>
      <c r="H93" s="157"/>
      <c r="I93" s="158"/>
      <c r="J93" s="151"/>
      <c r="K93" s="139"/>
    </row>
    <row r="94" spans="1:11" ht="12.75" x14ac:dyDescent="0.2">
      <c r="A94" s="148" t="s">
        <v>24</v>
      </c>
      <c r="B94" s="148" t="s">
        <v>275</v>
      </c>
      <c r="C94" s="148" t="s">
        <v>234</v>
      </c>
      <c r="D94" s="154" t="s">
        <v>276</v>
      </c>
      <c r="E94" s="165" t="s">
        <v>277</v>
      </c>
      <c r="F94" s="150">
        <v>888350</v>
      </c>
      <c r="G94" s="147">
        <v>10830</v>
      </c>
      <c r="H94" s="147"/>
      <c r="I94" s="147"/>
      <c r="J94" s="151"/>
      <c r="K94" s="139"/>
    </row>
    <row r="95" spans="1:11" ht="12.75" x14ac:dyDescent="0.2">
      <c r="A95" s="151"/>
      <c r="B95" s="151"/>
      <c r="C95" s="148"/>
      <c r="D95" s="149" t="s">
        <v>240</v>
      </c>
      <c r="E95" s="165"/>
      <c r="F95" s="150"/>
      <c r="G95" s="147"/>
      <c r="H95" s="147">
        <v>907</v>
      </c>
      <c r="I95" s="152">
        <f>ROUND(H95/$H$97,4)</f>
        <v>0.10489999999999999</v>
      </c>
      <c r="J95" s="151"/>
      <c r="K95" s="139"/>
    </row>
    <row r="96" spans="1:11" ht="12.75" x14ac:dyDescent="0.2">
      <c r="A96" s="151"/>
      <c r="B96" s="151"/>
      <c r="C96" s="148"/>
      <c r="D96" s="154" t="s">
        <v>244</v>
      </c>
      <c r="E96" s="165"/>
      <c r="F96" s="150"/>
      <c r="G96" s="147"/>
      <c r="H96" s="147">
        <v>7738</v>
      </c>
      <c r="I96" s="152">
        <f>ROUND(H96/$H$97,4)</f>
        <v>0.89510000000000001</v>
      </c>
      <c r="J96" s="159" t="s">
        <v>244</v>
      </c>
      <c r="K96" s="139"/>
    </row>
    <row r="97" spans="1:11" ht="12.75" x14ac:dyDescent="0.2">
      <c r="A97" s="151"/>
      <c r="B97" s="151"/>
      <c r="C97" s="148"/>
      <c r="D97" s="148" t="s">
        <v>33</v>
      </c>
      <c r="E97" s="165"/>
      <c r="F97" s="150"/>
      <c r="G97" s="147"/>
      <c r="H97" s="155">
        <f>SUM(H95:H96)</f>
        <v>8645</v>
      </c>
      <c r="I97" s="156">
        <f>SUM(I95:I96)</f>
        <v>1</v>
      </c>
      <c r="J97" s="151"/>
      <c r="K97" s="139"/>
    </row>
    <row r="98" spans="1:11" ht="12.75" x14ac:dyDescent="0.2">
      <c r="A98" s="151"/>
      <c r="B98" s="151"/>
      <c r="C98" s="148"/>
      <c r="D98" s="147"/>
      <c r="E98" s="165"/>
      <c r="F98" s="150"/>
      <c r="G98" s="147"/>
      <c r="H98" s="147"/>
      <c r="I98" s="147"/>
      <c r="J98" s="151"/>
      <c r="K98" s="139"/>
    </row>
    <row r="99" spans="1:11" ht="12.75" x14ac:dyDescent="0.2">
      <c r="A99" s="148" t="s">
        <v>24</v>
      </c>
      <c r="B99" s="148">
        <v>151</v>
      </c>
      <c r="C99" s="148" t="s">
        <v>234</v>
      </c>
      <c r="D99" s="149" t="s">
        <v>278</v>
      </c>
      <c r="E99" s="165" t="s">
        <v>279</v>
      </c>
      <c r="F99" s="150">
        <v>952891</v>
      </c>
      <c r="G99" s="147">
        <v>12300</v>
      </c>
      <c r="H99" s="147"/>
      <c r="I99" s="152"/>
      <c r="J99" s="151"/>
      <c r="K99" s="139"/>
    </row>
    <row r="100" spans="1:11" ht="12.75" x14ac:dyDescent="0.2">
      <c r="A100" s="151"/>
      <c r="B100" s="151"/>
      <c r="C100" s="148"/>
      <c r="D100" s="149" t="s">
        <v>238</v>
      </c>
      <c r="E100" s="165"/>
      <c r="F100" s="150"/>
      <c r="G100" s="147"/>
      <c r="H100" s="147">
        <v>3952</v>
      </c>
      <c r="I100" s="152">
        <f>ROUND(H100/$H$103,4)</f>
        <v>0.51270000000000004</v>
      </c>
      <c r="J100" s="153" t="s">
        <v>238</v>
      </c>
      <c r="K100" s="139"/>
    </row>
    <row r="101" spans="1:11" ht="12.75" x14ac:dyDescent="0.2">
      <c r="A101" s="151"/>
      <c r="B101" s="151"/>
      <c r="C101" s="148"/>
      <c r="D101" s="149" t="s">
        <v>239</v>
      </c>
      <c r="E101" s="165"/>
      <c r="F101" s="150"/>
      <c r="G101" s="147"/>
      <c r="H101" s="147">
        <v>1547</v>
      </c>
      <c r="I101" s="152">
        <f>ROUND(H101/$H$103,4)</f>
        <v>0.20069999999999999</v>
      </c>
      <c r="J101" s="151" t="s">
        <v>239</v>
      </c>
      <c r="K101" s="139"/>
    </row>
    <row r="102" spans="1:11" ht="12.75" x14ac:dyDescent="0.2">
      <c r="A102" s="151"/>
      <c r="B102" s="151"/>
      <c r="C102" s="148"/>
      <c r="D102" s="149" t="s">
        <v>240</v>
      </c>
      <c r="E102" s="165"/>
      <c r="F102" s="150"/>
      <c r="G102" s="147"/>
      <c r="H102" s="147">
        <v>2209</v>
      </c>
      <c r="I102" s="152">
        <f>ROUND(H102/$H$103,4)</f>
        <v>0.28660000000000002</v>
      </c>
      <c r="J102" s="151" t="s">
        <v>240</v>
      </c>
      <c r="K102" s="139"/>
    </row>
    <row r="103" spans="1:11" ht="12.75" x14ac:dyDescent="0.2">
      <c r="A103" s="151"/>
      <c r="B103" s="151"/>
      <c r="C103" s="148"/>
      <c r="D103" s="148" t="s">
        <v>33</v>
      </c>
      <c r="E103" s="165"/>
      <c r="F103" s="150"/>
      <c r="G103" s="147"/>
      <c r="H103" s="155">
        <f>SUM(H100:H102)</f>
        <v>7708</v>
      </c>
      <c r="I103" s="156">
        <f>SUM(I100:I102)</f>
        <v>1</v>
      </c>
      <c r="J103" s="151"/>
      <c r="K103" s="139"/>
    </row>
    <row r="104" spans="1:11" ht="12.75" x14ac:dyDescent="0.2">
      <c r="A104" s="147"/>
      <c r="B104" s="147"/>
      <c r="C104" s="169"/>
      <c r="D104" s="147"/>
      <c r="E104" s="165"/>
      <c r="F104" s="147"/>
      <c r="G104" s="147"/>
      <c r="H104" s="147"/>
      <c r="I104" s="147"/>
      <c r="J104" s="147"/>
      <c r="K104" s="139"/>
    </row>
    <row r="105" spans="1:11" ht="12.75" x14ac:dyDescent="0.2">
      <c r="A105" s="148" t="s">
        <v>24</v>
      </c>
      <c r="B105" s="148">
        <v>140</v>
      </c>
      <c r="C105" s="148" t="s">
        <v>234</v>
      </c>
      <c r="D105" s="149" t="s">
        <v>177</v>
      </c>
      <c r="E105" s="165" t="s">
        <v>280</v>
      </c>
      <c r="F105" s="150">
        <v>19100000</v>
      </c>
      <c r="G105" s="147">
        <v>122790</v>
      </c>
      <c r="H105" s="147"/>
      <c r="I105" s="152"/>
      <c r="J105" s="151"/>
      <c r="K105" s="139"/>
    </row>
    <row r="106" spans="1:11" ht="12.75" x14ac:dyDescent="0.2">
      <c r="A106" s="151"/>
      <c r="B106" s="148"/>
      <c r="C106" s="148"/>
      <c r="D106" s="149" t="s">
        <v>261</v>
      </c>
      <c r="E106" s="165"/>
      <c r="F106" s="150"/>
      <c r="G106" s="147"/>
      <c r="H106" s="147">
        <v>4331</v>
      </c>
      <c r="I106" s="152">
        <f>ROUND(H106/$H$110,4)</f>
        <v>5.74E-2</v>
      </c>
      <c r="J106" s="151"/>
      <c r="K106" s="139"/>
    </row>
    <row r="107" spans="1:11" ht="12.75" x14ac:dyDescent="0.2">
      <c r="A107" s="151"/>
      <c r="B107" s="148"/>
      <c r="C107" s="148"/>
      <c r="D107" s="149" t="s">
        <v>238</v>
      </c>
      <c r="E107" s="165"/>
      <c r="F107" s="150"/>
      <c r="G107" s="147"/>
      <c r="H107" s="147">
        <v>18528</v>
      </c>
      <c r="I107" s="152">
        <f>ROUND(H107/$H$110,4)</f>
        <v>0.2455</v>
      </c>
      <c r="J107" s="151" t="s">
        <v>238</v>
      </c>
      <c r="K107" s="139"/>
    </row>
    <row r="108" spans="1:11" ht="12.75" x14ac:dyDescent="0.2">
      <c r="A108" s="151"/>
      <c r="B108" s="148"/>
      <c r="C108" s="148"/>
      <c r="D108" s="149" t="s">
        <v>239</v>
      </c>
      <c r="E108" s="165"/>
      <c r="F108" s="150"/>
      <c r="G108" s="147"/>
      <c r="H108" s="147">
        <v>31313</v>
      </c>
      <c r="I108" s="152">
        <f>ROUND(H108/$H$110,4)</f>
        <v>0.41499999999999998</v>
      </c>
      <c r="J108" s="153" t="s">
        <v>239</v>
      </c>
      <c r="K108" s="139"/>
    </row>
    <row r="109" spans="1:11" ht="12.75" x14ac:dyDescent="0.2">
      <c r="A109" s="151"/>
      <c r="B109" s="148"/>
      <c r="C109" s="148"/>
      <c r="D109" s="149" t="s">
        <v>240</v>
      </c>
      <c r="E109" s="165"/>
      <c r="F109" s="150"/>
      <c r="G109" s="147"/>
      <c r="H109" s="147">
        <v>21290</v>
      </c>
      <c r="I109" s="152">
        <f>ROUND(H109/$H$110,4)</f>
        <v>0.28210000000000002</v>
      </c>
      <c r="J109" s="151" t="s">
        <v>240</v>
      </c>
      <c r="K109" s="139"/>
    </row>
    <row r="110" spans="1:11" ht="12.75" x14ac:dyDescent="0.2">
      <c r="A110" s="151"/>
      <c r="B110" s="148"/>
      <c r="C110" s="148"/>
      <c r="D110" s="148" t="s">
        <v>33</v>
      </c>
      <c r="E110" s="165"/>
      <c r="F110" s="150"/>
      <c r="G110" s="147"/>
      <c r="H110" s="155">
        <f>SUM(H106:H109)</f>
        <v>75462</v>
      </c>
      <c r="I110" s="156">
        <f>SUM(I105:I109)</f>
        <v>1</v>
      </c>
      <c r="J110" s="151"/>
      <c r="K110" s="139"/>
    </row>
    <row r="111" spans="1:11" ht="12.75" x14ac:dyDescent="0.2">
      <c r="A111" s="147"/>
      <c r="B111" s="147"/>
      <c r="C111" s="169"/>
      <c r="D111" s="147"/>
      <c r="E111" s="165"/>
      <c r="F111" s="147"/>
      <c r="G111" s="147"/>
      <c r="H111" s="147"/>
      <c r="I111" s="147"/>
      <c r="J111" s="147"/>
      <c r="K111" s="139"/>
    </row>
    <row r="112" spans="1:11" ht="12.75" x14ac:dyDescent="0.2">
      <c r="A112" s="148" t="s">
        <v>24</v>
      </c>
      <c r="B112" s="148">
        <v>188</v>
      </c>
      <c r="C112" s="148" t="s">
        <v>234</v>
      </c>
      <c r="D112" s="149" t="s">
        <v>58</v>
      </c>
      <c r="E112" s="165" t="s">
        <v>281</v>
      </c>
      <c r="F112" s="150">
        <v>5579800</v>
      </c>
      <c r="G112" s="147">
        <v>33000</v>
      </c>
      <c r="H112" s="147"/>
      <c r="I112" s="152"/>
      <c r="J112" s="151"/>
      <c r="K112" s="139"/>
    </row>
    <row r="113" spans="1:11" ht="12.75" x14ac:dyDescent="0.2">
      <c r="A113" s="151"/>
      <c r="B113" s="148"/>
      <c r="C113" s="148"/>
      <c r="D113" s="149" t="s">
        <v>239</v>
      </c>
      <c r="E113" s="165"/>
      <c r="F113" s="150"/>
      <c r="G113" s="147"/>
      <c r="H113" s="147">
        <v>16523</v>
      </c>
      <c r="I113" s="152">
        <f>ROUND(H113/$H$115,4)</f>
        <v>0.7782</v>
      </c>
      <c r="J113" s="153" t="s">
        <v>239</v>
      </c>
      <c r="K113" s="139"/>
    </row>
    <row r="114" spans="1:11" ht="12.75" x14ac:dyDescent="0.2">
      <c r="A114" s="151"/>
      <c r="B114" s="148"/>
      <c r="C114" s="148"/>
      <c r="D114" s="149" t="s">
        <v>240</v>
      </c>
      <c r="E114" s="165"/>
      <c r="F114" s="150"/>
      <c r="G114" s="147"/>
      <c r="H114" s="147">
        <v>4710</v>
      </c>
      <c r="I114" s="152">
        <f>ROUND(H114/$H$115,4)</f>
        <v>0.2218</v>
      </c>
      <c r="J114" s="151"/>
      <c r="K114" s="139"/>
    </row>
    <row r="115" spans="1:11" ht="12.75" x14ac:dyDescent="0.2">
      <c r="A115" s="151"/>
      <c r="B115" s="148"/>
      <c r="C115" s="148"/>
      <c r="D115" s="148" t="s">
        <v>33</v>
      </c>
      <c r="E115" s="165"/>
      <c r="F115" s="150"/>
      <c r="G115" s="147"/>
      <c r="H115" s="155">
        <f>SUM(H113:H114)</f>
        <v>21233</v>
      </c>
      <c r="I115" s="156">
        <f>SUM(I113:I114)</f>
        <v>1</v>
      </c>
      <c r="J115" s="151"/>
      <c r="K115" s="139"/>
    </row>
    <row r="116" spans="1:11" ht="12.75" x14ac:dyDescent="0.2">
      <c r="A116" s="147"/>
      <c r="B116" s="147"/>
      <c r="C116" s="169"/>
      <c r="D116" s="147"/>
      <c r="E116" s="165"/>
      <c r="F116" s="147"/>
      <c r="G116" s="147"/>
      <c r="H116" s="147"/>
      <c r="I116" s="147"/>
      <c r="J116" s="147"/>
      <c r="K116" s="139"/>
    </row>
    <row r="117" spans="1:11" ht="12.75" x14ac:dyDescent="0.2">
      <c r="A117" s="148" t="s">
        <v>24</v>
      </c>
      <c r="B117" s="148">
        <v>113</v>
      </c>
      <c r="C117" s="148" t="s">
        <v>234</v>
      </c>
      <c r="D117" s="149" t="s">
        <v>25</v>
      </c>
      <c r="E117" s="165" t="s">
        <v>282</v>
      </c>
      <c r="F117" s="150">
        <v>3621000</v>
      </c>
      <c r="G117" s="147">
        <v>33600</v>
      </c>
      <c r="H117" s="147"/>
      <c r="I117" s="152"/>
      <c r="J117" s="151"/>
      <c r="K117" s="139"/>
    </row>
    <row r="118" spans="1:11" ht="12.75" x14ac:dyDescent="0.2">
      <c r="A118" s="151"/>
      <c r="B118" s="151"/>
      <c r="C118" s="148"/>
      <c r="D118" s="149" t="s">
        <v>261</v>
      </c>
      <c r="E118" s="165"/>
      <c r="F118" s="150"/>
      <c r="G118" s="147"/>
      <c r="H118" s="147">
        <v>4474</v>
      </c>
      <c r="I118" s="152">
        <f>ROUND(H118/$H$123,4)</f>
        <v>0.24729999999999999</v>
      </c>
      <c r="J118" s="151" t="s">
        <v>261</v>
      </c>
      <c r="K118" s="139"/>
    </row>
    <row r="119" spans="1:11" ht="12.75" x14ac:dyDescent="0.2">
      <c r="A119" s="151"/>
      <c r="B119" s="151"/>
      <c r="C119" s="148"/>
      <c r="D119" s="149" t="s">
        <v>241</v>
      </c>
      <c r="E119" s="165"/>
      <c r="F119" s="150"/>
      <c r="G119" s="147"/>
      <c r="H119" s="147">
        <v>2688</v>
      </c>
      <c r="I119" s="152">
        <f>ROUND(H119/$H$123,4)</f>
        <v>0.14860000000000001</v>
      </c>
      <c r="J119" s="151"/>
      <c r="K119" s="139"/>
    </row>
    <row r="120" spans="1:11" ht="12.75" x14ac:dyDescent="0.2">
      <c r="A120" s="151"/>
      <c r="B120" s="151"/>
      <c r="C120" s="148"/>
      <c r="D120" s="149" t="s">
        <v>240</v>
      </c>
      <c r="E120" s="165"/>
      <c r="F120" s="150"/>
      <c r="G120" s="147"/>
      <c r="H120" s="147">
        <v>9293</v>
      </c>
      <c r="I120" s="152">
        <f>ROUND(H120/$H$123,4)</f>
        <v>0.51370000000000005</v>
      </c>
      <c r="J120" s="153" t="s">
        <v>240</v>
      </c>
      <c r="K120" s="139"/>
    </row>
    <row r="121" spans="1:11" ht="12.75" x14ac:dyDescent="0.2">
      <c r="A121" s="151"/>
      <c r="B121" s="151"/>
      <c r="C121" s="148"/>
      <c r="D121" s="149" t="s">
        <v>262</v>
      </c>
      <c r="E121" s="165"/>
      <c r="F121" s="150"/>
      <c r="G121" s="147"/>
      <c r="H121" s="147">
        <v>1121</v>
      </c>
      <c r="I121" s="152">
        <f>ROUND(H121/$H$123,4)</f>
        <v>6.2E-2</v>
      </c>
      <c r="J121" s="151"/>
      <c r="K121" s="139"/>
    </row>
    <row r="122" spans="1:11" ht="12.75" x14ac:dyDescent="0.2">
      <c r="A122" s="151"/>
      <c r="B122" s="151"/>
      <c r="C122" s="148"/>
      <c r="D122" s="149" t="s">
        <v>242</v>
      </c>
      <c r="E122" s="165"/>
      <c r="F122" s="150"/>
      <c r="G122" s="147"/>
      <c r="H122" s="147">
        <v>515</v>
      </c>
      <c r="I122" s="152">
        <f>ROUND(H122/$H$123,4)-0.0001</f>
        <v>2.8400000000000002E-2</v>
      </c>
      <c r="J122" s="151"/>
      <c r="K122" s="139"/>
    </row>
    <row r="123" spans="1:11" ht="12.75" x14ac:dyDescent="0.2">
      <c r="A123" s="151"/>
      <c r="B123" s="151"/>
      <c r="C123" s="148"/>
      <c r="D123" s="148" t="s">
        <v>33</v>
      </c>
      <c r="E123" s="165"/>
      <c r="F123" s="150"/>
      <c r="G123" s="147"/>
      <c r="H123" s="155">
        <f>SUM(H118:H122)</f>
        <v>18091</v>
      </c>
      <c r="I123" s="156">
        <f>SUM(I118:I122)</f>
        <v>1</v>
      </c>
      <c r="J123" s="151"/>
      <c r="K123" s="139"/>
    </row>
    <row r="124" spans="1:11" ht="12.75" x14ac:dyDescent="0.2">
      <c r="A124" s="151"/>
      <c r="B124" s="151"/>
      <c r="C124" s="148"/>
      <c r="D124" s="147"/>
      <c r="E124" s="165"/>
      <c r="F124" s="150"/>
      <c r="G124" s="147"/>
      <c r="H124" s="147"/>
      <c r="I124" s="152"/>
      <c r="J124" s="151"/>
      <c r="K124" s="139"/>
    </row>
    <row r="125" spans="1:11" ht="12.75" x14ac:dyDescent="0.2">
      <c r="A125" s="148" t="s">
        <v>24</v>
      </c>
      <c r="B125" s="148">
        <v>150</v>
      </c>
      <c r="C125" s="148" t="s">
        <v>234</v>
      </c>
      <c r="D125" s="149" t="s">
        <v>49</v>
      </c>
      <c r="E125" s="165" t="s">
        <v>283</v>
      </c>
      <c r="F125" s="150">
        <v>3626976</v>
      </c>
      <c r="G125" s="147">
        <v>19500</v>
      </c>
      <c r="H125" s="147"/>
      <c r="I125" s="152"/>
      <c r="J125" s="151"/>
      <c r="K125" s="139"/>
    </row>
    <row r="126" spans="1:11" ht="12.75" x14ac:dyDescent="0.2">
      <c r="A126" s="151"/>
      <c r="B126" s="148"/>
      <c r="C126" s="148"/>
      <c r="D126" s="149" t="s">
        <v>284</v>
      </c>
      <c r="E126" s="165"/>
      <c r="F126" s="150"/>
      <c r="G126" s="147"/>
      <c r="H126" s="147">
        <v>2655</v>
      </c>
      <c r="I126" s="152">
        <f>ROUND(H126/$H$130,4)</f>
        <v>0.26879999999999998</v>
      </c>
      <c r="J126" s="151" t="s">
        <v>284</v>
      </c>
      <c r="K126" s="139"/>
    </row>
    <row r="127" spans="1:11" ht="12.75" x14ac:dyDescent="0.2">
      <c r="A127" s="151"/>
      <c r="B127" s="148"/>
      <c r="C127" s="148"/>
      <c r="D127" s="149" t="s">
        <v>240</v>
      </c>
      <c r="E127" s="165"/>
      <c r="F127" s="150"/>
      <c r="G127" s="147"/>
      <c r="H127" s="147">
        <v>6466</v>
      </c>
      <c r="I127" s="152">
        <f>ROUND(H127/$H$130,4)</f>
        <v>0.65469999999999995</v>
      </c>
      <c r="J127" s="153" t="s">
        <v>240</v>
      </c>
      <c r="K127" s="139"/>
    </row>
    <row r="128" spans="1:11" ht="12.75" x14ac:dyDescent="0.2">
      <c r="A128" s="151"/>
      <c r="B128" s="148"/>
      <c r="C128" s="148"/>
      <c r="D128" s="149" t="s">
        <v>244</v>
      </c>
      <c r="E128" s="165"/>
      <c r="F128" s="150"/>
      <c r="G128" s="147"/>
      <c r="H128" s="147">
        <v>252</v>
      </c>
      <c r="I128" s="152">
        <f>ROUND(H128/$H$130,4)</f>
        <v>2.5499999999999998E-2</v>
      </c>
      <c r="J128" s="151"/>
      <c r="K128" s="139"/>
    </row>
    <row r="129" spans="1:11" ht="12.75" x14ac:dyDescent="0.2">
      <c r="A129" s="151"/>
      <c r="B129" s="148"/>
      <c r="C129" s="148"/>
      <c r="D129" s="149" t="s">
        <v>285</v>
      </c>
      <c r="E129" s="165"/>
      <c r="F129" s="150"/>
      <c r="G129" s="147"/>
      <c r="H129" s="147">
        <v>504</v>
      </c>
      <c r="I129" s="152">
        <f>ROUND(H129/$H$130,4)</f>
        <v>5.0999999999999997E-2</v>
      </c>
      <c r="J129" s="151"/>
      <c r="K129" s="139"/>
    </row>
    <row r="130" spans="1:11" ht="12.75" x14ac:dyDescent="0.2">
      <c r="A130" s="151"/>
      <c r="B130" s="148"/>
      <c r="C130" s="148"/>
      <c r="D130" s="148" t="s">
        <v>33</v>
      </c>
      <c r="E130" s="165"/>
      <c r="F130" s="150"/>
      <c r="G130" s="147"/>
      <c r="H130" s="155">
        <f>SUM(H126:H129)</f>
        <v>9877</v>
      </c>
      <c r="I130" s="156">
        <f>SUM(I125:I129)</f>
        <v>1</v>
      </c>
      <c r="J130" s="151"/>
      <c r="K130" s="139"/>
    </row>
    <row r="131" spans="1:11" ht="12.75" x14ac:dyDescent="0.2">
      <c r="A131" s="151"/>
      <c r="B131" s="151"/>
      <c r="C131" s="148"/>
      <c r="D131" s="148"/>
      <c r="E131" s="165"/>
      <c r="F131" s="150"/>
      <c r="G131" s="147"/>
      <c r="H131" s="147"/>
      <c r="I131" s="152"/>
      <c r="J131" s="151"/>
      <c r="K131" s="139"/>
    </row>
    <row r="132" spans="1:11" ht="12.75" x14ac:dyDescent="0.2">
      <c r="A132" s="148" t="s">
        <v>24</v>
      </c>
      <c r="B132" s="148">
        <v>145</v>
      </c>
      <c r="C132" s="148" t="s">
        <v>234</v>
      </c>
      <c r="D132" s="147" t="s">
        <v>286</v>
      </c>
      <c r="E132" s="204" t="s">
        <v>287</v>
      </c>
      <c r="F132" s="150">
        <v>1008800</v>
      </c>
      <c r="G132" s="147">
        <v>5341</v>
      </c>
      <c r="H132" s="147"/>
      <c r="I132" s="152"/>
      <c r="J132" s="151"/>
      <c r="K132" s="139"/>
    </row>
    <row r="133" spans="1:11" ht="12.75" x14ac:dyDescent="0.2">
      <c r="A133" s="148"/>
      <c r="B133" s="148"/>
      <c r="C133" s="148"/>
      <c r="D133" s="149" t="s">
        <v>239</v>
      </c>
      <c r="E133" s="165"/>
      <c r="F133" s="150"/>
      <c r="G133" s="147"/>
      <c r="H133" s="155">
        <v>2682</v>
      </c>
      <c r="I133" s="156">
        <f>ROUND(H133/$H$133,4)</f>
        <v>1</v>
      </c>
      <c r="J133" s="153" t="s">
        <v>239</v>
      </c>
      <c r="K133" s="139"/>
    </row>
    <row r="134" spans="1:11" ht="12.75" x14ac:dyDescent="0.2">
      <c r="A134" s="148"/>
      <c r="B134" s="148"/>
      <c r="C134" s="148"/>
      <c r="D134" s="149"/>
      <c r="E134" s="165"/>
      <c r="F134" s="150"/>
      <c r="G134" s="147"/>
      <c r="H134" s="147"/>
      <c r="I134" s="152"/>
      <c r="J134" s="151"/>
      <c r="K134" s="139"/>
    </row>
    <row r="135" spans="1:11" ht="12.75" x14ac:dyDescent="0.2">
      <c r="A135" s="148" t="s">
        <v>24</v>
      </c>
      <c r="B135" s="160">
        <v>128</v>
      </c>
      <c r="C135" s="148" t="s">
        <v>234</v>
      </c>
      <c r="D135" s="147" t="s">
        <v>129</v>
      </c>
      <c r="E135" s="204">
        <v>34759</v>
      </c>
      <c r="F135" s="150">
        <v>6266980</v>
      </c>
      <c r="G135" s="147">
        <v>58000</v>
      </c>
      <c r="H135" s="147"/>
      <c r="I135" s="152"/>
      <c r="J135" s="147"/>
      <c r="K135" s="139"/>
    </row>
    <row r="136" spans="1:11" ht="12.75" x14ac:dyDescent="0.2">
      <c r="A136" s="147"/>
      <c r="B136" s="147"/>
      <c r="C136" s="169"/>
      <c r="D136" s="149" t="s">
        <v>262</v>
      </c>
      <c r="E136" s="165"/>
      <c r="F136" s="150"/>
      <c r="G136" s="147"/>
      <c r="H136" s="147">
        <v>44262</v>
      </c>
      <c r="I136" s="152">
        <f>H136/H139</f>
        <v>0.89008204633204635</v>
      </c>
      <c r="J136" s="153" t="s">
        <v>262</v>
      </c>
      <c r="K136" s="139"/>
    </row>
    <row r="137" spans="1:11" ht="12.75" x14ac:dyDescent="0.2">
      <c r="A137" s="147"/>
      <c r="B137" s="147"/>
      <c r="C137" s="169"/>
      <c r="D137" s="149" t="s">
        <v>288</v>
      </c>
      <c r="E137" s="165"/>
      <c r="F137" s="150"/>
      <c r="G137" s="147"/>
      <c r="H137" s="147">
        <v>3909</v>
      </c>
      <c r="I137" s="152">
        <f>H137/H139</f>
        <v>7.8607625482625482E-2</v>
      </c>
      <c r="J137" s="153"/>
      <c r="K137" s="139"/>
    </row>
    <row r="138" spans="1:11" ht="12.75" x14ac:dyDescent="0.2">
      <c r="A138" s="147"/>
      <c r="B138" s="147"/>
      <c r="C138" s="169"/>
      <c r="D138" s="149" t="s">
        <v>285</v>
      </c>
      <c r="E138" s="165"/>
      <c r="F138" s="150"/>
      <c r="G138" s="147"/>
      <c r="H138" s="147">
        <v>1557</v>
      </c>
      <c r="I138" s="152">
        <f>H138/H139</f>
        <v>3.1310328185328189E-2</v>
      </c>
      <c r="J138" s="153"/>
      <c r="K138" s="139"/>
    </row>
    <row r="139" spans="1:11" ht="12.75" x14ac:dyDescent="0.2">
      <c r="A139" s="147"/>
      <c r="B139" s="147"/>
      <c r="C139" s="169"/>
      <c r="D139" s="148" t="s">
        <v>33</v>
      </c>
      <c r="E139" s="165"/>
      <c r="F139" s="150"/>
      <c r="G139" s="147"/>
      <c r="H139" s="155">
        <f>SUM(H136:H138)</f>
        <v>49728</v>
      </c>
      <c r="I139" s="156">
        <f>SUM(I136:I138)</f>
        <v>1</v>
      </c>
      <c r="J139" s="147"/>
      <c r="K139" s="139"/>
    </row>
    <row r="140" spans="1:11" ht="12.75" x14ac:dyDescent="0.2">
      <c r="A140" s="148" t="s">
        <v>24</v>
      </c>
      <c r="B140" s="160">
        <v>117</v>
      </c>
      <c r="C140" s="148" t="s">
        <v>289</v>
      </c>
      <c r="D140" s="147" t="s">
        <v>113</v>
      </c>
      <c r="E140" s="204">
        <v>35034</v>
      </c>
      <c r="F140" s="150">
        <v>1615000</v>
      </c>
      <c r="G140" s="147">
        <v>10380</v>
      </c>
      <c r="H140" s="147"/>
      <c r="I140" s="152"/>
      <c r="J140" s="147"/>
      <c r="K140" s="139"/>
    </row>
    <row r="141" spans="1:11" ht="12.75" x14ac:dyDescent="0.2">
      <c r="A141" s="147"/>
      <c r="B141" s="147"/>
      <c r="C141" s="169"/>
      <c r="D141" s="149" t="s">
        <v>261</v>
      </c>
      <c r="E141" s="165"/>
      <c r="F141" s="150"/>
      <c r="G141" s="147"/>
      <c r="H141" s="147">
        <v>603</v>
      </c>
      <c r="I141" s="152">
        <f>H141/H145</f>
        <v>0.1094970038133285</v>
      </c>
      <c r="J141" s="153"/>
      <c r="K141" s="139"/>
    </row>
    <row r="142" spans="1:11" ht="12.75" x14ac:dyDescent="0.2">
      <c r="A142" s="147"/>
      <c r="B142" s="147"/>
      <c r="C142" s="169"/>
      <c r="D142" s="149" t="s">
        <v>290</v>
      </c>
      <c r="E142" s="165"/>
      <c r="F142" s="150"/>
      <c r="G142" s="147"/>
      <c r="H142" s="147">
        <v>1287</v>
      </c>
      <c r="I142" s="152">
        <f>H142/H145</f>
        <v>0.2337025603777011</v>
      </c>
      <c r="J142" s="153" t="s">
        <v>238</v>
      </c>
      <c r="K142" s="139"/>
    </row>
    <row r="143" spans="1:11" ht="12.75" x14ac:dyDescent="0.2">
      <c r="A143" s="147"/>
      <c r="B143" s="147"/>
      <c r="C143" s="169"/>
      <c r="D143" s="149" t="s">
        <v>291</v>
      </c>
      <c r="E143" s="165"/>
      <c r="F143" s="150"/>
      <c r="G143" s="147"/>
      <c r="H143" s="147">
        <v>2524</v>
      </c>
      <c r="I143" s="152">
        <f>H143/H145</f>
        <v>0.45832576720537499</v>
      </c>
      <c r="J143" s="153" t="s">
        <v>239</v>
      </c>
      <c r="K143" s="139"/>
    </row>
    <row r="144" spans="1:11" ht="12.75" x14ac:dyDescent="0.2">
      <c r="A144" s="147"/>
      <c r="B144" s="147"/>
      <c r="C144" s="169"/>
      <c r="D144" s="149" t="s">
        <v>288</v>
      </c>
      <c r="E144" s="165"/>
      <c r="F144" s="150"/>
      <c r="G144" s="147"/>
      <c r="H144" s="147">
        <v>1093</v>
      </c>
      <c r="I144" s="152">
        <f>H144/H145</f>
        <v>0.19847466860359542</v>
      </c>
      <c r="J144" s="153"/>
      <c r="K144" s="139"/>
    </row>
    <row r="145" spans="1:11" ht="12.75" x14ac:dyDescent="0.2">
      <c r="A145" s="147"/>
      <c r="B145" s="147"/>
      <c r="C145" s="169"/>
      <c r="D145" s="148" t="s">
        <v>33</v>
      </c>
      <c r="E145" s="165"/>
      <c r="F145" s="150"/>
      <c r="G145" s="147"/>
      <c r="H145" s="155">
        <f>SUM(H141:H144)</f>
        <v>5507</v>
      </c>
      <c r="I145" s="156">
        <f>SUM(I141:I144)</f>
        <v>1</v>
      </c>
      <c r="J145" s="147"/>
      <c r="K145" s="139"/>
    </row>
    <row r="146" spans="1:11" ht="12.75" x14ac:dyDescent="0.2">
      <c r="A146" s="148" t="s">
        <v>24</v>
      </c>
      <c r="B146" s="160">
        <v>147</v>
      </c>
      <c r="C146" s="148" t="s">
        <v>289</v>
      </c>
      <c r="D146" s="147" t="s">
        <v>116</v>
      </c>
      <c r="E146" s="204">
        <v>35125</v>
      </c>
      <c r="F146" s="150">
        <v>33092798</v>
      </c>
      <c r="G146" s="147">
        <v>194700</v>
      </c>
      <c r="H146" s="147"/>
      <c r="I146" s="152"/>
      <c r="J146" s="147"/>
      <c r="K146" s="139"/>
    </row>
    <row r="147" spans="1:11" ht="12.75" x14ac:dyDescent="0.2">
      <c r="A147" s="148"/>
      <c r="B147" s="160"/>
      <c r="C147" s="148"/>
      <c r="D147" s="149" t="s">
        <v>261</v>
      </c>
      <c r="E147" s="165"/>
      <c r="F147" s="150"/>
      <c r="G147" s="147"/>
      <c r="H147" s="147">
        <v>3119</v>
      </c>
      <c r="I147" s="152">
        <f>H147/H153</f>
        <v>2.9930810790062087E-2</v>
      </c>
      <c r="J147" s="147"/>
      <c r="K147" s="139"/>
    </row>
    <row r="148" spans="1:11" ht="12.75" x14ac:dyDescent="0.2">
      <c r="A148" s="147"/>
      <c r="B148" s="147"/>
      <c r="C148" s="169"/>
      <c r="D148" s="149" t="s">
        <v>290</v>
      </c>
      <c r="E148" s="165"/>
      <c r="F148" s="150"/>
      <c r="G148" s="147"/>
      <c r="H148" s="147">
        <v>1980</v>
      </c>
      <c r="I148" s="152">
        <f>H148/H153</f>
        <v>1.9000642951049352E-2</v>
      </c>
      <c r="J148" s="153"/>
      <c r="K148" s="139"/>
    </row>
    <row r="149" spans="1:11" ht="12.75" x14ac:dyDescent="0.2">
      <c r="A149" s="147"/>
      <c r="B149" s="147"/>
      <c r="C149" s="169"/>
      <c r="D149" s="149" t="s">
        <v>291</v>
      </c>
      <c r="E149" s="165"/>
      <c r="F149" s="150"/>
      <c r="G149" s="147"/>
      <c r="H149" s="147">
        <v>62166</v>
      </c>
      <c r="I149" s="152">
        <f>H149/H153</f>
        <v>0.59656261095703744</v>
      </c>
      <c r="J149" s="153" t="s">
        <v>239</v>
      </c>
      <c r="K149" s="139"/>
    </row>
    <row r="150" spans="1:11" ht="12.75" x14ac:dyDescent="0.2">
      <c r="A150" s="147"/>
      <c r="B150" s="147"/>
      <c r="C150" s="169"/>
      <c r="D150" s="149" t="s">
        <v>288</v>
      </c>
      <c r="E150" s="165"/>
      <c r="F150" s="150"/>
      <c r="G150" s="147"/>
      <c r="H150" s="147">
        <v>36127</v>
      </c>
      <c r="I150" s="152">
        <f>H150/H153</f>
        <v>0.34668496358210099</v>
      </c>
      <c r="J150" s="153" t="s">
        <v>288</v>
      </c>
      <c r="K150" s="139"/>
    </row>
    <row r="151" spans="1:11" ht="12.75" x14ac:dyDescent="0.2">
      <c r="A151" s="147"/>
      <c r="B151" s="147"/>
      <c r="C151" s="169"/>
      <c r="D151" s="149" t="s">
        <v>292</v>
      </c>
      <c r="E151" s="165"/>
      <c r="F151" s="150"/>
      <c r="G151" s="147"/>
      <c r="H151" s="147">
        <v>815</v>
      </c>
      <c r="I151" s="152">
        <f>H151/H153</f>
        <v>7.8209717197501132E-3</v>
      </c>
      <c r="J151" s="153"/>
      <c r="K151" s="139"/>
    </row>
    <row r="152" spans="1:11" ht="12.75" x14ac:dyDescent="0.2">
      <c r="A152" s="147"/>
      <c r="B152" s="147"/>
      <c r="C152" s="169"/>
      <c r="D152" s="149" t="s">
        <v>285</v>
      </c>
      <c r="E152" s="165"/>
      <c r="F152" s="150"/>
      <c r="G152" s="147"/>
      <c r="H152" s="147">
        <v>0</v>
      </c>
      <c r="I152" s="152">
        <f>H152/H153</f>
        <v>0</v>
      </c>
      <c r="J152" s="153"/>
      <c r="K152" s="139"/>
    </row>
    <row r="153" spans="1:11" ht="12.75" x14ac:dyDescent="0.2">
      <c r="A153" s="147"/>
      <c r="B153" s="147"/>
      <c r="C153" s="169"/>
      <c r="D153" s="148" t="s">
        <v>33</v>
      </c>
      <c r="E153" s="165"/>
      <c r="F153" s="150"/>
      <c r="G153" s="147"/>
      <c r="H153" s="155">
        <f>SUM(H147:H152)</f>
        <v>104207</v>
      </c>
      <c r="I153" s="156">
        <f>SUM(I147:I152)</f>
        <v>1</v>
      </c>
      <c r="J153" s="147"/>
      <c r="K153" s="139"/>
    </row>
    <row r="154" spans="1:11" ht="12.75" x14ac:dyDescent="0.2">
      <c r="A154" s="148" t="s">
        <v>24</v>
      </c>
      <c r="B154" s="160">
        <v>175</v>
      </c>
      <c r="C154" s="148" t="s">
        <v>289</v>
      </c>
      <c r="D154" s="147" t="s">
        <v>117</v>
      </c>
      <c r="E154" s="204">
        <v>35125</v>
      </c>
      <c r="F154" s="150">
        <v>23537365</v>
      </c>
      <c r="G154" s="147">
        <v>232730</v>
      </c>
      <c r="H154" s="147"/>
      <c r="I154" s="152"/>
      <c r="J154" s="147"/>
      <c r="K154" s="139"/>
    </row>
    <row r="155" spans="1:11" ht="12.75" x14ac:dyDescent="0.2">
      <c r="A155" s="147"/>
      <c r="B155" s="147"/>
      <c r="C155" s="169"/>
      <c r="D155" s="149" t="s">
        <v>261</v>
      </c>
      <c r="E155" s="165"/>
      <c r="F155" s="150"/>
      <c r="G155" s="147"/>
      <c r="H155" s="147">
        <v>9574</v>
      </c>
      <c r="I155" s="152">
        <f>H155/H162</f>
        <v>7.4287310479678459E-2</v>
      </c>
      <c r="J155" s="153"/>
      <c r="K155" s="139"/>
    </row>
    <row r="156" spans="1:11" ht="12.75" x14ac:dyDescent="0.2">
      <c r="A156" s="147"/>
      <c r="B156" s="147"/>
      <c r="C156" s="169"/>
      <c r="D156" s="149" t="s">
        <v>290</v>
      </c>
      <c r="E156" s="165"/>
      <c r="F156" s="150"/>
      <c r="G156" s="147"/>
      <c r="H156" s="147">
        <v>15655</v>
      </c>
      <c r="I156" s="152">
        <f>H156/H162</f>
        <v>0.12147146914135849</v>
      </c>
      <c r="J156" s="147"/>
      <c r="K156" s="139"/>
    </row>
    <row r="157" spans="1:11" ht="12.75" x14ac:dyDescent="0.2">
      <c r="A157" s="147"/>
      <c r="B157" s="147"/>
      <c r="C157" s="169"/>
      <c r="D157" s="149" t="s">
        <v>291</v>
      </c>
      <c r="E157" s="165"/>
      <c r="F157" s="150"/>
      <c r="G157" s="147"/>
      <c r="H157" s="147">
        <v>61125</v>
      </c>
      <c r="I157" s="152">
        <f>H157/H162</f>
        <v>0.47428575862443551</v>
      </c>
      <c r="J157" s="153" t="s">
        <v>239</v>
      </c>
      <c r="K157" s="139"/>
    </row>
    <row r="158" spans="1:11" ht="12.75" x14ac:dyDescent="0.2">
      <c r="A158" s="147"/>
      <c r="B158" s="147"/>
      <c r="C158" s="169"/>
      <c r="D158" s="149" t="s">
        <v>284</v>
      </c>
      <c r="E158" s="165"/>
      <c r="F158" s="150"/>
      <c r="G158" s="147"/>
      <c r="H158" s="147">
        <v>885</v>
      </c>
      <c r="I158" s="152">
        <f>H158/H162</f>
        <v>6.8669594500225016E-3</v>
      </c>
      <c r="J158" s="153"/>
      <c r="K158" s="139"/>
    </row>
    <row r="159" spans="1:11" ht="12.75" x14ac:dyDescent="0.2">
      <c r="A159" s="147"/>
      <c r="B159" s="147"/>
      <c r="C159" s="169"/>
      <c r="D159" s="149" t="s">
        <v>293</v>
      </c>
      <c r="E159" s="165"/>
      <c r="F159" s="150"/>
      <c r="G159" s="147"/>
      <c r="H159" s="147">
        <v>625</v>
      </c>
      <c r="I159" s="152">
        <f>H159/H162</f>
        <v>4.8495476341966822E-3</v>
      </c>
      <c r="J159" s="153"/>
      <c r="K159" s="139"/>
    </row>
    <row r="160" spans="1:11" ht="12.75" x14ac:dyDescent="0.2">
      <c r="A160" s="147"/>
      <c r="B160" s="147"/>
      <c r="C160" s="169"/>
      <c r="D160" s="149" t="s">
        <v>288</v>
      </c>
      <c r="E160" s="165"/>
      <c r="F160" s="150"/>
      <c r="G160" s="147"/>
      <c r="H160" s="147">
        <v>40358</v>
      </c>
      <c r="I160" s="152">
        <f>H160/H162</f>
        <v>0.31314886947345549</v>
      </c>
      <c r="J160" s="153" t="s">
        <v>288</v>
      </c>
      <c r="K160" s="139"/>
    </row>
    <row r="161" spans="1:11" ht="12.75" x14ac:dyDescent="0.2">
      <c r="A161" s="147"/>
      <c r="B161" s="147"/>
      <c r="C161" s="169"/>
      <c r="D161" s="149" t="s">
        <v>285</v>
      </c>
      <c r="E161" s="165"/>
      <c r="F161" s="150"/>
      <c r="G161" s="147"/>
      <c r="H161" s="147">
        <v>656</v>
      </c>
      <c r="I161" s="152">
        <f>H161/H162</f>
        <v>5.0900851968528373E-3</v>
      </c>
      <c r="J161" s="153"/>
      <c r="K161" s="139"/>
    </row>
    <row r="162" spans="1:11" ht="12.75" x14ac:dyDescent="0.2">
      <c r="A162" s="147"/>
      <c r="B162" s="147"/>
      <c r="C162" s="169"/>
      <c r="D162" s="148" t="s">
        <v>33</v>
      </c>
      <c r="E162" s="165"/>
      <c r="F162" s="150"/>
      <c r="G162" s="147"/>
      <c r="H162" s="155">
        <f>SUM(H155:H161)</f>
        <v>128878</v>
      </c>
      <c r="I162" s="156">
        <f>SUM(I155:I161)</f>
        <v>0.99999999999999989</v>
      </c>
      <c r="J162" s="147"/>
      <c r="K162" s="139"/>
    </row>
    <row r="163" spans="1:11" ht="12.75" x14ac:dyDescent="0.2">
      <c r="A163" s="147"/>
      <c r="B163" s="147"/>
      <c r="C163" s="169"/>
      <c r="D163" s="148"/>
      <c r="E163" s="165"/>
      <c r="F163" s="150"/>
      <c r="G163" s="147"/>
      <c r="H163" s="147"/>
      <c r="I163" s="152"/>
      <c r="J163" s="147"/>
      <c r="K163" s="139"/>
    </row>
    <row r="164" spans="1:11" ht="12.75" x14ac:dyDescent="0.2">
      <c r="A164" s="148" t="s">
        <v>24</v>
      </c>
      <c r="B164" s="160">
        <v>141</v>
      </c>
      <c r="C164" s="148" t="s">
        <v>289</v>
      </c>
      <c r="D164" s="147" t="s">
        <v>294</v>
      </c>
      <c r="E164" s="204">
        <v>35582</v>
      </c>
      <c r="F164" s="150">
        <v>3303912</v>
      </c>
      <c r="G164" s="147">
        <v>23700</v>
      </c>
      <c r="H164" s="147"/>
      <c r="I164" s="152"/>
      <c r="J164" s="147"/>
      <c r="K164" s="139"/>
    </row>
    <row r="165" spans="1:11" ht="12.75" x14ac:dyDescent="0.2">
      <c r="A165" s="147"/>
      <c r="B165" s="147"/>
      <c r="C165" s="169"/>
      <c r="D165" s="149" t="s">
        <v>291</v>
      </c>
      <c r="E165" s="165"/>
      <c r="F165" s="150"/>
      <c r="G165" s="147"/>
      <c r="H165" s="147">
        <v>13138</v>
      </c>
      <c r="I165" s="152">
        <f>H165/H168</f>
        <v>0.68231628148532852</v>
      </c>
      <c r="J165" s="153" t="s">
        <v>239</v>
      </c>
      <c r="K165" s="139"/>
    </row>
    <row r="166" spans="1:11" ht="12.75" x14ac:dyDescent="0.2">
      <c r="A166" s="147"/>
      <c r="B166" s="147"/>
      <c r="C166" s="169"/>
      <c r="D166" s="149" t="s">
        <v>284</v>
      </c>
      <c r="E166" s="165"/>
      <c r="F166" s="150"/>
      <c r="G166" s="147"/>
      <c r="H166" s="147">
        <v>490</v>
      </c>
      <c r="I166" s="152">
        <f>H166/H168</f>
        <v>2.5447935601142561E-2</v>
      </c>
      <c r="J166" s="153"/>
      <c r="K166" s="139"/>
    </row>
    <row r="167" spans="1:11" ht="12.75" x14ac:dyDescent="0.2">
      <c r="A167" s="147"/>
      <c r="B167" s="147"/>
      <c r="C167" s="169"/>
      <c r="D167" s="149" t="s">
        <v>288</v>
      </c>
      <c r="E167" s="165"/>
      <c r="F167" s="150"/>
      <c r="G167" s="147"/>
      <c r="H167" s="147">
        <v>5627</v>
      </c>
      <c r="I167" s="152">
        <f>H167/H168</f>
        <v>0.29223578291352897</v>
      </c>
      <c r="J167" s="153" t="s">
        <v>288</v>
      </c>
      <c r="K167" s="139"/>
    </row>
    <row r="168" spans="1:11" ht="12.75" x14ac:dyDescent="0.2">
      <c r="A168" s="147"/>
      <c r="B168" s="147"/>
      <c r="C168" s="169"/>
      <c r="D168" s="148" t="s">
        <v>33</v>
      </c>
      <c r="E168" s="165"/>
      <c r="F168" s="150"/>
      <c r="G168" s="147"/>
      <c r="H168" s="155">
        <f>SUM(H165:H167)</f>
        <v>19255</v>
      </c>
      <c r="I168" s="156">
        <f>SUM(I165:I167)</f>
        <v>1</v>
      </c>
      <c r="J168" s="147"/>
      <c r="K168" s="139"/>
    </row>
    <row r="169" spans="1:11" ht="12.75" x14ac:dyDescent="0.2">
      <c r="A169" s="147"/>
      <c r="B169" s="147"/>
      <c r="C169" s="169"/>
      <c r="D169" s="148"/>
      <c r="E169" s="165"/>
      <c r="F169" s="150"/>
      <c r="G169" s="147"/>
      <c r="H169" s="147"/>
      <c r="I169" s="152"/>
      <c r="J169" s="147"/>
      <c r="K169" s="139"/>
    </row>
    <row r="170" spans="1:11" ht="12.75" x14ac:dyDescent="0.2">
      <c r="A170" s="148" t="s">
        <v>24</v>
      </c>
      <c r="B170" s="160">
        <v>167</v>
      </c>
      <c r="C170" s="148" t="s">
        <v>289</v>
      </c>
      <c r="D170" s="147" t="s">
        <v>119</v>
      </c>
      <c r="E170" s="204">
        <v>35916</v>
      </c>
      <c r="F170" s="150">
        <v>9265887</v>
      </c>
      <c r="G170" s="147">
        <v>46573</v>
      </c>
      <c r="H170" s="147"/>
      <c r="I170" s="152"/>
      <c r="J170" s="147"/>
      <c r="K170" s="139"/>
    </row>
    <row r="171" spans="1:11" ht="12.75" x14ac:dyDescent="0.2">
      <c r="A171" s="147"/>
      <c r="B171" s="147"/>
      <c r="C171" s="169"/>
      <c r="D171" s="149" t="s">
        <v>261</v>
      </c>
      <c r="E171" s="165"/>
      <c r="F171" s="150"/>
      <c r="G171" s="147"/>
      <c r="H171" s="147">
        <v>1775</v>
      </c>
      <c r="I171" s="152">
        <f>H171/H180</f>
        <v>5.632953571768589E-2</v>
      </c>
      <c r="J171" s="153"/>
      <c r="K171" s="139"/>
    </row>
    <row r="172" spans="1:11" ht="12.75" x14ac:dyDescent="0.2">
      <c r="A172" s="147"/>
      <c r="B172" s="147"/>
      <c r="C172" s="169"/>
      <c r="D172" s="149" t="s">
        <v>290</v>
      </c>
      <c r="E172" s="165"/>
      <c r="F172" s="150"/>
      <c r="G172" s="147"/>
      <c r="H172" s="147">
        <v>1792</v>
      </c>
      <c r="I172" s="152">
        <f>H172/H180</f>
        <v>5.6869029862587669E-2</v>
      </c>
      <c r="J172" s="147"/>
      <c r="K172" s="139"/>
    </row>
    <row r="173" spans="1:11" ht="12.75" x14ac:dyDescent="0.2">
      <c r="A173" s="147"/>
      <c r="B173" s="147"/>
      <c r="C173" s="169"/>
      <c r="D173" s="149" t="s">
        <v>291</v>
      </c>
      <c r="E173" s="165"/>
      <c r="F173" s="150"/>
      <c r="G173" s="147"/>
      <c r="H173" s="147">
        <v>13041</v>
      </c>
      <c r="I173" s="152">
        <f>H173/H180</f>
        <v>0.41385547903906572</v>
      </c>
      <c r="J173" s="153" t="s">
        <v>239</v>
      </c>
      <c r="K173" s="139"/>
    </row>
    <row r="174" spans="1:11" ht="12.75" x14ac:dyDescent="0.2">
      <c r="A174" s="147"/>
      <c r="B174" s="147"/>
      <c r="C174" s="169"/>
      <c r="D174" s="149" t="s">
        <v>242</v>
      </c>
      <c r="E174" s="165"/>
      <c r="F174" s="150"/>
      <c r="G174" s="147"/>
      <c r="H174" s="147">
        <v>1782</v>
      </c>
      <c r="I174" s="152">
        <f>H174/H180</f>
        <v>5.6551680365586623E-2</v>
      </c>
      <c r="J174" s="153"/>
      <c r="K174" s="139"/>
    </row>
    <row r="175" spans="1:11" ht="12.75" x14ac:dyDescent="0.2">
      <c r="A175" s="147"/>
      <c r="B175" s="147"/>
      <c r="C175" s="169"/>
      <c r="D175" s="149" t="s">
        <v>262</v>
      </c>
      <c r="E175" s="165"/>
      <c r="F175" s="150"/>
      <c r="G175" s="147"/>
      <c r="H175" s="147">
        <v>3290</v>
      </c>
      <c r="I175" s="152">
        <f>H175/H180</f>
        <v>0.10440798451334454</v>
      </c>
      <c r="J175" s="153"/>
      <c r="K175" s="139"/>
    </row>
    <row r="176" spans="1:11" ht="12.75" x14ac:dyDescent="0.2">
      <c r="A176" s="147"/>
      <c r="B176" s="147"/>
      <c r="C176" s="169"/>
      <c r="D176" s="149" t="s">
        <v>293</v>
      </c>
      <c r="E176" s="165"/>
      <c r="F176" s="150"/>
      <c r="G176" s="147"/>
      <c r="H176" s="147">
        <v>281</v>
      </c>
      <c r="I176" s="152">
        <f>H176/H180</f>
        <v>8.9175208657294273E-3</v>
      </c>
      <c r="J176" s="153"/>
      <c r="K176" s="139"/>
    </row>
    <row r="177" spans="1:11" ht="12.75" x14ac:dyDescent="0.2">
      <c r="A177" s="147"/>
      <c r="B177" s="147"/>
      <c r="C177" s="169"/>
      <c r="D177" s="149" t="s">
        <v>288</v>
      </c>
      <c r="E177" s="165"/>
      <c r="F177" s="150"/>
      <c r="G177" s="147"/>
      <c r="H177" s="147">
        <v>4041</v>
      </c>
      <c r="I177" s="152">
        <f>H177/H180</f>
        <v>0.1282409317381232</v>
      </c>
      <c r="J177" s="153"/>
      <c r="K177" s="139"/>
    </row>
    <row r="178" spans="1:11" ht="12.75" x14ac:dyDescent="0.2">
      <c r="A178" s="147"/>
      <c r="B178" s="147"/>
      <c r="C178" s="169"/>
      <c r="D178" s="149" t="s">
        <v>292</v>
      </c>
      <c r="E178" s="165"/>
      <c r="F178" s="150"/>
      <c r="G178" s="147"/>
      <c r="H178" s="147">
        <v>3518</v>
      </c>
      <c r="I178" s="152">
        <f>H178/H180</f>
        <v>0.11164355304496842</v>
      </c>
      <c r="J178" s="153"/>
      <c r="K178" s="139"/>
    </row>
    <row r="179" spans="1:11" ht="12.75" x14ac:dyDescent="0.2">
      <c r="A179" s="147"/>
      <c r="B179" s="147"/>
      <c r="C179" s="169"/>
      <c r="D179" s="149" t="s">
        <v>285</v>
      </c>
      <c r="E179" s="165"/>
      <c r="F179" s="150"/>
      <c r="G179" s="147"/>
      <c r="H179" s="147">
        <v>1991</v>
      </c>
      <c r="I179" s="152">
        <f>H179/H180</f>
        <v>6.3184284852908515E-2</v>
      </c>
      <c r="J179" s="153"/>
      <c r="K179" s="139"/>
    </row>
    <row r="180" spans="1:11" ht="12.75" x14ac:dyDescent="0.2">
      <c r="A180" s="147"/>
      <c r="B180" s="147"/>
      <c r="C180" s="169"/>
      <c r="D180" s="148" t="s">
        <v>33</v>
      </c>
      <c r="E180" s="165"/>
      <c r="F180" s="150"/>
      <c r="G180" s="147"/>
      <c r="H180" s="155">
        <f>SUM(H171:H179)</f>
        <v>31511</v>
      </c>
      <c r="I180" s="156">
        <f>SUM(I171:I179)</f>
        <v>1</v>
      </c>
      <c r="J180" s="147"/>
      <c r="K180" s="139"/>
    </row>
    <row r="181" spans="1:11" ht="12.75" x14ac:dyDescent="0.2">
      <c r="A181" s="147"/>
      <c r="B181" s="147"/>
      <c r="C181" s="169"/>
      <c r="D181" s="148"/>
      <c r="E181" s="165"/>
      <c r="F181" s="150"/>
      <c r="G181" s="147"/>
      <c r="H181" s="147"/>
      <c r="I181" s="152"/>
      <c r="J181" s="147"/>
      <c r="K181" s="139"/>
    </row>
    <row r="182" spans="1:11" ht="12.75" x14ac:dyDescent="0.2">
      <c r="A182" s="148" t="s">
        <v>24</v>
      </c>
      <c r="B182" s="160">
        <v>101</v>
      </c>
      <c r="C182" s="148" t="s">
        <v>289</v>
      </c>
      <c r="D182" s="147" t="s">
        <v>422</v>
      </c>
      <c r="E182" s="204">
        <v>37099</v>
      </c>
      <c r="F182" s="150">
        <v>3940109</v>
      </c>
      <c r="G182" s="147">
        <v>34396</v>
      </c>
      <c r="H182" s="147"/>
      <c r="I182" s="152"/>
      <c r="J182" s="147"/>
      <c r="K182" s="139"/>
    </row>
    <row r="183" spans="1:11" ht="12.75" x14ac:dyDescent="0.2">
      <c r="A183" s="147"/>
      <c r="B183" s="147"/>
      <c r="C183" s="169"/>
      <c r="D183" s="149" t="s">
        <v>285</v>
      </c>
      <c r="E183" s="165"/>
      <c r="F183" s="150"/>
      <c r="G183" s="147"/>
      <c r="H183" s="147">
        <v>28413</v>
      </c>
      <c r="I183" s="152">
        <f>H183/H184</f>
        <v>1</v>
      </c>
      <c r="J183" s="153" t="s">
        <v>285</v>
      </c>
      <c r="K183" s="139"/>
    </row>
    <row r="184" spans="1:11" ht="12.75" x14ac:dyDescent="0.2">
      <c r="A184" s="147"/>
      <c r="B184" s="147"/>
      <c r="C184" s="169"/>
      <c r="D184" s="148" t="s">
        <v>33</v>
      </c>
      <c r="E184" s="165"/>
      <c r="F184" s="150"/>
      <c r="G184" s="147"/>
      <c r="H184" s="155">
        <f>SUM(H183:H183)</f>
        <v>28413</v>
      </c>
      <c r="I184" s="156">
        <f>SUM(I183:I183)</f>
        <v>1</v>
      </c>
      <c r="J184" s="147"/>
      <c r="K184" s="139"/>
    </row>
    <row r="185" spans="1:11" ht="12.75" x14ac:dyDescent="0.2">
      <c r="A185" s="147"/>
      <c r="B185" s="147"/>
      <c r="C185" s="169"/>
      <c r="D185" s="148"/>
      <c r="E185" s="165"/>
      <c r="F185" s="150"/>
      <c r="G185" s="147"/>
      <c r="H185" s="147"/>
      <c r="I185" s="152"/>
      <c r="J185" s="147"/>
      <c r="K185" s="139"/>
    </row>
    <row r="186" spans="1:11" ht="12.75" x14ac:dyDescent="0.2">
      <c r="A186" s="148" t="s">
        <v>24</v>
      </c>
      <c r="B186" s="160">
        <v>112</v>
      </c>
      <c r="C186" s="148" t="s">
        <v>289</v>
      </c>
      <c r="D186" s="147" t="s">
        <v>423</v>
      </c>
      <c r="E186" s="165">
        <v>36678</v>
      </c>
      <c r="F186" s="150">
        <v>4973201</v>
      </c>
      <c r="G186" s="147">
        <v>30800</v>
      </c>
      <c r="H186" s="147"/>
      <c r="I186" s="152"/>
      <c r="J186" s="147"/>
      <c r="K186" s="139"/>
    </row>
    <row r="187" spans="1:11" ht="12.75" x14ac:dyDescent="0.2">
      <c r="A187" s="147"/>
      <c r="B187" s="147"/>
      <c r="C187" s="169"/>
      <c r="D187" s="149" t="s">
        <v>262</v>
      </c>
      <c r="E187" s="165"/>
      <c r="F187" s="150"/>
      <c r="G187" s="147"/>
      <c r="H187" s="147">
        <v>21566</v>
      </c>
      <c r="I187" s="152">
        <f>H187/H189</f>
        <v>0.90173942130791107</v>
      </c>
      <c r="J187" s="153" t="s">
        <v>262</v>
      </c>
      <c r="K187" s="139"/>
    </row>
    <row r="188" spans="1:11" ht="12.75" x14ac:dyDescent="0.2">
      <c r="A188" s="147"/>
      <c r="B188" s="147"/>
      <c r="C188" s="169"/>
      <c r="D188" s="149" t="s">
        <v>288</v>
      </c>
      <c r="E188" s="165"/>
      <c r="F188" s="150"/>
      <c r="G188" s="147"/>
      <c r="H188" s="147">
        <v>2350</v>
      </c>
      <c r="I188" s="152">
        <f>H188/H189</f>
        <v>9.8260578692088985E-2</v>
      </c>
      <c r="J188" s="153"/>
      <c r="K188" s="139"/>
    </row>
    <row r="189" spans="1:11" ht="12.75" x14ac:dyDescent="0.2">
      <c r="A189" s="147"/>
      <c r="B189" s="147"/>
      <c r="C189" s="169"/>
      <c r="D189" s="148" t="s">
        <v>33</v>
      </c>
      <c r="E189" s="165"/>
      <c r="F189" s="150"/>
      <c r="G189" s="147"/>
      <c r="H189" s="155">
        <f>SUM(H187:H188)</f>
        <v>23916</v>
      </c>
      <c r="I189" s="156">
        <f>SUM(I187:I188)</f>
        <v>1</v>
      </c>
      <c r="J189" s="147"/>
      <c r="K189" s="139"/>
    </row>
    <row r="190" spans="1:11" ht="12.75" x14ac:dyDescent="0.2">
      <c r="A190" s="147"/>
      <c r="B190" s="147"/>
      <c r="C190" s="169"/>
      <c r="D190" s="148"/>
      <c r="E190" s="165"/>
      <c r="F190" s="150"/>
      <c r="G190" s="147"/>
      <c r="H190" s="147"/>
      <c r="I190" s="152"/>
      <c r="J190" s="147"/>
      <c r="K190" s="139"/>
    </row>
    <row r="191" spans="1:11" ht="12.75" x14ac:dyDescent="0.2">
      <c r="A191" s="148" t="s">
        <v>24</v>
      </c>
      <c r="B191" s="160">
        <v>130</v>
      </c>
      <c r="C191" s="148" t="s">
        <v>289</v>
      </c>
      <c r="D191" s="147" t="s">
        <v>424</v>
      </c>
      <c r="E191" s="204">
        <v>36739</v>
      </c>
      <c r="F191" s="150">
        <v>4292437</v>
      </c>
      <c r="G191" s="147">
        <v>27126</v>
      </c>
      <c r="H191" s="147"/>
      <c r="I191" s="152"/>
      <c r="J191" s="147"/>
      <c r="K191" s="139"/>
    </row>
    <row r="192" spans="1:11" ht="12.75" x14ac:dyDescent="0.2">
      <c r="A192" s="147"/>
      <c r="B192" s="147"/>
      <c r="C192" s="169"/>
      <c r="D192" s="149" t="s">
        <v>291</v>
      </c>
      <c r="E192" s="165"/>
      <c r="F192" s="150"/>
      <c r="G192" s="147"/>
      <c r="H192" s="147">
        <v>7985</v>
      </c>
      <c r="I192" s="152">
        <f>H192/H195</f>
        <v>0.44047881729920563</v>
      </c>
      <c r="J192" s="153" t="s">
        <v>239</v>
      </c>
      <c r="K192" s="139"/>
    </row>
    <row r="193" spans="1:11" ht="12.75" x14ac:dyDescent="0.2">
      <c r="A193" s="147"/>
      <c r="B193" s="147"/>
      <c r="C193" s="169"/>
      <c r="D193" s="149" t="s">
        <v>284</v>
      </c>
      <c r="E193" s="165"/>
      <c r="F193" s="150"/>
      <c r="G193" s="147"/>
      <c r="H193" s="147">
        <v>676</v>
      </c>
      <c r="I193" s="152">
        <f>H193/H195</f>
        <v>3.7290379523389233E-2</v>
      </c>
      <c r="J193" s="153"/>
      <c r="K193" s="139"/>
    </row>
    <row r="194" spans="1:11" ht="12.75" x14ac:dyDescent="0.2">
      <c r="A194" s="147"/>
      <c r="B194" s="147"/>
      <c r="C194" s="169"/>
      <c r="D194" s="149" t="s">
        <v>288</v>
      </c>
      <c r="E194" s="165"/>
      <c r="F194" s="150"/>
      <c r="G194" s="147"/>
      <c r="H194" s="147">
        <v>9467</v>
      </c>
      <c r="I194" s="152">
        <f>H194/H195</f>
        <v>0.52223080317740511</v>
      </c>
      <c r="J194" s="153" t="s">
        <v>288</v>
      </c>
      <c r="K194" s="139"/>
    </row>
    <row r="195" spans="1:11" ht="12.75" x14ac:dyDescent="0.2">
      <c r="A195" s="147"/>
      <c r="B195" s="147"/>
      <c r="C195" s="169"/>
      <c r="D195" s="148" t="s">
        <v>33</v>
      </c>
      <c r="E195" s="165"/>
      <c r="F195" s="150"/>
      <c r="G195" s="147"/>
      <c r="H195" s="155">
        <f>SUM(H192:H194)</f>
        <v>18128</v>
      </c>
      <c r="I195" s="156">
        <f>SUM(I192:I194)</f>
        <v>1</v>
      </c>
      <c r="J195" s="147"/>
      <c r="K195" s="139"/>
    </row>
    <row r="196" spans="1:11" ht="12.75" x14ac:dyDescent="0.2">
      <c r="A196" s="147"/>
      <c r="B196" s="147"/>
      <c r="C196" s="169"/>
      <c r="D196" s="148"/>
      <c r="E196" s="165"/>
      <c r="F196" s="150"/>
      <c r="G196" s="147"/>
      <c r="H196" s="147"/>
      <c r="I196" s="152"/>
      <c r="J196" s="147"/>
      <c r="K196" s="139"/>
    </row>
    <row r="197" spans="1:11" ht="12.75" x14ac:dyDescent="0.2">
      <c r="A197" s="148" t="s">
        <v>24</v>
      </c>
      <c r="B197" s="160">
        <v>156</v>
      </c>
      <c r="C197" s="148" t="s">
        <v>289</v>
      </c>
      <c r="D197" s="147" t="s">
        <v>425</v>
      </c>
      <c r="E197" s="204">
        <v>36678</v>
      </c>
      <c r="F197" s="150">
        <v>2896779</v>
      </c>
      <c r="G197" s="147">
        <v>19275</v>
      </c>
      <c r="H197" s="147"/>
      <c r="I197" s="152"/>
      <c r="J197" s="147"/>
      <c r="K197" s="139"/>
    </row>
    <row r="198" spans="1:11" ht="12.75" x14ac:dyDescent="0.2">
      <c r="A198" s="147"/>
      <c r="B198" s="147"/>
      <c r="C198" s="169"/>
      <c r="D198" s="149" t="s">
        <v>261</v>
      </c>
      <c r="E198" s="165"/>
      <c r="F198" s="150"/>
      <c r="G198" s="147"/>
      <c r="H198" s="147">
        <v>4400</v>
      </c>
      <c r="I198" s="152">
        <f>H198/H204</f>
        <v>0.34241245136186771</v>
      </c>
      <c r="J198" s="153" t="s">
        <v>261</v>
      </c>
      <c r="K198" s="139"/>
    </row>
    <row r="199" spans="1:11" ht="12.75" x14ac:dyDescent="0.2">
      <c r="A199" s="147"/>
      <c r="B199" s="147"/>
      <c r="C199" s="169"/>
      <c r="D199" s="149" t="s">
        <v>290</v>
      </c>
      <c r="E199" s="165"/>
      <c r="F199" s="150"/>
      <c r="G199" s="147"/>
      <c r="H199" s="147">
        <v>480</v>
      </c>
      <c r="I199" s="152">
        <f>H199/H204</f>
        <v>3.735408560311284E-2</v>
      </c>
      <c r="J199" s="147"/>
      <c r="K199" s="139"/>
    </row>
    <row r="200" spans="1:11" ht="12.75" x14ac:dyDescent="0.2">
      <c r="A200" s="147"/>
      <c r="B200" s="147"/>
      <c r="C200" s="169"/>
      <c r="D200" s="149" t="s">
        <v>291</v>
      </c>
      <c r="E200" s="165"/>
      <c r="F200" s="150"/>
      <c r="G200" s="147"/>
      <c r="H200" s="147">
        <v>3240</v>
      </c>
      <c r="I200" s="152">
        <f>H200/H204</f>
        <v>0.25214007782101167</v>
      </c>
      <c r="J200" s="153"/>
      <c r="K200" s="139"/>
    </row>
    <row r="201" spans="1:11" ht="12.75" x14ac:dyDescent="0.2">
      <c r="A201" s="147"/>
      <c r="B201" s="147"/>
      <c r="C201" s="169"/>
      <c r="D201" s="149" t="s">
        <v>284</v>
      </c>
      <c r="E201" s="165"/>
      <c r="F201" s="150"/>
      <c r="G201" s="147"/>
      <c r="H201" s="147">
        <v>600</v>
      </c>
      <c r="I201" s="152">
        <f>H201/H204</f>
        <v>4.6692607003891051E-2</v>
      </c>
      <c r="J201" s="153"/>
      <c r="K201" s="139"/>
    </row>
    <row r="202" spans="1:11" ht="12.75" x14ac:dyDescent="0.2">
      <c r="A202" s="147"/>
      <c r="B202" s="147"/>
      <c r="C202" s="169"/>
      <c r="D202" s="149" t="s">
        <v>288</v>
      </c>
      <c r="E202" s="165"/>
      <c r="F202" s="150"/>
      <c r="G202" s="147"/>
      <c r="H202" s="147">
        <v>3930</v>
      </c>
      <c r="I202" s="152">
        <f>H202/H204</f>
        <v>0.3058365758754864</v>
      </c>
      <c r="J202" s="153"/>
      <c r="K202" s="139"/>
    </row>
    <row r="203" spans="1:11" ht="12.75" x14ac:dyDescent="0.2">
      <c r="A203" s="147"/>
      <c r="B203" s="147"/>
      <c r="C203" s="169"/>
      <c r="D203" s="149" t="s">
        <v>285</v>
      </c>
      <c r="E203" s="165"/>
      <c r="F203" s="150"/>
      <c r="G203" s="147"/>
      <c r="H203" s="147">
        <v>200</v>
      </c>
      <c r="I203" s="152">
        <f>H203/H204</f>
        <v>1.556420233463035E-2</v>
      </c>
      <c r="J203" s="153"/>
      <c r="K203" s="139"/>
    </row>
    <row r="204" spans="1:11" ht="12.75" x14ac:dyDescent="0.2">
      <c r="A204" s="147"/>
      <c r="B204" s="147"/>
      <c r="C204" s="169"/>
      <c r="D204" s="148" t="s">
        <v>33</v>
      </c>
      <c r="E204" s="165"/>
      <c r="F204" s="150"/>
      <c r="G204" s="147"/>
      <c r="H204" s="155">
        <f>SUM(H198:H203)</f>
        <v>12850</v>
      </c>
      <c r="I204" s="156">
        <f>SUM(I198:I203)</f>
        <v>1</v>
      </c>
      <c r="J204" s="147"/>
      <c r="K204" s="139"/>
    </row>
    <row r="205" spans="1:11" ht="12.75" x14ac:dyDescent="0.2">
      <c r="A205" s="147"/>
      <c r="B205" s="147"/>
      <c r="C205" s="169"/>
      <c r="D205" s="148"/>
      <c r="E205" s="165"/>
      <c r="F205" s="150"/>
      <c r="G205" s="147"/>
      <c r="H205" s="147"/>
      <c r="I205" s="152"/>
      <c r="J205" s="147"/>
      <c r="K205" s="139"/>
    </row>
    <row r="206" spans="1:11" ht="12.75" x14ac:dyDescent="0.2">
      <c r="A206" s="148" t="s">
        <v>24</v>
      </c>
      <c r="B206" s="160">
        <v>191</v>
      </c>
      <c r="C206" s="148" t="s">
        <v>289</v>
      </c>
      <c r="D206" s="147" t="s">
        <v>447</v>
      </c>
      <c r="E206" s="204">
        <v>37208</v>
      </c>
      <c r="F206" s="150">
        <v>6509873</v>
      </c>
      <c r="G206" s="147">
        <v>47541</v>
      </c>
      <c r="H206" s="147"/>
      <c r="I206" s="152"/>
      <c r="J206" s="147"/>
      <c r="K206" s="139"/>
    </row>
    <row r="207" spans="1:11" ht="12.75" x14ac:dyDescent="0.2">
      <c r="A207" s="147"/>
      <c r="B207" s="147"/>
      <c r="C207" s="169"/>
      <c r="D207" s="149" t="s">
        <v>261</v>
      </c>
      <c r="E207" s="165"/>
      <c r="F207" s="150"/>
      <c r="G207" s="147"/>
      <c r="H207" s="147">
        <v>4920</v>
      </c>
      <c r="I207" s="152">
        <f>H207/H213</f>
        <v>0.15523442922950717</v>
      </c>
      <c r="J207" s="147"/>
      <c r="K207" s="139"/>
    </row>
    <row r="208" spans="1:11" ht="12.75" x14ac:dyDescent="0.2">
      <c r="A208" s="147"/>
      <c r="B208" s="147"/>
      <c r="C208" s="169"/>
      <c r="D208" s="149" t="s">
        <v>290</v>
      </c>
      <c r="E208" s="165"/>
      <c r="F208" s="150"/>
      <c r="G208" s="147"/>
      <c r="H208" s="147">
        <v>17400</v>
      </c>
      <c r="I208" s="152">
        <f>H208/H213</f>
        <v>0.54899981068972048</v>
      </c>
      <c r="J208" s="153" t="s">
        <v>290</v>
      </c>
      <c r="K208" s="139"/>
    </row>
    <row r="209" spans="1:11" ht="12.75" x14ac:dyDescent="0.2">
      <c r="A209" s="147"/>
      <c r="B209" s="147"/>
      <c r="C209" s="169"/>
      <c r="D209" s="149" t="s">
        <v>291</v>
      </c>
      <c r="E209" s="165"/>
      <c r="F209" s="150"/>
      <c r="G209" s="147"/>
      <c r="H209" s="147">
        <v>2600</v>
      </c>
      <c r="I209" s="152">
        <f>H209/H213</f>
        <v>8.2034454470877774E-2</v>
      </c>
      <c r="J209" s="153"/>
      <c r="K209" s="139"/>
    </row>
    <row r="210" spans="1:11" ht="12.75" x14ac:dyDescent="0.2">
      <c r="A210" s="147"/>
      <c r="B210" s="147"/>
      <c r="C210" s="169"/>
      <c r="D210" s="149" t="s">
        <v>284</v>
      </c>
      <c r="E210" s="165"/>
      <c r="F210" s="150"/>
      <c r="G210" s="147"/>
      <c r="H210" s="147">
        <v>125</v>
      </c>
      <c r="I210" s="152">
        <f>H210/H213</f>
        <v>3.943964157253739E-3</v>
      </c>
      <c r="J210" s="153"/>
      <c r="K210" s="139"/>
    </row>
    <row r="211" spans="1:11" ht="12.75" x14ac:dyDescent="0.2">
      <c r="A211" s="147"/>
      <c r="B211" s="147"/>
      <c r="C211" s="169"/>
      <c r="D211" s="149" t="s">
        <v>448</v>
      </c>
      <c r="E211" s="165"/>
      <c r="F211" s="150"/>
      <c r="G211" s="147"/>
      <c r="H211" s="147">
        <v>1324</v>
      </c>
      <c r="I211" s="152">
        <f>H211/H213</f>
        <v>4.1774468353631605E-2</v>
      </c>
      <c r="J211" s="153"/>
      <c r="K211" s="139"/>
    </row>
    <row r="212" spans="1:11" ht="12.75" x14ac:dyDescent="0.2">
      <c r="A212" s="147"/>
      <c r="B212" s="147"/>
      <c r="C212" s="169"/>
      <c r="D212" s="149" t="s">
        <v>288</v>
      </c>
      <c r="E212" s="165"/>
      <c r="F212" s="150"/>
      <c r="G212" s="147"/>
      <c r="H212" s="147">
        <v>5325</v>
      </c>
      <c r="I212" s="152">
        <f>H212/H213</f>
        <v>0.16801287309900928</v>
      </c>
      <c r="J212" s="153"/>
      <c r="K212" s="139"/>
    </row>
    <row r="213" spans="1:11" ht="12.75" x14ac:dyDescent="0.2">
      <c r="A213" s="147"/>
      <c r="B213" s="147"/>
      <c r="C213" s="169"/>
      <c r="D213" s="148" t="s">
        <v>33</v>
      </c>
      <c r="E213" s="165"/>
      <c r="F213" s="150"/>
      <c r="G213" s="147"/>
      <c r="H213" s="155">
        <f>SUM(H207:H212)</f>
        <v>31694</v>
      </c>
      <c r="I213" s="156">
        <f>SUM(I207:I212)</f>
        <v>1</v>
      </c>
      <c r="J213" s="147"/>
      <c r="K213" s="139"/>
    </row>
    <row r="214" spans="1:11" ht="12.75" x14ac:dyDescent="0.2">
      <c r="A214" s="147"/>
      <c r="B214" s="147"/>
      <c r="C214" s="169"/>
      <c r="D214" s="148"/>
      <c r="E214" s="165"/>
      <c r="F214" s="150"/>
      <c r="G214" s="147"/>
      <c r="H214" s="147"/>
      <c r="I214" s="152"/>
      <c r="J214" s="147"/>
      <c r="K214" s="139"/>
    </row>
    <row r="215" spans="1:11" ht="12.75" x14ac:dyDescent="0.2">
      <c r="A215" s="148" t="s">
        <v>24</v>
      </c>
      <c r="B215" s="160">
        <v>133</v>
      </c>
      <c r="C215" s="148" t="s">
        <v>289</v>
      </c>
      <c r="D215" s="147" t="s">
        <v>464</v>
      </c>
      <c r="E215" s="204">
        <v>37424</v>
      </c>
      <c r="F215" s="150">
        <v>6099269</v>
      </c>
      <c r="G215" s="147">
        <v>45840</v>
      </c>
      <c r="H215" s="147"/>
      <c r="I215" s="152"/>
      <c r="J215" s="147"/>
      <c r="K215" s="139"/>
    </row>
    <row r="216" spans="1:11" ht="12.75" x14ac:dyDescent="0.2">
      <c r="A216" s="147"/>
      <c r="B216" s="147"/>
      <c r="C216" s="169"/>
      <c r="D216" s="149" t="s">
        <v>290</v>
      </c>
      <c r="E216" s="165"/>
      <c r="F216" s="150"/>
      <c r="G216" s="147"/>
      <c r="H216" s="147">
        <v>13160</v>
      </c>
      <c r="I216" s="152">
        <f>H216/H$219</f>
        <v>0.4306282722513089</v>
      </c>
      <c r="J216" s="153" t="s">
        <v>290</v>
      </c>
      <c r="K216" s="139"/>
    </row>
    <row r="217" spans="1:11" ht="12.75" x14ac:dyDescent="0.2">
      <c r="A217" s="147"/>
      <c r="B217" s="147"/>
      <c r="C217" s="169"/>
      <c r="D217" s="149" t="s">
        <v>288</v>
      </c>
      <c r="E217" s="165"/>
      <c r="F217" s="150"/>
      <c r="G217" s="147"/>
      <c r="H217" s="147">
        <v>4550</v>
      </c>
      <c r="I217" s="152">
        <f>H217/H$219</f>
        <v>0.14888743455497383</v>
      </c>
      <c r="J217" s="147"/>
      <c r="K217" s="139"/>
    </row>
    <row r="218" spans="1:11" ht="12.75" x14ac:dyDescent="0.2">
      <c r="A218" s="147"/>
      <c r="B218" s="147"/>
      <c r="C218" s="169"/>
      <c r="D218" s="149" t="s">
        <v>285</v>
      </c>
      <c r="E218" s="165"/>
      <c r="F218" s="150"/>
      <c r="G218" s="147"/>
      <c r="H218" s="147">
        <v>12850</v>
      </c>
      <c r="I218" s="152">
        <f>H218/H$219</f>
        <v>0.42048429319371727</v>
      </c>
      <c r="J218" s="153"/>
      <c r="K218" s="139"/>
    </row>
    <row r="219" spans="1:11" ht="12.75" x14ac:dyDescent="0.2">
      <c r="A219" s="147"/>
      <c r="B219" s="147"/>
      <c r="C219" s="169"/>
      <c r="D219" s="148" t="s">
        <v>33</v>
      </c>
      <c r="E219" s="165"/>
      <c r="F219" s="150"/>
      <c r="G219" s="147"/>
      <c r="H219" s="155">
        <f>SUM(H216:H218)</f>
        <v>30560</v>
      </c>
      <c r="I219" s="156">
        <f>SUM(I216:I218)</f>
        <v>1</v>
      </c>
      <c r="J219" s="147"/>
      <c r="K219" s="139"/>
    </row>
    <row r="220" spans="1:11" ht="12.75" x14ac:dyDescent="0.2">
      <c r="A220" s="147"/>
      <c r="B220" s="147"/>
      <c r="C220" s="169"/>
      <c r="D220" s="148"/>
      <c r="E220" s="165"/>
      <c r="F220" s="150"/>
      <c r="G220" s="147"/>
      <c r="H220" s="147"/>
      <c r="I220" s="152"/>
      <c r="J220" s="147"/>
      <c r="K220" s="139"/>
    </row>
    <row r="221" spans="1:11" ht="12.75" x14ac:dyDescent="0.2">
      <c r="A221" s="148" t="s">
        <v>24</v>
      </c>
      <c r="B221" s="160">
        <v>135</v>
      </c>
      <c r="C221" s="148" t="s">
        <v>289</v>
      </c>
      <c r="D221" s="147" t="s">
        <v>465</v>
      </c>
      <c r="E221" s="204">
        <v>37283</v>
      </c>
      <c r="F221" s="150">
        <v>7422106</v>
      </c>
      <c r="G221" s="147">
        <v>51089</v>
      </c>
      <c r="H221" s="147"/>
      <c r="I221" s="152"/>
      <c r="J221" s="147"/>
      <c r="K221" s="139"/>
    </row>
    <row r="222" spans="1:11" ht="12.75" x14ac:dyDescent="0.2">
      <c r="A222" s="147"/>
      <c r="B222" s="147"/>
      <c r="C222" s="169"/>
      <c r="D222" s="149" t="s">
        <v>261</v>
      </c>
      <c r="E222" s="165"/>
      <c r="F222" s="150"/>
      <c r="G222" s="147"/>
      <c r="H222" s="147">
        <v>11447</v>
      </c>
      <c r="I222" s="152">
        <f>H222/H$226</f>
        <v>0.32340726091255828</v>
      </c>
      <c r="J222" s="153" t="s">
        <v>261</v>
      </c>
      <c r="K222" s="139"/>
    </row>
    <row r="223" spans="1:11" ht="12.75" x14ac:dyDescent="0.2">
      <c r="A223" s="147"/>
      <c r="B223" s="147"/>
      <c r="C223" s="169"/>
      <c r="D223" s="149" t="s">
        <v>284</v>
      </c>
      <c r="E223" s="165"/>
      <c r="F223" s="150"/>
      <c r="G223" s="147"/>
      <c r="H223" s="147">
        <v>8612</v>
      </c>
      <c r="I223" s="152">
        <f>H223/H$226</f>
        <v>0.24331120214719593</v>
      </c>
      <c r="J223" s="153"/>
      <c r="K223" s="139"/>
    </row>
    <row r="224" spans="1:11" ht="12.75" x14ac:dyDescent="0.2">
      <c r="A224" s="147"/>
      <c r="B224" s="147"/>
      <c r="C224" s="169"/>
      <c r="D224" s="149" t="s">
        <v>448</v>
      </c>
      <c r="E224" s="165"/>
      <c r="F224" s="150"/>
      <c r="G224" s="147"/>
      <c r="H224" s="147">
        <v>191</v>
      </c>
      <c r="I224" s="152">
        <f>H224/H$226</f>
        <v>5.3962424071196495E-3</v>
      </c>
      <c r="J224" s="153"/>
      <c r="K224" s="139"/>
    </row>
    <row r="225" spans="1:11" ht="12.75" x14ac:dyDescent="0.2">
      <c r="A225" s="147"/>
      <c r="B225" s="147"/>
      <c r="C225" s="169"/>
      <c r="D225" s="149" t="s">
        <v>288</v>
      </c>
      <c r="E225" s="165"/>
      <c r="F225" s="150"/>
      <c r="G225" s="147"/>
      <c r="H225" s="147">
        <v>15145</v>
      </c>
      <c r="I225" s="152">
        <f>H225/H$226</f>
        <v>0.42788529453312613</v>
      </c>
      <c r="J225" s="153" t="s">
        <v>288</v>
      </c>
      <c r="K225" s="139"/>
    </row>
    <row r="226" spans="1:11" ht="12.75" x14ac:dyDescent="0.2">
      <c r="A226" s="147"/>
      <c r="B226" s="147"/>
      <c r="C226" s="169"/>
      <c r="D226" s="148" t="s">
        <v>33</v>
      </c>
      <c r="E226" s="165"/>
      <c r="F226" s="150"/>
      <c r="G226" s="147"/>
      <c r="H226" s="155">
        <f>SUM(H222:H225)</f>
        <v>35395</v>
      </c>
      <c r="I226" s="156">
        <f>SUM(I222:I225)</f>
        <v>1</v>
      </c>
      <c r="J226" s="147"/>
      <c r="K226" s="139"/>
    </row>
    <row r="227" spans="1:11" ht="12.75" x14ac:dyDescent="0.2">
      <c r="A227" s="147"/>
      <c r="B227" s="147"/>
      <c r="C227" s="169"/>
      <c r="D227" s="148"/>
      <c r="E227" s="165"/>
      <c r="F227" s="150"/>
      <c r="G227" s="147"/>
      <c r="H227" s="147"/>
      <c r="I227" s="152"/>
      <c r="J227" s="147"/>
      <c r="K227" s="139"/>
    </row>
    <row r="228" spans="1:11" ht="12.75" x14ac:dyDescent="0.2">
      <c r="A228" s="148" t="s">
        <v>24</v>
      </c>
      <c r="B228" s="160">
        <v>161</v>
      </c>
      <c r="C228" s="148" t="s">
        <v>289</v>
      </c>
      <c r="D228" s="147" t="s">
        <v>466</v>
      </c>
      <c r="E228" s="204">
        <v>37585</v>
      </c>
      <c r="F228" s="150">
        <v>6700000</v>
      </c>
      <c r="G228" s="147">
        <v>58404</v>
      </c>
      <c r="H228" s="147"/>
      <c r="I228" s="152"/>
      <c r="J228" s="147"/>
      <c r="K228" s="139"/>
    </row>
    <row r="229" spans="1:11" ht="12.75" x14ac:dyDescent="0.2">
      <c r="A229" s="147"/>
      <c r="B229" s="147"/>
      <c r="C229" s="169"/>
      <c r="D229" s="149" t="s">
        <v>291</v>
      </c>
      <c r="E229" s="165"/>
      <c r="F229" s="150"/>
      <c r="G229" s="147"/>
      <c r="H229" s="147">
        <v>4800</v>
      </c>
      <c r="I229" s="152">
        <f>H229/H$233</f>
        <v>0.19762032195644119</v>
      </c>
      <c r="J229" s="153"/>
      <c r="K229" s="139"/>
    </row>
    <row r="230" spans="1:11" ht="12.75" x14ac:dyDescent="0.2">
      <c r="A230" s="147"/>
      <c r="B230" s="147"/>
      <c r="C230" s="169"/>
      <c r="D230" s="149" t="s">
        <v>242</v>
      </c>
      <c r="E230" s="165"/>
      <c r="F230" s="150"/>
      <c r="G230" s="147"/>
      <c r="H230" s="147">
        <v>900</v>
      </c>
      <c r="I230" s="152">
        <f>H230/H$233</f>
        <v>3.7053810366832723E-2</v>
      </c>
      <c r="J230" s="153"/>
      <c r="K230" s="139"/>
    </row>
    <row r="231" spans="1:11" ht="12.75" x14ac:dyDescent="0.2">
      <c r="A231" s="147"/>
      <c r="B231" s="147"/>
      <c r="C231" s="169"/>
      <c r="D231" s="149" t="s">
        <v>262</v>
      </c>
      <c r="E231" s="165"/>
      <c r="F231" s="150"/>
      <c r="G231" s="147"/>
      <c r="H231" s="147">
        <v>12854</v>
      </c>
      <c r="I231" s="152">
        <f>H231/H$233</f>
        <v>0.52921075383918648</v>
      </c>
      <c r="J231" s="153" t="s">
        <v>262</v>
      </c>
      <c r="K231" s="139"/>
    </row>
    <row r="232" spans="1:11" ht="12.75" x14ac:dyDescent="0.2">
      <c r="A232" s="147"/>
      <c r="B232" s="147"/>
      <c r="C232" s="169"/>
      <c r="D232" s="149" t="s">
        <v>288</v>
      </c>
      <c r="E232" s="165"/>
      <c r="F232" s="150"/>
      <c r="G232" s="147"/>
      <c r="H232" s="147">
        <v>5735</v>
      </c>
      <c r="I232" s="152">
        <f>H232/H$233</f>
        <v>0.23611511383753964</v>
      </c>
      <c r="J232" s="153"/>
      <c r="K232" s="139"/>
    </row>
    <row r="233" spans="1:11" ht="12.75" x14ac:dyDescent="0.2">
      <c r="A233" s="147"/>
      <c r="B233" s="147"/>
      <c r="C233" s="169"/>
      <c r="D233" s="148" t="s">
        <v>33</v>
      </c>
      <c r="E233" s="165"/>
      <c r="F233" s="150"/>
      <c r="G233" s="147"/>
      <c r="H233" s="155">
        <f>SUM(H229:H232)</f>
        <v>24289</v>
      </c>
      <c r="I233" s="156">
        <f>SUM(I229:I232)</f>
        <v>1</v>
      </c>
      <c r="J233" s="147"/>
      <c r="K233" s="139"/>
    </row>
    <row r="234" spans="1:11" ht="12.75" x14ac:dyDescent="0.2">
      <c r="A234" s="147"/>
      <c r="B234" s="147"/>
      <c r="C234" s="169"/>
      <c r="D234" s="148"/>
      <c r="E234" s="165"/>
      <c r="F234" s="150"/>
      <c r="G234" s="147"/>
      <c r="H234" s="147"/>
      <c r="I234" s="152"/>
      <c r="J234" s="147"/>
      <c r="K234" s="139"/>
    </row>
    <row r="235" spans="1:11" ht="12.75" x14ac:dyDescent="0.2">
      <c r="A235" s="148" t="s">
        <v>24</v>
      </c>
      <c r="B235" s="160">
        <v>115</v>
      </c>
      <c r="C235" s="148" t="s">
        <v>289</v>
      </c>
      <c r="D235" s="147" t="s">
        <v>483</v>
      </c>
      <c r="E235" s="204">
        <v>38078</v>
      </c>
      <c r="F235" s="150">
        <v>4537574</v>
      </c>
      <c r="G235" s="147">
        <v>26000</v>
      </c>
      <c r="H235" s="147"/>
      <c r="I235" s="152"/>
      <c r="J235" s="147"/>
      <c r="K235" s="139"/>
    </row>
    <row r="236" spans="1:11" ht="12.75" x14ac:dyDescent="0.2">
      <c r="A236" s="147"/>
      <c r="B236" s="147"/>
      <c r="C236" s="169"/>
      <c r="D236" s="149" t="s">
        <v>262</v>
      </c>
      <c r="E236" s="165"/>
      <c r="F236" s="150"/>
      <c r="G236" s="147"/>
      <c r="H236" s="147">
        <v>15000</v>
      </c>
      <c r="I236" s="152">
        <f>H236/H$238</f>
        <v>0.67944014132354935</v>
      </c>
      <c r="J236" s="153" t="s">
        <v>262</v>
      </c>
      <c r="K236" s="139"/>
    </row>
    <row r="237" spans="1:11" ht="12.75" x14ac:dyDescent="0.2">
      <c r="A237" s="147"/>
      <c r="B237" s="147"/>
      <c r="C237" s="169"/>
      <c r="D237" s="149" t="s">
        <v>285</v>
      </c>
      <c r="E237" s="165"/>
      <c r="F237" s="150"/>
      <c r="G237" s="147"/>
      <c r="H237" s="147">
        <v>7077</v>
      </c>
      <c r="I237" s="152">
        <f>H237/H$238</f>
        <v>0.32055985867645059</v>
      </c>
      <c r="J237" s="153"/>
      <c r="K237" s="139"/>
    </row>
    <row r="238" spans="1:11" ht="12.75" x14ac:dyDescent="0.2">
      <c r="A238" s="147"/>
      <c r="B238" s="147"/>
      <c r="C238" s="169"/>
      <c r="D238" s="148" t="s">
        <v>33</v>
      </c>
      <c r="E238" s="165"/>
      <c r="F238" s="150"/>
      <c r="G238" s="147"/>
      <c r="H238" s="155">
        <f>SUM(H236:H237)</f>
        <v>22077</v>
      </c>
      <c r="I238" s="156">
        <f>SUM(I236:I237)</f>
        <v>1</v>
      </c>
      <c r="J238" s="147"/>
      <c r="K238" s="139"/>
    </row>
    <row r="239" spans="1:11" ht="12.75" x14ac:dyDescent="0.2">
      <c r="A239" s="147"/>
      <c r="B239" s="147"/>
      <c r="C239" s="169"/>
      <c r="D239" s="148"/>
      <c r="E239" s="165"/>
      <c r="F239" s="150"/>
      <c r="G239" s="147"/>
      <c r="H239" s="147"/>
      <c r="I239" s="152"/>
      <c r="J239" s="147"/>
      <c r="K239" s="139"/>
    </row>
    <row r="240" spans="1:11" ht="12.75" x14ac:dyDescent="0.2">
      <c r="A240" s="148" t="s">
        <v>24</v>
      </c>
      <c r="B240" s="160">
        <v>195</v>
      </c>
      <c r="C240" s="148" t="s">
        <v>289</v>
      </c>
      <c r="D240" s="147" t="s">
        <v>505</v>
      </c>
      <c r="E240" s="204">
        <v>38534</v>
      </c>
      <c r="F240" s="150">
        <v>1971715</v>
      </c>
      <c r="G240" s="147">
        <v>9673</v>
      </c>
      <c r="H240" s="147"/>
      <c r="I240" s="152"/>
      <c r="J240" s="147"/>
      <c r="K240" s="139"/>
    </row>
    <row r="241" spans="1:11" ht="12.75" x14ac:dyDescent="0.2">
      <c r="A241" s="147"/>
      <c r="B241" s="147"/>
      <c r="C241" s="169"/>
      <c r="D241" s="149" t="s">
        <v>291</v>
      </c>
      <c r="E241" s="165"/>
      <c r="F241" s="150"/>
      <c r="G241" s="147"/>
      <c r="H241" s="161">
        <v>1320</v>
      </c>
      <c r="I241" s="152">
        <f>H241/H245</f>
        <v>0.20260936300844207</v>
      </c>
      <c r="J241" s="153"/>
      <c r="K241" s="139"/>
    </row>
    <row r="242" spans="1:11" ht="12.75" x14ac:dyDescent="0.2">
      <c r="A242" s="147"/>
      <c r="B242" s="147"/>
      <c r="C242" s="169"/>
      <c r="D242" s="149" t="s">
        <v>288</v>
      </c>
      <c r="E242" s="165"/>
      <c r="F242" s="150"/>
      <c r="G242" s="147"/>
      <c r="H242" s="161">
        <v>3915</v>
      </c>
      <c r="I242" s="152">
        <f>H242/H245</f>
        <v>0.60092095165003834</v>
      </c>
      <c r="J242" s="153" t="s">
        <v>288</v>
      </c>
      <c r="K242" s="139"/>
    </row>
    <row r="243" spans="1:11" ht="12.75" x14ac:dyDescent="0.2">
      <c r="A243" s="147"/>
      <c r="B243" s="147"/>
      <c r="C243" s="169"/>
      <c r="D243" s="154" t="s">
        <v>244</v>
      </c>
      <c r="E243" s="165"/>
      <c r="F243" s="150"/>
      <c r="G243" s="147"/>
      <c r="H243" s="161">
        <v>200</v>
      </c>
      <c r="I243" s="152">
        <f>H243/H245</f>
        <v>3.0698388334612432E-2</v>
      </c>
      <c r="J243" s="153"/>
      <c r="K243" s="139"/>
    </row>
    <row r="244" spans="1:11" ht="12.75" x14ac:dyDescent="0.2">
      <c r="A244" s="147"/>
      <c r="B244" s="147"/>
      <c r="C244" s="169"/>
      <c r="D244" s="149" t="s">
        <v>285</v>
      </c>
      <c r="E244" s="165"/>
      <c r="F244" s="150"/>
      <c r="G244" s="147"/>
      <c r="H244" s="161">
        <v>1080</v>
      </c>
      <c r="I244" s="152">
        <f>H244/H245</f>
        <v>0.16577129700690713</v>
      </c>
      <c r="J244" s="153"/>
      <c r="K244" s="139"/>
    </row>
    <row r="245" spans="1:11" ht="12.75" x14ac:dyDescent="0.2">
      <c r="A245" s="147"/>
      <c r="B245" s="147"/>
      <c r="C245" s="169"/>
      <c r="D245" s="148" t="s">
        <v>33</v>
      </c>
      <c r="E245" s="165"/>
      <c r="F245" s="150"/>
      <c r="G245" s="147"/>
      <c r="H245" s="155">
        <f>SUM(H241:H244)</f>
        <v>6515</v>
      </c>
      <c r="I245" s="156">
        <f>SUM(I241:I244)</f>
        <v>1</v>
      </c>
      <c r="J245" s="147"/>
      <c r="K245" s="139"/>
    </row>
    <row r="246" spans="1:11" ht="12.75" x14ac:dyDescent="0.2">
      <c r="A246" s="147"/>
      <c r="B246" s="147"/>
      <c r="C246" s="169"/>
      <c r="D246" s="148"/>
      <c r="E246" s="165"/>
      <c r="F246" s="150"/>
      <c r="G246" s="147"/>
      <c r="H246" s="147"/>
      <c r="I246" s="152"/>
      <c r="J246" s="147"/>
      <c r="K246" s="139"/>
    </row>
    <row r="247" spans="1:11" ht="12.75" x14ac:dyDescent="0.2">
      <c r="A247" s="148" t="s">
        <v>24</v>
      </c>
      <c r="B247" s="160">
        <v>201</v>
      </c>
      <c r="C247" s="148" t="s">
        <v>506</v>
      </c>
      <c r="D247" s="37" t="s">
        <v>507</v>
      </c>
      <c r="E247" s="204">
        <v>38436</v>
      </c>
      <c r="F247" s="162">
        <v>2382348</v>
      </c>
      <c r="G247" s="163">
        <v>8566</v>
      </c>
      <c r="H247" s="147"/>
      <c r="I247" s="152"/>
      <c r="J247" s="147"/>
      <c r="K247" s="139"/>
    </row>
    <row r="248" spans="1:11" ht="12.75" x14ac:dyDescent="0.2">
      <c r="A248" s="147"/>
      <c r="B248" s="147"/>
      <c r="C248" s="169"/>
      <c r="D248" s="149" t="s">
        <v>291</v>
      </c>
      <c r="E248" s="165"/>
      <c r="F248" s="150"/>
      <c r="G248" s="147"/>
      <c r="H248" s="161">
        <v>6800</v>
      </c>
      <c r="I248" s="152">
        <f>H248/H250</f>
        <v>0.91275167785234901</v>
      </c>
      <c r="J248" s="153" t="s">
        <v>239</v>
      </c>
      <c r="K248" s="139"/>
    </row>
    <row r="249" spans="1:11" ht="12.75" x14ac:dyDescent="0.2">
      <c r="A249" s="147"/>
      <c r="B249" s="147"/>
      <c r="C249" s="169"/>
      <c r="D249" s="149" t="s">
        <v>288</v>
      </c>
      <c r="E249" s="165"/>
      <c r="F249" s="150"/>
      <c r="G249" s="147"/>
      <c r="H249" s="161">
        <v>650</v>
      </c>
      <c r="I249" s="152">
        <f>H249/H250</f>
        <v>8.7248322147651006E-2</v>
      </c>
      <c r="J249" s="153"/>
      <c r="K249" s="139"/>
    </row>
    <row r="250" spans="1:11" ht="12.75" x14ac:dyDescent="0.2">
      <c r="A250" s="147"/>
      <c r="B250" s="147"/>
      <c r="C250" s="169"/>
      <c r="D250" s="148" t="s">
        <v>33</v>
      </c>
      <c r="E250" s="165"/>
      <c r="F250" s="150"/>
      <c r="G250" s="147"/>
      <c r="H250" s="155">
        <f>SUM(H248:H249)</f>
        <v>7450</v>
      </c>
      <c r="I250" s="156">
        <f>SUM(I248:I249)</f>
        <v>1</v>
      </c>
      <c r="J250" s="147"/>
      <c r="K250" s="139"/>
    </row>
    <row r="251" spans="1:11" ht="12.75" x14ac:dyDescent="0.2">
      <c r="A251" s="147"/>
      <c r="B251" s="147"/>
      <c r="C251" s="169"/>
      <c r="D251" s="148"/>
      <c r="E251" s="165"/>
      <c r="F251" s="150"/>
      <c r="G251" s="147"/>
      <c r="H251" s="147"/>
      <c r="I251" s="152"/>
      <c r="J251" s="147"/>
      <c r="K251" s="139"/>
    </row>
    <row r="252" spans="1:11" ht="12.75" x14ac:dyDescent="0.2">
      <c r="A252" s="148" t="s">
        <v>24</v>
      </c>
      <c r="B252" s="164">
        <v>214</v>
      </c>
      <c r="C252" s="148" t="s">
        <v>289</v>
      </c>
      <c r="D252" s="37" t="s">
        <v>508</v>
      </c>
      <c r="E252" s="165">
        <v>38385</v>
      </c>
      <c r="F252" s="150">
        <v>3017139</v>
      </c>
      <c r="G252" s="163">
        <v>19750</v>
      </c>
      <c r="H252" s="147"/>
      <c r="I252" s="152"/>
      <c r="J252" s="151"/>
      <c r="K252" s="139"/>
    </row>
    <row r="253" spans="1:11" ht="12.75" x14ac:dyDescent="0.2">
      <c r="A253" s="151"/>
      <c r="B253" s="151"/>
      <c r="C253" s="148"/>
      <c r="D253" s="149" t="s">
        <v>261</v>
      </c>
      <c r="E253" s="165"/>
      <c r="F253" s="150"/>
      <c r="G253" s="147"/>
      <c r="H253" s="161">
        <v>4410</v>
      </c>
      <c r="I253" s="152">
        <f>ROUND(H253/$H$258,4)</f>
        <v>0.36370000000000002</v>
      </c>
      <c r="J253" s="151" t="s">
        <v>261</v>
      </c>
      <c r="K253" s="139"/>
    </row>
    <row r="254" spans="1:11" ht="12.75" x14ac:dyDescent="0.2">
      <c r="A254" s="151"/>
      <c r="B254" s="151"/>
      <c r="C254" s="148"/>
      <c r="D254" s="149" t="s">
        <v>238</v>
      </c>
      <c r="E254" s="165"/>
      <c r="F254" s="150"/>
      <c r="G254" s="147"/>
      <c r="H254" s="161">
        <v>6035</v>
      </c>
      <c r="I254" s="152">
        <f>ROUND(H254/$H$258,4)</f>
        <v>0.49769999999999998</v>
      </c>
      <c r="J254" s="151" t="s">
        <v>238</v>
      </c>
      <c r="K254" s="139"/>
    </row>
    <row r="255" spans="1:11" ht="12.75" x14ac:dyDescent="0.2">
      <c r="A255" s="151"/>
      <c r="B255" s="151"/>
      <c r="C255" s="148"/>
      <c r="D255" s="149" t="s">
        <v>240</v>
      </c>
      <c r="E255" s="165"/>
      <c r="F255" s="150"/>
      <c r="G255" s="147"/>
      <c r="H255" s="161">
        <v>1125</v>
      </c>
      <c r="I255" s="152">
        <f>ROUND(H255/$H$258,4)</f>
        <v>9.2799999999999994E-2</v>
      </c>
      <c r="J255" s="153"/>
      <c r="K255" s="139"/>
    </row>
    <row r="256" spans="1:11" ht="12.75" x14ac:dyDescent="0.2">
      <c r="A256" s="151"/>
      <c r="B256" s="151"/>
      <c r="C256" s="148"/>
      <c r="D256" s="154" t="s">
        <v>244</v>
      </c>
      <c r="E256" s="165"/>
      <c r="F256" s="150"/>
      <c r="G256" s="147"/>
      <c r="H256" s="147">
        <v>110</v>
      </c>
      <c r="I256" s="152">
        <f>ROUND(H256/$H$258,4)</f>
        <v>9.1000000000000004E-3</v>
      </c>
      <c r="J256" s="151"/>
      <c r="K256" s="139"/>
    </row>
    <row r="257" spans="1:11" ht="12.75" x14ac:dyDescent="0.2">
      <c r="A257" s="151"/>
      <c r="B257" s="151"/>
      <c r="C257" s="148"/>
      <c r="D257" s="149" t="s">
        <v>473</v>
      </c>
      <c r="E257" s="165"/>
      <c r="F257" s="150"/>
      <c r="G257" s="147"/>
      <c r="H257" s="147">
        <v>445</v>
      </c>
      <c r="I257" s="152">
        <f>ROUND(H257/$H$258,4)</f>
        <v>3.6700000000000003E-2</v>
      </c>
      <c r="J257" s="151"/>
      <c r="K257" s="139"/>
    </row>
    <row r="258" spans="1:11" ht="12.75" x14ac:dyDescent="0.2">
      <c r="A258" s="166"/>
      <c r="B258" s="151"/>
      <c r="C258" s="148"/>
      <c r="D258" s="148" t="s">
        <v>33</v>
      </c>
      <c r="E258" s="165"/>
      <c r="F258" s="150"/>
      <c r="G258" s="147"/>
      <c r="H258" s="155">
        <f>SUM(H253:H257)</f>
        <v>12125</v>
      </c>
      <c r="I258" s="156">
        <f>SUM(I253:I257)</f>
        <v>0.99999999999999989</v>
      </c>
      <c r="J258" s="151"/>
      <c r="K258" s="139"/>
    </row>
    <row r="259" spans="1:11" ht="12.75" x14ac:dyDescent="0.2">
      <c r="A259" s="147"/>
      <c r="B259" s="147"/>
      <c r="C259" s="169"/>
      <c r="D259" s="148"/>
      <c r="E259" s="165"/>
      <c r="F259" s="150"/>
      <c r="G259" s="147"/>
      <c r="H259" s="147"/>
      <c r="I259" s="152"/>
      <c r="J259" s="147"/>
      <c r="K259" s="139"/>
    </row>
    <row r="260" spans="1:11" ht="12.75" x14ac:dyDescent="0.2">
      <c r="A260" s="148" t="s">
        <v>24</v>
      </c>
      <c r="B260" s="160">
        <v>202</v>
      </c>
      <c r="C260" s="148" t="s">
        <v>289</v>
      </c>
      <c r="D260" s="147" t="s">
        <v>527</v>
      </c>
      <c r="E260" s="204">
        <v>38899</v>
      </c>
      <c r="F260" s="150">
        <v>26888481</v>
      </c>
      <c r="G260" s="147">
        <v>51000</v>
      </c>
      <c r="H260" s="147"/>
      <c r="I260" s="152"/>
      <c r="J260" s="147"/>
      <c r="K260" s="139"/>
    </row>
    <row r="261" spans="1:11" ht="12.75" x14ac:dyDescent="0.2">
      <c r="A261" s="147"/>
      <c r="B261" s="147"/>
      <c r="C261" s="169"/>
      <c r="D261" s="149" t="s">
        <v>291</v>
      </c>
      <c r="E261" s="165"/>
      <c r="F261" s="150"/>
      <c r="G261" s="147"/>
      <c r="H261" s="161">
        <v>16131</v>
      </c>
      <c r="I261" s="152">
        <f>H261/H265</f>
        <v>0.56697479877684442</v>
      </c>
      <c r="J261" s="153" t="s">
        <v>239</v>
      </c>
      <c r="K261" s="139"/>
    </row>
    <row r="262" spans="1:11" ht="12.75" x14ac:dyDescent="0.2">
      <c r="A262" s="147"/>
      <c r="B262" s="147"/>
      <c r="C262" s="169"/>
      <c r="D262" s="149" t="s">
        <v>288</v>
      </c>
      <c r="E262" s="165"/>
      <c r="F262" s="150"/>
      <c r="G262" s="147"/>
      <c r="H262" s="161">
        <v>6845</v>
      </c>
      <c r="I262" s="152">
        <f>H262/H265</f>
        <v>0.24058908298478085</v>
      </c>
      <c r="J262" s="153"/>
      <c r="K262" s="139"/>
    </row>
    <row r="263" spans="1:11" ht="12.75" x14ac:dyDescent="0.2">
      <c r="A263" s="147"/>
      <c r="B263" s="147"/>
      <c r="C263" s="169"/>
      <c r="D263" s="154" t="s">
        <v>244</v>
      </c>
      <c r="E263" s="165"/>
      <c r="F263" s="150"/>
      <c r="G263" s="147"/>
      <c r="H263" s="161">
        <v>1630</v>
      </c>
      <c r="I263" s="152">
        <f>H263/H265</f>
        <v>5.7291483603388281E-2</v>
      </c>
      <c r="J263" s="153"/>
      <c r="K263" s="139"/>
    </row>
    <row r="264" spans="1:11" ht="12.75" x14ac:dyDescent="0.2">
      <c r="A264" s="147"/>
      <c r="B264" s="147"/>
      <c r="C264" s="169"/>
      <c r="D264" s="149" t="s">
        <v>285</v>
      </c>
      <c r="E264" s="165"/>
      <c r="F264" s="150"/>
      <c r="G264" s="147"/>
      <c r="H264" s="161">
        <v>3845</v>
      </c>
      <c r="I264" s="152">
        <f>H264/H265</f>
        <v>0.13514463463498647</v>
      </c>
      <c r="J264" s="153"/>
      <c r="K264" s="139"/>
    </row>
    <row r="265" spans="1:11" ht="12.75" x14ac:dyDescent="0.2">
      <c r="A265" s="147"/>
      <c r="B265" s="147"/>
      <c r="C265" s="169"/>
      <c r="D265" s="148" t="s">
        <v>33</v>
      </c>
      <c r="E265" s="165"/>
      <c r="F265" s="150"/>
      <c r="G265" s="147"/>
      <c r="H265" s="155">
        <f>SUM(H261:H264)</f>
        <v>28451</v>
      </c>
      <c r="I265" s="156">
        <f>SUM(I261:I264)</f>
        <v>1</v>
      </c>
      <c r="J265" s="147"/>
      <c r="K265" s="139"/>
    </row>
    <row r="266" spans="1:11" ht="12.75" x14ac:dyDescent="0.2">
      <c r="A266" s="147"/>
      <c r="B266" s="147"/>
      <c r="C266" s="169"/>
      <c r="D266" s="148"/>
      <c r="E266" s="165"/>
      <c r="F266" s="150"/>
      <c r="G266" s="147"/>
      <c r="H266" s="147"/>
      <c r="I266" s="152"/>
      <c r="J266" s="147"/>
      <c r="K266" s="139"/>
    </row>
    <row r="267" spans="1:11" ht="12.75" x14ac:dyDescent="0.2">
      <c r="A267" s="148" t="s">
        <v>24</v>
      </c>
      <c r="B267" s="164">
        <v>288</v>
      </c>
      <c r="C267" s="148" t="s">
        <v>289</v>
      </c>
      <c r="D267" s="37" t="s">
        <v>528</v>
      </c>
      <c r="E267" s="165">
        <v>38991</v>
      </c>
      <c r="F267" s="150">
        <v>13427105</v>
      </c>
      <c r="G267" s="163">
        <v>40978</v>
      </c>
      <c r="H267" s="147"/>
      <c r="I267" s="152"/>
      <c r="J267" s="151"/>
      <c r="K267" s="139"/>
    </row>
    <row r="268" spans="1:11" ht="12.75" x14ac:dyDescent="0.2">
      <c r="A268" s="151"/>
      <c r="B268" s="151"/>
      <c r="C268" s="148"/>
      <c r="D268" s="149" t="s">
        <v>261</v>
      </c>
      <c r="E268" s="165"/>
      <c r="F268" s="150"/>
      <c r="G268" s="147"/>
      <c r="H268" s="161">
        <v>6400</v>
      </c>
      <c r="I268" s="152">
        <f t="shared" ref="I268:I273" si="2">ROUND(H268/$H$274,4)</f>
        <v>0.27829999999999999</v>
      </c>
      <c r="J268" s="151"/>
      <c r="K268" s="139"/>
    </row>
    <row r="269" spans="1:11" ht="12.75" x14ac:dyDescent="0.2">
      <c r="A269" s="151"/>
      <c r="B269" s="151"/>
      <c r="C269" s="148"/>
      <c r="D269" s="149" t="s">
        <v>284</v>
      </c>
      <c r="E269" s="165"/>
      <c r="F269" s="150"/>
      <c r="G269" s="147"/>
      <c r="H269" s="161">
        <v>700</v>
      </c>
      <c r="I269" s="152">
        <f t="shared" si="2"/>
        <v>3.04E-2</v>
      </c>
      <c r="J269" s="151"/>
      <c r="K269" s="139"/>
    </row>
    <row r="270" spans="1:11" ht="12.75" x14ac:dyDescent="0.2">
      <c r="A270" s="151"/>
      <c r="B270" s="151"/>
      <c r="C270" s="148"/>
      <c r="D270" s="149" t="s">
        <v>262</v>
      </c>
      <c r="E270" s="165"/>
      <c r="F270" s="150"/>
      <c r="G270" s="147"/>
      <c r="H270" s="161">
        <v>3400</v>
      </c>
      <c r="I270" s="152">
        <f t="shared" si="2"/>
        <v>0.14779999999999999</v>
      </c>
      <c r="J270" s="151"/>
      <c r="K270" s="139"/>
    </row>
    <row r="271" spans="1:11" ht="12.75" x14ac:dyDescent="0.2">
      <c r="A271" s="151"/>
      <c r="B271" s="151"/>
      <c r="C271" s="148"/>
      <c r="D271" s="149" t="s">
        <v>240</v>
      </c>
      <c r="E271" s="165"/>
      <c r="F271" s="150"/>
      <c r="G271" s="147"/>
      <c r="H271" s="161">
        <v>9500</v>
      </c>
      <c r="I271" s="152">
        <f t="shared" si="2"/>
        <v>0.41299999999999998</v>
      </c>
      <c r="J271" s="153" t="s">
        <v>288</v>
      </c>
      <c r="K271" s="139"/>
    </row>
    <row r="272" spans="1:11" ht="12.75" x14ac:dyDescent="0.2">
      <c r="A272" s="151"/>
      <c r="B272" s="151"/>
      <c r="C272" s="148"/>
      <c r="D272" s="154" t="s">
        <v>244</v>
      </c>
      <c r="E272" s="165"/>
      <c r="F272" s="150"/>
      <c r="G272" s="147"/>
      <c r="H272" s="147">
        <v>1100</v>
      </c>
      <c r="I272" s="152">
        <f t="shared" si="2"/>
        <v>4.7800000000000002E-2</v>
      </c>
      <c r="J272" s="151"/>
      <c r="K272" s="139"/>
    </row>
    <row r="273" spans="1:11" ht="12.75" x14ac:dyDescent="0.2">
      <c r="A273" s="151"/>
      <c r="B273" s="151"/>
      <c r="C273" s="148"/>
      <c r="D273" s="149" t="s">
        <v>473</v>
      </c>
      <c r="E273" s="165"/>
      <c r="F273" s="150"/>
      <c r="G273" s="147"/>
      <c r="H273" s="147">
        <v>1900</v>
      </c>
      <c r="I273" s="152">
        <f t="shared" si="2"/>
        <v>8.2600000000000007E-2</v>
      </c>
      <c r="J273" s="151"/>
      <c r="K273" s="139"/>
    </row>
    <row r="274" spans="1:11" ht="12.75" x14ac:dyDescent="0.2">
      <c r="A274" s="166"/>
      <c r="B274" s="151"/>
      <c r="C274" s="148"/>
      <c r="D274" s="148" t="s">
        <v>33</v>
      </c>
      <c r="E274" s="165"/>
      <c r="F274" s="150"/>
      <c r="G274" s="147"/>
      <c r="H274" s="155">
        <f>SUM(H268:H273)</f>
        <v>23000</v>
      </c>
      <c r="I274" s="156">
        <v>1</v>
      </c>
      <c r="J274" s="151"/>
      <c r="K274" s="139"/>
    </row>
    <row r="275" spans="1:11" ht="12.75" x14ac:dyDescent="0.2">
      <c r="A275" s="166"/>
      <c r="B275" s="151"/>
      <c r="C275" s="148"/>
      <c r="D275" s="148"/>
      <c r="E275" s="165"/>
      <c r="F275" s="150"/>
      <c r="G275" s="147"/>
      <c r="H275" s="147"/>
      <c r="I275" s="152"/>
      <c r="J275" s="151"/>
      <c r="K275" s="139"/>
    </row>
    <row r="276" spans="1:11" ht="12.75" x14ac:dyDescent="0.2">
      <c r="A276" s="148" t="s">
        <v>24</v>
      </c>
      <c r="B276" s="160">
        <v>242</v>
      </c>
      <c r="C276" s="148" t="s">
        <v>289</v>
      </c>
      <c r="D276" s="147" t="s">
        <v>529</v>
      </c>
      <c r="E276" s="165">
        <v>38991</v>
      </c>
      <c r="F276" s="150">
        <v>3292498</v>
      </c>
      <c r="G276" s="147">
        <v>9175</v>
      </c>
      <c r="H276" s="147"/>
      <c r="I276" s="152"/>
      <c r="J276" s="147"/>
      <c r="K276" s="139"/>
    </row>
    <row r="277" spans="1:11" ht="12.75" x14ac:dyDescent="0.2">
      <c r="A277" s="147"/>
      <c r="B277" s="147"/>
      <c r="C277" s="169"/>
      <c r="D277" s="149" t="s">
        <v>291</v>
      </c>
      <c r="E277" s="165"/>
      <c r="F277" s="150"/>
      <c r="G277" s="147"/>
      <c r="H277" s="161">
        <v>4650</v>
      </c>
      <c r="I277" s="152">
        <f>H277/H280</f>
        <v>0.73448112462486181</v>
      </c>
      <c r="J277" s="153" t="s">
        <v>239</v>
      </c>
      <c r="K277" s="139"/>
    </row>
    <row r="278" spans="1:11" ht="12.75" x14ac:dyDescent="0.2">
      <c r="A278" s="147"/>
      <c r="B278" s="147"/>
      <c r="C278" s="169"/>
      <c r="D278" s="149" t="s">
        <v>288</v>
      </c>
      <c r="E278" s="165"/>
      <c r="F278" s="150"/>
      <c r="G278" s="147"/>
      <c r="H278" s="161">
        <v>1225</v>
      </c>
      <c r="I278" s="152">
        <f>H278/H280</f>
        <v>0.19349233928289369</v>
      </c>
      <c r="J278" s="153"/>
      <c r="K278" s="139"/>
    </row>
    <row r="279" spans="1:11" ht="12.75" x14ac:dyDescent="0.2">
      <c r="A279" s="147"/>
      <c r="B279" s="147"/>
      <c r="C279" s="169"/>
      <c r="D279" s="154" t="s">
        <v>244</v>
      </c>
      <c r="E279" s="165"/>
      <c r="F279" s="150"/>
      <c r="G279" s="147"/>
      <c r="H279" s="161">
        <v>456</v>
      </c>
      <c r="I279" s="152">
        <f>H279/H280</f>
        <v>7.2026536092244506E-2</v>
      </c>
      <c r="J279" s="153"/>
      <c r="K279" s="139"/>
    </row>
    <row r="280" spans="1:11" ht="12.75" x14ac:dyDescent="0.2">
      <c r="A280" s="147"/>
      <c r="B280" s="147"/>
      <c r="C280" s="169"/>
      <c r="D280" s="148" t="s">
        <v>33</v>
      </c>
      <c r="E280" s="165"/>
      <c r="F280" s="150"/>
      <c r="G280" s="147"/>
      <c r="H280" s="155">
        <f>SUM(H277:H279)</f>
        <v>6331</v>
      </c>
      <c r="I280" s="156">
        <f>SUM(I277:I279)</f>
        <v>1</v>
      </c>
      <c r="J280" s="147"/>
      <c r="K280" s="139"/>
    </row>
    <row r="281" spans="1:11" ht="12.75" x14ac:dyDescent="0.2">
      <c r="A281" s="147"/>
      <c r="B281" s="147"/>
      <c r="C281" s="169"/>
      <c r="D281" s="148"/>
      <c r="E281" s="165"/>
      <c r="F281" s="150"/>
      <c r="G281" s="147"/>
      <c r="H281" s="147"/>
      <c r="I281" s="152"/>
      <c r="J281" s="147"/>
      <c r="K281" s="139"/>
    </row>
    <row r="282" spans="1:11" ht="12.75" x14ac:dyDescent="0.2">
      <c r="A282" s="148" t="s">
        <v>24</v>
      </c>
      <c r="B282" s="164">
        <v>269</v>
      </c>
      <c r="C282" s="148" t="s">
        <v>289</v>
      </c>
      <c r="D282" s="37" t="s">
        <v>545</v>
      </c>
      <c r="E282" s="165">
        <v>39387</v>
      </c>
      <c r="F282" s="150">
        <v>69643336</v>
      </c>
      <c r="G282" s="163">
        <v>163000</v>
      </c>
      <c r="H282" s="147"/>
      <c r="I282" s="152"/>
      <c r="J282" s="151"/>
      <c r="K282" s="139"/>
    </row>
    <row r="283" spans="1:11" ht="12.75" x14ac:dyDescent="0.2">
      <c r="A283" s="151"/>
      <c r="B283" s="151"/>
      <c r="C283" s="148"/>
      <c r="D283" s="149" t="s">
        <v>238</v>
      </c>
      <c r="E283" s="165"/>
      <c r="F283" s="150"/>
      <c r="G283" s="147"/>
      <c r="H283" s="161">
        <v>2037</v>
      </c>
      <c r="I283" s="152">
        <f>ROUND(H283/$H$288,4)</f>
        <v>2.3800000000000002E-2</v>
      </c>
      <c r="J283" s="151"/>
      <c r="K283" s="139"/>
    </row>
    <row r="284" spans="1:11" ht="12.75" x14ac:dyDescent="0.2">
      <c r="A284" s="151"/>
      <c r="B284" s="151"/>
      <c r="C284" s="148"/>
      <c r="D284" s="149" t="s">
        <v>291</v>
      </c>
      <c r="E284" s="165"/>
      <c r="F284" s="150"/>
      <c r="G284" s="147"/>
      <c r="H284" s="161">
        <v>50336</v>
      </c>
      <c r="I284" s="152">
        <f>ROUND(H284/$H$288,4)</f>
        <v>0.58689999999999998</v>
      </c>
      <c r="J284" s="153" t="s">
        <v>239</v>
      </c>
      <c r="K284" s="139"/>
    </row>
    <row r="285" spans="1:11" ht="12.75" x14ac:dyDescent="0.2">
      <c r="A285" s="151"/>
      <c r="B285" s="151"/>
      <c r="C285" s="148"/>
      <c r="D285" s="149" t="s">
        <v>240</v>
      </c>
      <c r="E285" s="165"/>
      <c r="F285" s="150"/>
      <c r="G285" s="147"/>
      <c r="H285" s="161">
        <v>14255</v>
      </c>
      <c r="I285" s="152">
        <f>ROUND(H285/$H$288,4)</f>
        <v>0.16619999999999999</v>
      </c>
      <c r="J285" s="153"/>
      <c r="K285" s="139"/>
    </row>
    <row r="286" spans="1:11" ht="12.75" x14ac:dyDescent="0.2">
      <c r="A286" s="151"/>
      <c r="B286" s="151"/>
      <c r="C286" s="148"/>
      <c r="D286" s="154" t="s">
        <v>244</v>
      </c>
      <c r="E286" s="165"/>
      <c r="F286" s="150"/>
      <c r="G286" s="147"/>
      <c r="H286" s="147">
        <v>12888</v>
      </c>
      <c r="I286" s="152">
        <f>ROUND(H286/$H$288,4)</f>
        <v>0.15029999999999999</v>
      </c>
      <c r="J286" s="151"/>
      <c r="K286" s="139"/>
    </row>
    <row r="287" spans="1:11" ht="12.75" x14ac:dyDescent="0.2">
      <c r="A287" s="151"/>
      <c r="B287" s="151"/>
      <c r="C287" s="148"/>
      <c r="D287" s="149" t="s">
        <v>473</v>
      </c>
      <c r="E287" s="165"/>
      <c r="F287" s="150"/>
      <c r="G287" s="147"/>
      <c r="H287" s="147">
        <v>6250</v>
      </c>
      <c r="I287" s="152">
        <f>ROUND(H287/$H$288,4)</f>
        <v>7.2900000000000006E-2</v>
      </c>
      <c r="J287" s="151"/>
      <c r="K287" s="139"/>
    </row>
    <row r="288" spans="1:11" ht="12.75" x14ac:dyDescent="0.2">
      <c r="A288" s="166"/>
      <c r="B288" s="151"/>
      <c r="C288" s="148"/>
      <c r="D288" s="148" t="s">
        <v>33</v>
      </c>
      <c r="E288" s="165"/>
      <c r="F288" s="150"/>
      <c r="G288" s="147"/>
      <c r="H288" s="155">
        <f>SUM(H283:H287)</f>
        <v>85766</v>
      </c>
      <c r="I288" s="156">
        <v>1</v>
      </c>
      <c r="J288" s="151"/>
      <c r="K288" s="139"/>
    </row>
    <row r="289" spans="1:11" ht="12.75" x14ac:dyDescent="0.2">
      <c r="A289" s="166"/>
      <c r="B289" s="151"/>
      <c r="C289" s="148"/>
      <c r="D289" s="148"/>
      <c r="E289" s="165"/>
      <c r="F289" s="150"/>
      <c r="G289" s="147"/>
      <c r="H289" s="147"/>
      <c r="I289" s="152"/>
      <c r="J289" s="151"/>
      <c r="K289" s="139"/>
    </row>
    <row r="290" spans="1:11" ht="12.75" x14ac:dyDescent="0.2">
      <c r="A290" s="148" t="s">
        <v>24</v>
      </c>
      <c r="B290" s="164">
        <v>207</v>
      </c>
      <c r="C290" s="148" t="s">
        <v>289</v>
      </c>
      <c r="D290" s="37" t="s">
        <v>546</v>
      </c>
      <c r="E290" s="165">
        <v>39114</v>
      </c>
      <c r="F290" s="150">
        <v>7670000</v>
      </c>
      <c r="G290" s="163">
        <v>18082</v>
      </c>
      <c r="H290" s="147"/>
      <c r="I290" s="152"/>
      <c r="J290" s="151"/>
      <c r="K290" s="139"/>
    </row>
    <row r="291" spans="1:11" ht="12.75" x14ac:dyDescent="0.2">
      <c r="A291" s="151"/>
      <c r="B291" s="151"/>
      <c r="C291" s="148"/>
      <c r="D291" s="149" t="s">
        <v>262</v>
      </c>
      <c r="E291" s="165"/>
      <c r="F291" s="150"/>
      <c r="G291" s="147"/>
      <c r="H291" s="161">
        <v>5020</v>
      </c>
      <c r="I291" s="152">
        <f>ROUND(H291/$H$294,4)</f>
        <v>0.44169999999999998</v>
      </c>
      <c r="J291" s="153" t="s">
        <v>262</v>
      </c>
      <c r="K291" s="139"/>
    </row>
    <row r="292" spans="1:11" ht="12.75" x14ac:dyDescent="0.2">
      <c r="A292" s="151"/>
      <c r="B292" s="151"/>
      <c r="C292" s="148"/>
      <c r="D292" s="149" t="s">
        <v>240</v>
      </c>
      <c r="E292" s="165"/>
      <c r="F292" s="150"/>
      <c r="G292" s="147"/>
      <c r="H292" s="161">
        <v>2058</v>
      </c>
      <c r="I292" s="152">
        <f>ROUND(H292/$H$294,4)</f>
        <v>0.18110000000000001</v>
      </c>
      <c r="J292" s="153"/>
      <c r="K292" s="139"/>
    </row>
    <row r="293" spans="1:11" ht="12.75" x14ac:dyDescent="0.2">
      <c r="A293" s="151"/>
      <c r="B293" s="151"/>
      <c r="C293" s="148"/>
      <c r="D293" s="154" t="s">
        <v>244</v>
      </c>
      <c r="E293" s="165"/>
      <c r="F293" s="150"/>
      <c r="G293" s="147"/>
      <c r="H293" s="147">
        <v>4287</v>
      </c>
      <c r="I293" s="152">
        <f>ROUND(H293/$H$294,4)</f>
        <v>0.37719999999999998</v>
      </c>
      <c r="J293" s="151"/>
      <c r="K293" s="139"/>
    </row>
    <row r="294" spans="1:11" ht="12.75" x14ac:dyDescent="0.2">
      <c r="A294" s="166"/>
      <c r="B294" s="151"/>
      <c r="C294" s="148"/>
      <c r="D294" s="148" t="s">
        <v>33</v>
      </c>
      <c r="E294" s="165"/>
      <c r="F294" s="150"/>
      <c r="G294" s="147"/>
      <c r="H294" s="155">
        <f>SUM(H291:H293)</f>
        <v>11365</v>
      </c>
      <c r="I294" s="156">
        <v>1</v>
      </c>
      <c r="J294" s="151"/>
      <c r="K294" s="139"/>
    </row>
    <row r="295" spans="1:11" ht="12.75" x14ac:dyDescent="0.2">
      <c r="A295" s="147"/>
      <c r="B295" s="147"/>
      <c r="C295" s="169"/>
      <c r="D295" s="148"/>
      <c r="E295" s="165"/>
      <c r="F295" s="150"/>
      <c r="G295" s="147"/>
      <c r="H295" s="147"/>
      <c r="I295" s="152"/>
      <c r="J295" s="147"/>
      <c r="K295" s="139"/>
    </row>
    <row r="296" spans="1:11" ht="12.75" x14ac:dyDescent="0.2">
      <c r="A296" s="148" t="s">
        <v>24</v>
      </c>
      <c r="B296" s="164">
        <v>206</v>
      </c>
      <c r="C296" s="148" t="s">
        <v>289</v>
      </c>
      <c r="D296" s="147" t="s">
        <v>553</v>
      </c>
      <c r="E296" s="165">
        <v>39783</v>
      </c>
      <c r="F296" s="150">
        <v>19065460</v>
      </c>
      <c r="G296" s="163">
        <v>69518</v>
      </c>
      <c r="H296" s="147"/>
      <c r="I296" s="152"/>
      <c r="J296" s="147"/>
      <c r="K296" s="139"/>
    </row>
    <row r="297" spans="1:11" ht="12.75" x14ac:dyDescent="0.2">
      <c r="A297" s="147"/>
      <c r="B297" s="147"/>
      <c r="C297" s="169"/>
      <c r="D297" s="149" t="s">
        <v>261</v>
      </c>
      <c r="E297" s="165"/>
      <c r="F297" s="150"/>
      <c r="G297" s="147"/>
      <c r="H297" s="147">
        <v>16654</v>
      </c>
      <c r="I297" s="152">
        <f t="shared" ref="I297:I302" si="3">ROUND(H297/$H$303,4)</f>
        <v>0.50070000000000003</v>
      </c>
      <c r="J297" s="151" t="s">
        <v>261</v>
      </c>
      <c r="K297" s="139"/>
    </row>
    <row r="298" spans="1:11" ht="12.75" x14ac:dyDescent="0.2">
      <c r="A298" s="147"/>
      <c r="B298" s="147"/>
      <c r="C298" s="169"/>
      <c r="D298" s="149" t="s">
        <v>284</v>
      </c>
      <c r="E298" s="165"/>
      <c r="F298" s="150"/>
      <c r="G298" s="147"/>
      <c r="H298" s="147">
        <v>2411</v>
      </c>
      <c r="I298" s="152">
        <f t="shared" si="3"/>
        <v>7.2499999999999995E-2</v>
      </c>
      <c r="J298" s="147"/>
      <c r="K298" s="139"/>
    </row>
    <row r="299" spans="1:11" ht="12.75" x14ac:dyDescent="0.2">
      <c r="A299" s="147"/>
      <c r="B299" s="147"/>
      <c r="C299" s="169"/>
      <c r="D299" s="149" t="s">
        <v>262</v>
      </c>
      <c r="E299" s="165"/>
      <c r="F299" s="150"/>
      <c r="G299" s="147"/>
      <c r="H299" s="147">
        <v>2363</v>
      </c>
      <c r="I299" s="152">
        <f t="shared" si="3"/>
        <v>7.0999999999999994E-2</v>
      </c>
      <c r="J299" s="147"/>
      <c r="K299" s="139"/>
    </row>
    <row r="300" spans="1:11" ht="12.75" x14ac:dyDescent="0.2">
      <c r="A300" s="147"/>
      <c r="B300" s="147"/>
      <c r="C300" s="169"/>
      <c r="D300" s="149" t="s">
        <v>240</v>
      </c>
      <c r="E300" s="165"/>
      <c r="F300" s="150"/>
      <c r="G300" s="147"/>
      <c r="H300" s="147">
        <v>9988</v>
      </c>
      <c r="I300" s="152">
        <f t="shared" si="3"/>
        <v>0.30030000000000001</v>
      </c>
      <c r="J300" s="153" t="s">
        <v>288</v>
      </c>
      <c r="K300" s="139"/>
    </row>
    <row r="301" spans="1:11" ht="12.75" x14ac:dyDescent="0.2">
      <c r="A301" s="147"/>
      <c r="B301" s="147"/>
      <c r="C301" s="169"/>
      <c r="D301" s="154" t="s">
        <v>244</v>
      </c>
      <c r="E301" s="165"/>
      <c r="F301" s="150"/>
      <c r="G301" s="147"/>
      <c r="H301" s="147">
        <v>1362</v>
      </c>
      <c r="I301" s="152">
        <f t="shared" si="3"/>
        <v>4.0899999999999999E-2</v>
      </c>
      <c r="J301" s="147"/>
      <c r="K301" s="139"/>
    </row>
    <row r="302" spans="1:11" ht="12.75" x14ac:dyDescent="0.2">
      <c r="A302" s="147"/>
      <c r="B302" s="147"/>
      <c r="C302" s="169"/>
      <c r="D302" s="149" t="s">
        <v>473</v>
      </c>
      <c r="E302" s="165"/>
      <c r="F302" s="150"/>
      <c r="G302" s="147"/>
      <c r="H302" s="147">
        <v>486</v>
      </c>
      <c r="I302" s="152">
        <f t="shared" si="3"/>
        <v>1.46E-2</v>
      </c>
      <c r="J302" s="147"/>
      <c r="K302" s="139"/>
    </row>
    <row r="303" spans="1:11" ht="12.75" x14ac:dyDescent="0.2">
      <c r="A303" s="147"/>
      <c r="B303" s="147"/>
      <c r="C303" s="169"/>
      <c r="D303" s="148" t="s">
        <v>33</v>
      </c>
      <c r="E303" s="165"/>
      <c r="F303" s="150"/>
      <c r="G303" s="147"/>
      <c r="H303" s="155">
        <f>SUM(H297:H302)</f>
        <v>33264</v>
      </c>
      <c r="I303" s="156">
        <f>SUM(I297:I302)</f>
        <v>1</v>
      </c>
      <c r="J303" s="147"/>
      <c r="K303" s="139"/>
    </row>
    <row r="304" spans="1:11" ht="12.75" x14ac:dyDescent="0.2">
      <c r="A304" s="147"/>
      <c r="B304" s="147"/>
      <c r="C304" s="169"/>
      <c r="D304" s="148"/>
      <c r="E304" s="165"/>
      <c r="F304" s="150"/>
      <c r="G304" s="147"/>
      <c r="H304" s="147"/>
      <c r="I304" s="152"/>
      <c r="J304" s="147"/>
      <c r="K304" s="139"/>
    </row>
    <row r="305" spans="1:11" ht="12.75" x14ac:dyDescent="0.2">
      <c r="A305" s="148" t="s">
        <v>24</v>
      </c>
      <c r="B305" s="164">
        <v>275</v>
      </c>
      <c r="C305" s="148" t="s">
        <v>289</v>
      </c>
      <c r="D305" s="147" t="s">
        <v>554</v>
      </c>
      <c r="E305" s="165">
        <v>39508</v>
      </c>
      <c r="F305" s="150">
        <v>40775089</v>
      </c>
      <c r="G305" s="163">
        <v>90000</v>
      </c>
      <c r="H305" s="147"/>
      <c r="I305" s="152"/>
      <c r="J305" s="147"/>
      <c r="K305" s="139"/>
    </row>
    <row r="306" spans="1:11" ht="12.75" x14ac:dyDescent="0.2">
      <c r="A306" s="147"/>
      <c r="B306" s="147"/>
      <c r="C306" s="169"/>
      <c r="D306" s="149" t="s">
        <v>291</v>
      </c>
      <c r="E306" s="165"/>
      <c r="F306" s="150"/>
      <c r="G306" s="147"/>
      <c r="H306" s="147">
        <v>37434</v>
      </c>
      <c r="I306" s="152">
        <f>ROUND(H306/$H$309,4)</f>
        <v>0.81769999999999998</v>
      </c>
      <c r="J306" s="153" t="s">
        <v>239</v>
      </c>
      <c r="K306" s="139"/>
    </row>
    <row r="307" spans="1:11" ht="12.75" x14ac:dyDescent="0.2">
      <c r="A307" s="147"/>
      <c r="B307" s="147"/>
      <c r="C307" s="169"/>
      <c r="D307" s="149" t="s">
        <v>262</v>
      </c>
      <c r="E307" s="165"/>
      <c r="F307" s="150"/>
      <c r="G307" s="147"/>
      <c r="H307" s="147">
        <v>1480</v>
      </c>
      <c r="I307" s="152">
        <f>ROUND(H307/$H$309,4)</f>
        <v>3.2300000000000002E-2</v>
      </c>
      <c r="J307" s="147"/>
      <c r="K307" s="139"/>
    </row>
    <row r="308" spans="1:11" ht="12.75" x14ac:dyDescent="0.2">
      <c r="A308" s="147"/>
      <c r="B308" s="147"/>
      <c r="C308" s="169"/>
      <c r="D308" s="149" t="s">
        <v>240</v>
      </c>
      <c r="E308" s="165"/>
      <c r="F308" s="150"/>
      <c r="G308" s="147"/>
      <c r="H308" s="147">
        <v>6866</v>
      </c>
      <c r="I308" s="152">
        <f>ROUND(H308/$H$309,4)</f>
        <v>0.15</v>
      </c>
      <c r="J308" s="147"/>
      <c r="K308" s="139"/>
    </row>
    <row r="309" spans="1:11" ht="12.75" x14ac:dyDescent="0.2">
      <c r="A309" s="147"/>
      <c r="B309" s="147"/>
      <c r="C309" s="169"/>
      <c r="D309" s="148" t="s">
        <v>33</v>
      </c>
      <c r="E309" s="165"/>
      <c r="F309" s="150"/>
      <c r="G309" s="147"/>
      <c r="H309" s="155">
        <f>SUM(H306:H308)</f>
        <v>45780</v>
      </c>
      <c r="I309" s="156">
        <f>SUM(I306:I308)</f>
        <v>1</v>
      </c>
      <c r="J309" s="147"/>
      <c r="K309" s="139"/>
    </row>
    <row r="310" spans="1:11" ht="12.75" x14ac:dyDescent="0.2">
      <c r="A310" s="147"/>
      <c r="B310" s="147"/>
      <c r="C310" s="169"/>
      <c r="D310" s="148"/>
      <c r="E310" s="165"/>
      <c r="F310" s="150"/>
      <c r="G310" s="147"/>
      <c r="H310" s="147"/>
      <c r="I310" s="152"/>
      <c r="J310" s="147"/>
      <c r="K310" s="139"/>
    </row>
    <row r="311" spans="1:11" ht="12.75" x14ac:dyDescent="0.2">
      <c r="A311" s="148" t="s">
        <v>24</v>
      </c>
      <c r="B311" s="164">
        <v>256</v>
      </c>
      <c r="C311" s="148" t="s">
        <v>289</v>
      </c>
      <c r="D311" s="147" t="s">
        <v>562</v>
      </c>
      <c r="E311" s="165">
        <v>39845</v>
      </c>
      <c r="F311" s="150">
        <v>5972833</v>
      </c>
      <c r="G311" s="147">
        <v>22549</v>
      </c>
      <c r="H311" s="147"/>
      <c r="I311" s="147"/>
      <c r="J311" s="147"/>
      <c r="K311" s="139"/>
    </row>
    <row r="312" spans="1:11" ht="12.75" x14ac:dyDescent="0.2">
      <c r="A312" s="148"/>
      <c r="B312" s="164"/>
      <c r="C312" s="148"/>
      <c r="D312" s="147" t="s">
        <v>261</v>
      </c>
      <c r="E312" s="165"/>
      <c r="F312" s="150"/>
      <c r="G312" s="147"/>
      <c r="H312" s="147">
        <v>270</v>
      </c>
      <c r="I312" s="152">
        <f>ROUND(H312/$H$316,4)</f>
        <v>2.07E-2</v>
      </c>
      <c r="J312" s="147"/>
      <c r="K312" s="139"/>
    </row>
    <row r="313" spans="1:11" ht="12.75" x14ac:dyDescent="0.2">
      <c r="A313" s="147"/>
      <c r="B313" s="147"/>
      <c r="C313" s="169"/>
      <c r="D313" s="149" t="s">
        <v>240</v>
      </c>
      <c r="E313" s="165"/>
      <c r="F313" s="150"/>
      <c r="G313" s="147"/>
      <c r="H313" s="147">
        <v>9145</v>
      </c>
      <c r="I313" s="152">
        <f>ROUND(H313/$H$316,4)</f>
        <v>0.70220000000000005</v>
      </c>
      <c r="J313" s="151" t="s">
        <v>63</v>
      </c>
      <c r="K313" s="139"/>
    </row>
    <row r="314" spans="1:11" ht="12.75" x14ac:dyDescent="0.2">
      <c r="A314" s="147"/>
      <c r="B314" s="147"/>
      <c r="C314" s="169"/>
      <c r="D314" s="154" t="s">
        <v>244</v>
      </c>
      <c r="E314" s="165"/>
      <c r="F314" s="150"/>
      <c r="G314" s="147"/>
      <c r="H314" s="147">
        <v>280</v>
      </c>
      <c r="I314" s="152">
        <f>ROUND(H314/$H$316,4)</f>
        <v>2.1499999999999998E-2</v>
      </c>
      <c r="J314" s="147"/>
      <c r="K314" s="139"/>
    </row>
    <row r="315" spans="1:11" ht="12.75" x14ac:dyDescent="0.2">
      <c r="A315" s="147"/>
      <c r="B315" s="147"/>
      <c r="C315" s="169"/>
      <c r="D315" s="149" t="s">
        <v>473</v>
      </c>
      <c r="E315" s="165"/>
      <c r="F315" s="150"/>
      <c r="G315" s="147"/>
      <c r="H315" s="147">
        <v>3328</v>
      </c>
      <c r="I315" s="152">
        <f>ROUND(H315/$H$316,4)</f>
        <v>0.2555</v>
      </c>
      <c r="J315" s="147"/>
      <c r="K315" s="139"/>
    </row>
    <row r="316" spans="1:11" ht="12.75" x14ac:dyDescent="0.2">
      <c r="A316" s="147"/>
      <c r="B316" s="147"/>
      <c r="C316" s="169"/>
      <c r="D316" s="148" t="s">
        <v>33</v>
      </c>
      <c r="E316" s="165"/>
      <c r="F316" s="150"/>
      <c r="G316" s="147"/>
      <c r="H316" s="155">
        <f>SUM(H312:H315)</f>
        <v>13023</v>
      </c>
      <c r="I316" s="156">
        <f>SUM(I312:I315)</f>
        <v>0.99990000000000001</v>
      </c>
      <c r="J316" s="147"/>
      <c r="K316" s="139"/>
    </row>
    <row r="317" spans="1:11" ht="12.75" x14ac:dyDescent="0.2">
      <c r="A317" s="147"/>
      <c r="B317" s="147"/>
      <c r="C317" s="169"/>
      <c r="D317" s="148"/>
      <c r="E317" s="165"/>
      <c r="F317" s="150"/>
      <c r="G317" s="147"/>
      <c r="H317" s="147"/>
      <c r="I317" s="152"/>
      <c r="J317" s="147"/>
      <c r="K317" s="139"/>
    </row>
    <row r="318" spans="1:11" ht="12.75" x14ac:dyDescent="0.2">
      <c r="A318" s="148" t="s">
        <v>24</v>
      </c>
      <c r="B318" s="148">
        <v>303</v>
      </c>
      <c r="C318" s="148" t="s">
        <v>289</v>
      </c>
      <c r="D318" s="147" t="s">
        <v>563</v>
      </c>
      <c r="E318" s="165">
        <v>39448</v>
      </c>
      <c r="F318" s="150">
        <v>5396258</v>
      </c>
      <c r="G318" s="147">
        <v>21535</v>
      </c>
      <c r="H318" s="147"/>
      <c r="I318" s="147"/>
      <c r="J318" s="147"/>
      <c r="K318" s="139"/>
    </row>
    <row r="319" spans="1:11" ht="12.75" x14ac:dyDescent="0.2">
      <c r="A319" s="148"/>
      <c r="B319" s="148"/>
      <c r="C319" s="148"/>
      <c r="D319" s="147" t="s">
        <v>261</v>
      </c>
      <c r="E319" s="165"/>
      <c r="F319" s="150"/>
      <c r="G319" s="147"/>
      <c r="H319" s="147">
        <v>2041</v>
      </c>
      <c r="I319" s="152">
        <f>ROUND(H319/$H$323,4)</f>
        <v>0.22359999999999999</v>
      </c>
      <c r="J319" s="151" t="s">
        <v>564</v>
      </c>
      <c r="K319" s="139"/>
    </row>
    <row r="320" spans="1:11" ht="12.75" x14ac:dyDescent="0.2">
      <c r="A320" s="147"/>
      <c r="B320" s="147"/>
      <c r="C320" s="169"/>
      <c r="D320" s="147" t="s">
        <v>284</v>
      </c>
      <c r="E320" s="165"/>
      <c r="F320" s="150"/>
      <c r="G320" s="147"/>
      <c r="H320" s="147">
        <v>55</v>
      </c>
      <c r="I320" s="152">
        <f>ROUND(H320/$H$323,4)</f>
        <v>6.0000000000000001E-3</v>
      </c>
      <c r="J320" s="147"/>
      <c r="K320" s="139"/>
    </row>
    <row r="321" spans="1:11" ht="12.75" x14ac:dyDescent="0.2">
      <c r="A321" s="147"/>
      <c r="B321" s="147"/>
      <c r="C321" s="169"/>
      <c r="D321" s="149" t="s">
        <v>240</v>
      </c>
      <c r="E321" s="165"/>
      <c r="F321" s="150"/>
      <c r="G321" s="147"/>
      <c r="H321" s="147">
        <v>3152</v>
      </c>
      <c r="I321" s="152">
        <f>ROUND(H321/$H$323,4)</f>
        <v>0.34539999999999998</v>
      </c>
      <c r="J321" s="151" t="s">
        <v>63</v>
      </c>
      <c r="K321" s="139"/>
    </row>
    <row r="322" spans="1:11" ht="12.75" x14ac:dyDescent="0.2">
      <c r="A322" s="147"/>
      <c r="B322" s="147"/>
      <c r="C322" s="169"/>
      <c r="D322" s="149" t="s">
        <v>473</v>
      </c>
      <c r="E322" s="165"/>
      <c r="F322" s="150"/>
      <c r="G322" s="147"/>
      <c r="H322" s="147">
        <v>3878</v>
      </c>
      <c r="I322" s="152">
        <f>ROUND(H322/$H$323,4)</f>
        <v>0.4249</v>
      </c>
      <c r="J322" s="151"/>
      <c r="K322" s="139"/>
    </row>
    <row r="323" spans="1:11" ht="12.75" x14ac:dyDescent="0.2">
      <c r="A323" s="147"/>
      <c r="B323" s="147"/>
      <c r="C323" s="169"/>
      <c r="D323" s="148" t="s">
        <v>33</v>
      </c>
      <c r="E323" s="165"/>
      <c r="F323" s="150"/>
      <c r="G323" s="147"/>
      <c r="H323" s="155">
        <f>SUM(H319:H322)</f>
        <v>9126</v>
      </c>
      <c r="I323" s="156">
        <f>SUM(I319:I322)</f>
        <v>0.99990000000000001</v>
      </c>
      <c r="J323" s="147"/>
      <c r="K323" s="139"/>
    </row>
    <row r="324" spans="1:11" ht="12.75" x14ac:dyDescent="0.2">
      <c r="A324" s="147"/>
      <c r="B324" s="147"/>
      <c r="C324" s="169"/>
      <c r="D324" s="148"/>
      <c r="E324" s="165"/>
      <c r="F324" s="150"/>
      <c r="G324" s="147"/>
      <c r="H324" s="147"/>
      <c r="I324" s="152"/>
      <c r="J324" s="147"/>
      <c r="K324" s="139"/>
    </row>
    <row r="325" spans="1:11" s="7" customFormat="1" x14ac:dyDescent="0.2">
      <c r="A325" s="148" t="s">
        <v>24</v>
      </c>
      <c r="B325" s="148"/>
      <c r="C325" s="148" t="s">
        <v>289</v>
      </c>
      <c r="D325" s="147" t="s">
        <v>601</v>
      </c>
      <c r="E325" s="165">
        <v>40200</v>
      </c>
      <c r="F325" s="150">
        <v>13304315</v>
      </c>
      <c r="G325" s="147">
        <v>25950</v>
      </c>
      <c r="H325" s="147"/>
      <c r="I325" s="152"/>
      <c r="J325" s="147"/>
      <c r="K325" s="87"/>
    </row>
    <row r="326" spans="1:11" ht="12.75" x14ac:dyDescent="0.2">
      <c r="A326" s="147"/>
      <c r="B326" s="147"/>
      <c r="C326" s="169"/>
      <c r="D326" s="147" t="s">
        <v>584</v>
      </c>
      <c r="E326" s="165"/>
      <c r="F326" s="150"/>
      <c r="G326" s="147"/>
      <c r="H326" s="147">
        <v>6872</v>
      </c>
      <c r="I326" s="152">
        <f>H326/$H$330</f>
        <v>0.42928535732133932</v>
      </c>
      <c r="J326" s="151" t="s">
        <v>74</v>
      </c>
      <c r="K326" s="139"/>
    </row>
    <row r="327" spans="1:11" ht="12.75" x14ac:dyDescent="0.2">
      <c r="A327" s="147"/>
      <c r="B327" s="147"/>
      <c r="C327" s="169"/>
      <c r="D327" s="147" t="s">
        <v>589</v>
      </c>
      <c r="E327" s="165"/>
      <c r="F327" s="150"/>
      <c r="G327" s="147"/>
      <c r="H327" s="147">
        <v>1112</v>
      </c>
      <c r="I327" s="152">
        <f>H327/$H$330</f>
        <v>6.9465267366316835E-2</v>
      </c>
      <c r="J327" s="147"/>
      <c r="K327" s="139"/>
    </row>
    <row r="328" spans="1:11" ht="12.75" x14ac:dyDescent="0.2">
      <c r="A328" s="147"/>
      <c r="B328" s="147"/>
      <c r="C328" s="169"/>
      <c r="D328" s="147" t="s">
        <v>595</v>
      </c>
      <c r="E328" s="165"/>
      <c r="F328" s="150"/>
      <c r="G328" s="147"/>
      <c r="H328" s="147">
        <v>3029</v>
      </c>
      <c r="I328" s="152">
        <f>H328/$H$330</f>
        <v>0.18921789105447276</v>
      </c>
      <c r="J328" s="147"/>
      <c r="K328" s="139"/>
    </row>
    <row r="329" spans="1:11" ht="12.75" x14ac:dyDescent="0.2">
      <c r="A329" s="147"/>
      <c r="B329" s="147"/>
      <c r="C329" s="169"/>
      <c r="D329" s="147" t="s">
        <v>590</v>
      </c>
      <c r="E329" s="165"/>
      <c r="F329" s="150"/>
      <c r="G329" s="147"/>
      <c r="H329" s="147">
        <v>4995</v>
      </c>
      <c r="I329" s="152">
        <f>H329/$H$330</f>
        <v>0.31203148425787108</v>
      </c>
      <c r="J329" s="147"/>
      <c r="K329" s="139"/>
    </row>
    <row r="330" spans="1:11" ht="12.75" x14ac:dyDescent="0.2">
      <c r="A330" s="147"/>
      <c r="B330" s="147"/>
      <c r="C330" s="169"/>
      <c r="D330" s="148" t="s">
        <v>33</v>
      </c>
      <c r="E330" s="165"/>
      <c r="F330" s="150"/>
      <c r="G330" s="147"/>
      <c r="H330" s="155">
        <f>SUM(H326:H329)</f>
        <v>16008</v>
      </c>
      <c r="I330" s="156">
        <f>SUM(I326:I329)</f>
        <v>1</v>
      </c>
      <c r="J330" s="147"/>
      <c r="K330" s="139"/>
    </row>
    <row r="331" spans="1:11" ht="12.75" x14ac:dyDescent="0.2">
      <c r="A331" s="147"/>
      <c r="B331" s="147"/>
      <c r="C331" s="169"/>
      <c r="D331" s="148"/>
      <c r="E331" s="165"/>
      <c r="F331" s="150"/>
      <c r="G331" s="147"/>
      <c r="H331" s="147"/>
      <c r="I331" s="152"/>
      <c r="J331" s="147"/>
      <c r="K331" s="139"/>
    </row>
    <row r="332" spans="1:11" s="16" customFormat="1" ht="12.75" x14ac:dyDescent="0.2">
      <c r="A332" s="148" t="s">
        <v>24</v>
      </c>
      <c r="B332" s="148"/>
      <c r="C332" s="148" t="s">
        <v>506</v>
      </c>
      <c r="D332" s="147" t="s">
        <v>602</v>
      </c>
      <c r="E332" s="165">
        <v>40448</v>
      </c>
      <c r="F332" s="150">
        <v>11432301</v>
      </c>
      <c r="G332" s="147">
        <v>48590</v>
      </c>
      <c r="H332" s="147"/>
      <c r="I332" s="152"/>
      <c r="J332" s="147"/>
      <c r="K332" s="87"/>
    </row>
    <row r="333" spans="1:11" s="16" customFormat="1" ht="12.75" x14ac:dyDescent="0.2">
      <c r="A333" s="147"/>
      <c r="B333" s="147"/>
      <c r="C333" s="169"/>
      <c r="D333" s="147" t="s">
        <v>603</v>
      </c>
      <c r="E333" s="165"/>
      <c r="F333" s="150"/>
      <c r="G333" s="147"/>
      <c r="H333" s="147">
        <v>10541</v>
      </c>
      <c r="I333" s="152">
        <f>H333/$H$337</f>
        <v>0.35074701360929028</v>
      </c>
      <c r="J333" s="147"/>
      <c r="K333" s="87"/>
    </row>
    <row r="334" spans="1:11" s="16" customFormat="1" ht="12.75" x14ac:dyDescent="0.2">
      <c r="A334" s="147"/>
      <c r="B334" s="147"/>
      <c r="C334" s="169"/>
      <c r="D334" s="147" t="s">
        <v>584</v>
      </c>
      <c r="E334" s="165"/>
      <c r="F334" s="150"/>
      <c r="G334" s="147"/>
      <c r="H334" s="147">
        <v>1625</v>
      </c>
      <c r="I334" s="152">
        <f>H334/$H$337</f>
        <v>5.4071140984261142E-2</v>
      </c>
      <c r="J334" s="147"/>
      <c r="K334" s="87"/>
    </row>
    <row r="335" spans="1:11" s="16" customFormat="1" ht="12.75" x14ac:dyDescent="0.2">
      <c r="A335" s="147"/>
      <c r="B335" s="147"/>
      <c r="C335" s="169"/>
      <c r="D335" s="147" t="s">
        <v>589</v>
      </c>
      <c r="E335" s="165"/>
      <c r="F335" s="150"/>
      <c r="G335" s="147"/>
      <c r="H335" s="147">
        <v>16900</v>
      </c>
      <c r="I335" s="152">
        <f>H335/$H$337</f>
        <v>0.56233986623631582</v>
      </c>
      <c r="J335" s="151" t="s">
        <v>596</v>
      </c>
      <c r="K335" s="87"/>
    </row>
    <row r="336" spans="1:11" s="16" customFormat="1" ht="12.75" x14ac:dyDescent="0.2">
      <c r="A336" s="147"/>
      <c r="B336" s="147"/>
      <c r="C336" s="169"/>
      <c r="D336" s="147" t="s">
        <v>595</v>
      </c>
      <c r="E336" s="165"/>
      <c r="F336" s="150"/>
      <c r="G336" s="147"/>
      <c r="H336" s="147">
        <v>987</v>
      </c>
      <c r="I336" s="152">
        <f>H336/$H$337</f>
        <v>3.2841979170132762E-2</v>
      </c>
      <c r="J336" s="147"/>
      <c r="K336" s="87"/>
    </row>
    <row r="337" spans="1:11" s="16" customFormat="1" ht="12.75" x14ac:dyDescent="0.2">
      <c r="A337" s="147"/>
      <c r="B337" s="147"/>
      <c r="C337" s="169"/>
      <c r="D337" s="148" t="s">
        <v>33</v>
      </c>
      <c r="E337" s="165"/>
      <c r="F337" s="150"/>
      <c r="G337" s="147"/>
      <c r="H337" s="167">
        <f>SUM(H333:H336)</f>
        <v>30053</v>
      </c>
      <c r="I337" s="168">
        <f>SUM(I333:I336)</f>
        <v>1</v>
      </c>
      <c r="J337" s="147"/>
      <c r="K337" s="87"/>
    </row>
    <row r="338" spans="1:11" ht="12.75" x14ac:dyDescent="0.2">
      <c r="A338" s="147"/>
      <c r="B338" s="147"/>
      <c r="C338" s="169"/>
      <c r="D338" s="148"/>
      <c r="E338" s="165"/>
      <c r="F338" s="150"/>
      <c r="G338" s="147"/>
      <c r="H338" s="147"/>
      <c r="I338" s="152"/>
      <c r="J338" s="147"/>
      <c r="K338" s="139"/>
    </row>
    <row r="339" spans="1:11" ht="12.75" x14ac:dyDescent="0.2">
      <c r="A339" s="148" t="s">
        <v>24</v>
      </c>
      <c r="B339" s="148"/>
      <c r="C339" s="148" t="s">
        <v>289</v>
      </c>
      <c r="D339" s="147" t="s">
        <v>604</v>
      </c>
      <c r="E339" s="165">
        <v>40479</v>
      </c>
      <c r="F339" s="150">
        <v>4464264</v>
      </c>
      <c r="G339" s="147">
        <v>18042</v>
      </c>
      <c r="H339" s="147"/>
      <c r="I339" s="152"/>
      <c r="J339" s="147"/>
      <c r="K339" s="139"/>
    </row>
    <row r="340" spans="1:11" ht="12.75" x14ac:dyDescent="0.2">
      <c r="A340" s="147"/>
      <c r="B340" s="147"/>
      <c r="C340" s="169"/>
      <c r="D340" s="147" t="s">
        <v>581</v>
      </c>
      <c r="E340" s="165"/>
      <c r="F340" s="150"/>
      <c r="G340" s="147"/>
      <c r="H340" s="147">
        <v>3000</v>
      </c>
      <c r="I340" s="152">
        <f>H340/$H$343</f>
        <v>0.25054284282612327</v>
      </c>
      <c r="J340" s="147"/>
      <c r="K340" s="139"/>
    </row>
    <row r="341" spans="1:11" ht="12.75" x14ac:dyDescent="0.2">
      <c r="A341" s="147"/>
      <c r="B341" s="147"/>
      <c r="C341" s="169"/>
      <c r="D341" s="147" t="s">
        <v>584</v>
      </c>
      <c r="E341" s="165"/>
      <c r="F341" s="150"/>
      <c r="G341" s="147"/>
      <c r="H341" s="147">
        <v>3813</v>
      </c>
      <c r="I341" s="152">
        <f>H341/$H$343</f>
        <v>0.31843995323200269</v>
      </c>
      <c r="J341" s="147"/>
      <c r="K341" s="139"/>
    </row>
    <row r="342" spans="1:11" ht="12.75" x14ac:dyDescent="0.2">
      <c r="A342" s="147"/>
      <c r="B342" s="147"/>
      <c r="C342" s="169"/>
      <c r="D342" s="147" t="s">
        <v>589</v>
      </c>
      <c r="E342" s="165"/>
      <c r="F342" s="150"/>
      <c r="G342" s="147"/>
      <c r="H342" s="147">
        <v>5161</v>
      </c>
      <c r="I342" s="152">
        <f>H342/$H$343</f>
        <v>0.43101720394187404</v>
      </c>
      <c r="J342" s="151" t="s">
        <v>596</v>
      </c>
      <c r="K342" s="139"/>
    </row>
    <row r="343" spans="1:11" ht="12.75" x14ac:dyDescent="0.2">
      <c r="A343" s="147"/>
      <c r="B343" s="147"/>
      <c r="C343" s="169"/>
      <c r="D343" s="148" t="s">
        <v>33</v>
      </c>
      <c r="E343" s="165"/>
      <c r="F343" s="150"/>
      <c r="G343" s="147"/>
      <c r="H343" s="167">
        <f>SUM(H340:H342)</f>
        <v>11974</v>
      </c>
      <c r="I343" s="168">
        <f>SUM(I340:I342)</f>
        <v>1</v>
      </c>
      <c r="J343" s="147"/>
      <c r="K343" s="139"/>
    </row>
    <row r="344" spans="1:11" ht="12.75" x14ac:dyDescent="0.2">
      <c r="A344" s="147"/>
      <c r="B344" s="147"/>
      <c r="C344" s="169"/>
      <c r="D344" s="148"/>
      <c r="E344" s="165"/>
      <c r="F344" s="150"/>
      <c r="G344" s="147"/>
      <c r="H344" s="147"/>
      <c r="I344" s="152"/>
      <c r="J344" s="147"/>
      <c r="K344" s="139"/>
    </row>
    <row r="345" spans="1:11" ht="12.75" x14ac:dyDescent="0.2">
      <c r="A345" s="148" t="s">
        <v>24</v>
      </c>
      <c r="B345" s="148"/>
      <c r="C345" s="148" t="s">
        <v>289</v>
      </c>
      <c r="D345" s="149" t="s">
        <v>606</v>
      </c>
      <c r="E345" s="165">
        <v>40598</v>
      </c>
      <c r="F345" s="150">
        <v>46275000</v>
      </c>
      <c r="G345" s="147">
        <v>114329</v>
      </c>
      <c r="H345" s="147"/>
      <c r="I345" s="152"/>
      <c r="J345" s="147"/>
      <c r="K345" s="139"/>
    </row>
    <row r="346" spans="1:11" ht="12.75" x14ac:dyDescent="0.2">
      <c r="A346" s="147"/>
      <c r="B346" s="147"/>
      <c r="C346" s="169"/>
      <c r="D346" s="147" t="s">
        <v>581</v>
      </c>
      <c r="E346" s="165"/>
      <c r="F346" s="150"/>
      <c r="G346" s="147"/>
      <c r="H346" s="147">
        <v>11723</v>
      </c>
      <c r="I346" s="152">
        <f t="shared" ref="I346:I354" si="4">H346/$H$355</f>
        <v>0.20332310040411397</v>
      </c>
      <c r="J346" s="151" t="s">
        <v>564</v>
      </c>
      <c r="K346" s="139"/>
    </row>
    <row r="347" spans="1:11" ht="12.75" x14ac:dyDescent="0.2">
      <c r="A347" s="147"/>
      <c r="B347" s="147"/>
      <c r="C347" s="169"/>
      <c r="D347" s="149" t="s">
        <v>238</v>
      </c>
      <c r="E347" s="165"/>
      <c r="F347" s="150"/>
      <c r="G347" s="147"/>
      <c r="H347" s="147">
        <v>2210</v>
      </c>
      <c r="I347" s="152">
        <f t="shared" si="4"/>
        <v>3.8330124702984893E-2</v>
      </c>
      <c r="J347" s="151"/>
      <c r="K347" s="139"/>
    </row>
    <row r="348" spans="1:11" ht="12.75" x14ac:dyDescent="0.2">
      <c r="A348" s="147"/>
      <c r="B348" s="147"/>
      <c r="C348" s="169"/>
      <c r="D348" s="147" t="s">
        <v>603</v>
      </c>
      <c r="E348" s="165"/>
      <c r="F348" s="150"/>
      <c r="G348" s="147"/>
      <c r="H348" s="147">
        <v>20685</v>
      </c>
      <c r="I348" s="152">
        <f t="shared" si="4"/>
        <v>0.35875956085124094</v>
      </c>
      <c r="J348" s="151" t="s">
        <v>108</v>
      </c>
      <c r="K348" s="139"/>
    </row>
    <row r="349" spans="1:11" ht="12.75" x14ac:dyDescent="0.2">
      <c r="A349" s="147"/>
      <c r="B349" s="147"/>
      <c r="C349" s="169"/>
      <c r="D349" s="149" t="s">
        <v>242</v>
      </c>
      <c r="E349" s="165"/>
      <c r="F349" s="150"/>
      <c r="G349" s="147"/>
      <c r="H349" s="147">
        <v>90</v>
      </c>
      <c r="I349" s="152">
        <f t="shared" si="4"/>
        <v>1.5609553046464436E-3</v>
      </c>
      <c r="J349" s="151"/>
      <c r="K349" s="139"/>
    </row>
    <row r="350" spans="1:11" ht="12.75" x14ac:dyDescent="0.2">
      <c r="A350" s="147"/>
      <c r="B350" s="147"/>
      <c r="C350" s="169"/>
      <c r="D350" s="147" t="s">
        <v>584</v>
      </c>
      <c r="E350" s="165"/>
      <c r="F350" s="150"/>
      <c r="G350" s="147"/>
      <c r="H350" s="147">
        <v>3992</v>
      </c>
      <c r="I350" s="152">
        <f t="shared" si="4"/>
        <v>6.9237039734984476E-2</v>
      </c>
      <c r="J350" s="151"/>
      <c r="K350" s="139"/>
    </row>
    <row r="351" spans="1:11" ht="12.75" x14ac:dyDescent="0.2">
      <c r="A351" s="147"/>
      <c r="B351" s="147"/>
      <c r="C351" s="169"/>
      <c r="D351" s="147" t="s">
        <v>595</v>
      </c>
      <c r="E351" s="165"/>
      <c r="F351" s="150"/>
      <c r="G351" s="147"/>
      <c r="H351" s="147">
        <v>122</v>
      </c>
      <c r="I351" s="152">
        <f t="shared" si="4"/>
        <v>2.1159616351874013E-3</v>
      </c>
      <c r="J351" s="151"/>
      <c r="K351" s="139"/>
    </row>
    <row r="352" spans="1:11" ht="12.75" x14ac:dyDescent="0.2">
      <c r="A352" s="147"/>
      <c r="B352" s="147"/>
      <c r="C352" s="169"/>
      <c r="D352" s="147" t="s">
        <v>589</v>
      </c>
      <c r="E352" s="165"/>
      <c r="F352" s="150"/>
      <c r="G352" s="147"/>
      <c r="H352" s="147">
        <v>12763</v>
      </c>
      <c r="I352" s="152">
        <f t="shared" si="4"/>
        <v>0.22136080614669512</v>
      </c>
      <c r="J352" s="151" t="s">
        <v>596</v>
      </c>
      <c r="K352" s="139"/>
    </row>
    <row r="353" spans="1:11" ht="12.75" x14ac:dyDescent="0.2">
      <c r="A353" s="147"/>
      <c r="B353" s="147"/>
      <c r="C353" s="169"/>
      <c r="D353" s="154" t="s">
        <v>244</v>
      </c>
      <c r="E353" s="165"/>
      <c r="F353" s="150"/>
      <c r="G353" s="147"/>
      <c r="H353" s="147">
        <v>1413</v>
      </c>
      <c r="I353" s="152">
        <f t="shared" si="4"/>
        <v>2.4506998282949166E-2</v>
      </c>
      <c r="J353" s="147"/>
      <c r="K353" s="139"/>
    </row>
    <row r="354" spans="1:11" ht="12.75" x14ac:dyDescent="0.2">
      <c r="A354" s="147"/>
      <c r="B354" s="147"/>
      <c r="C354" s="169"/>
      <c r="D354" s="149" t="s">
        <v>285</v>
      </c>
      <c r="E354" s="165"/>
      <c r="F354" s="150"/>
      <c r="G354" s="147"/>
      <c r="H354" s="147">
        <v>4659</v>
      </c>
      <c r="I354" s="152">
        <f t="shared" si="4"/>
        <v>8.0805452937197569E-2</v>
      </c>
      <c r="J354" s="147"/>
      <c r="K354" s="139"/>
    </row>
    <row r="355" spans="1:11" ht="12.75" x14ac:dyDescent="0.2">
      <c r="A355" s="147"/>
      <c r="B355" s="147"/>
      <c r="C355" s="169"/>
      <c r="D355" s="148" t="s">
        <v>33</v>
      </c>
      <c r="E355" s="165"/>
      <c r="F355" s="150"/>
      <c r="G355" s="147"/>
      <c r="H355" s="167">
        <f>SUM(H346:H354)</f>
        <v>57657</v>
      </c>
      <c r="I355" s="168">
        <f>SUM(I346:I354)</f>
        <v>0.99999999999999978</v>
      </c>
      <c r="J355" s="147"/>
      <c r="K355" s="139"/>
    </row>
    <row r="356" spans="1:11" ht="12.75" x14ac:dyDescent="0.2">
      <c r="A356" s="147"/>
      <c r="B356" s="147"/>
      <c r="C356" s="169"/>
      <c r="D356" s="148"/>
      <c r="E356" s="165"/>
      <c r="F356" s="150"/>
      <c r="G356" s="147"/>
      <c r="H356" s="147"/>
      <c r="I356" s="152"/>
      <c r="J356" s="147"/>
      <c r="K356" s="139"/>
    </row>
    <row r="357" spans="1:11" ht="12.75" x14ac:dyDescent="0.2">
      <c r="A357" s="148" t="s">
        <v>24</v>
      </c>
      <c r="B357" s="148"/>
      <c r="C357" s="148" t="s">
        <v>289</v>
      </c>
      <c r="D357" s="149" t="s">
        <v>607</v>
      </c>
      <c r="E357" s="165">
        <v>40806</v>
      </c>
      <c r="F357" s="150">
        <v>36105881</v>
      </c>
      <c r="G357" s="147">
        <v>119198</v>
      </c>
      <c r="H357" s="147"/>
      <c r="I357" s="152"/>
      <c r="J357" s="147"/>
      <c r="K357" s="139"/>
    </row>
    <row r="358" spans="1:11" ht="12.75" x14ac:dyDescent="0.2">
      <c r="A358" s="147"/>
      <c r="B358" s="147"/>
      <c r="C358" s="169"/>
      <c r="D358" s="147" t="s">
        <v>603</v>
      </c>
      <c r="E358" s="165"/>
      <c r="F358" s="150"/>
      <c r="G358" s="147"/>
      <c r="H358" s="147">
        <v>1449</v>
      </c>
      <c r="I358" s="152">
        <f>H358/$H$362</f>
        <v>2.111660035850129E-2</v>
      </c>
      <c r="J358" s="147"/>
      <c r="K358" s="139"/>
    </row>
    <row r="359" spans="1:11" ht="12.75" x14ac:dyDescent="0.2">
      <c r="A359" s="147"/>
      <c r="B359" s="147"/>
      <c r="C359" s="169"/>
      <c r="D359" s="147" t="s">
        <v>589</v>
      </c>
      <c r="E359" s="165"/>
      <c r="F359" s="150"/>
      <c r="G359" s="147"/>
      <c r="H359" s="147">
        <v>28798</v>
      </c>
      <c r="I359" s="152">
        <f>H359/$H$362</f>
        <v>0.41967968055494836</v>
      </c>
      <c r="J359" s="151" t="s">
        <v>596</v>
      </c>
      <c r="K359" s="139"/>
    </row>
    <row r="360" spans="1:11" ht="12.75" x14ac:dyDescent="0.2">
      <c r="A360" s="147"/>
      <c r="B360" s="147"/>
      <c r="C360" s="169"/>
      <c r="D360" s="147" t="s">
        <v>595</v>
      </c>
      <c r="E360" s="165"/>
      <c r="F360" s="150"/>
      <c r="G360" s="147"/>
      <c r="H360" s="147">
        <v>16339</v>
      </c>
      <c r="I360" s="152">
        <f>H360/$H$362</f>
        <v>0.23811189320742068</v>
      </c>
      <c r="J360" s="147"/>
      <c r="K360" s="139"/>
    </row>
    <row r="361" spans="1:11" ht="12.75" x14ac:dyDescent="0.2">
      <c r="A361" s="147"/>
      <c r="B361" s="147"/>
      <c r="C361" s="169"/>
      <c r="D361" s="149" t="s">
        <v>285</v>
      </c>
      <c r="E361" s="165"/>
      <c r="F361" s="150"/>
      <c r="G361" s="147"/>
      <c r="H361" s="147">
        <v>22033</v>
      </c>
      <c r="I361" s="152">
        <f>H361/$H$362</f>
        <v>0.32109182587912971</v>
      </c>
      <c r="J361" s="147"/>
      <c r="K361" s="139"/>
    </row>
    <row r="362" spans="1:11" ht="12.75" x14ac:dyDescent="0.2">
      <c r="A362" s="147"/>
      <c r="B362" s="147"/>
      <c r="C362" s="169"/>
      <c r="D362" s="148" t="s">
        <v>33</v>
      </c>
      <c r="E362" s="165"/>
      <c r="F362" s="150"/>
      <c r="G362" s="147"/>
      <c r="H362" s="167">
        <f>SUM(H358:H361)</f>
        <v>68619</v>
      </c>
      <c r="I362" s="168">
        <f>SUM(I358:I360)</f>
        <v>0.67890817412087034</v>
      </c>
      <c r="J362" s="147"/>
      <c r="K362" s="139"/>
    </row>
    <row r="363" spans="1:11" ht="12.75" x14ac:dyDescent="0.2">
      <c r="A363" s="147"/>
      <c r="B363" s="147"/>
      <c r="C363" s="169"/>
      <c r="D363" s="147"/>
      <c r="E363" s="165"/>
      <c r="F363" s="150"/>
      <c r="G363" s="147"/>
      <c r="H363" s="147"/>
      <c r="I363" s="152"/>
      <c r="J363" s="147"/>
      <c r="K363" s="139"/>
    </row>
    <row r="364" spans="1:11" ht="12.75" x14ac:dyDescent="0.2">
      <c r="A364" s="148" t="s">
        <v>24</v>
      </c>
      <c r="B364" s="148"/>
      <c r="C364" s="148" t="s">
        <v>289</v>
      </c>
      <c r="D364" s="147" t="s">
        <v>608</v>
      </c>
      <c r="E364" s="165">
        <v>40817</v>
      </c>
      <c r="F364" s="150">
        <v>3635149</v>
      </c>
      <c r="G364" s="147">
        <v>11788</v>
      </c>
      <c r="H364" s="147"/>
      <c r="I364" s="152"/>
      <c r="J364" s="147"/>
      <c r="K364" s="139"/>
    </row>
    <row r="365" spans="1:11" ht="12.75" x14ac:dyDescent="0.2">
      <c r="A365" s="147"/>
      <c r="B365" s="147"/>
      <c r="C365" s="169"/>
      <c r="D365" s="147" t="s">
        <v>284</v>
      </c>
      <c r="E365" s="165"/>
      <c r="F365" s="150"/>
      <c r="G365" s="147"/>
      <c r="H365" s="147">
        <v>1372</v>
      </c>
      <c r="I365" s="152">
        <f>H365/H367</f>
        <v>0.21920434574213132</v>
      </c>
      <c r="J365" s="151"/>
      <c r="K365" s="139"/>
    </row>
    <row r="366" spans="1:11" ht="12.75" x14ac:dyDescent="0.2">
      <c r="A366" s="147"/>
      <c r="B366" s="147"/>
      <c r="C366" s="169"/>
      <c r="D366" s="149" t="s">
        <v>240</v>
      </c>
      <c r="E366" s="165"/>
      <c r="F366" s="150"/>
      <c r="G366" s="147"/>
      <c r="H366" s="147">
        <v>4887</v>
      </c>
      <c r="I366" s="152">
        <f>H366/H367</f>
        <v>0.78079565425786868</v>
      </c>
      <c r="J366" s="151" t="s">
        <v>596</v>
      </c>
      <c r="K366" s="139"/>
    </row>
    <row r="367" spans="1:11" ht="12.75" x14ac:dyDescent="0.2">
      <c r="A367" s="147"/>
      <c r="B367" s="147"/>
      <c r="C367" s="169"/>
      <c r="D367" s="148" t="s">
        <v>33</v>
      </c>
      <c r="E367" s="165"/>
      <c r="F367" s="150"/>
      <c r="G367" s="147"/>
      <c r="H367" s="167">
        <f>SUM(H365:H366)</f>
        <v>6259</v>
      </c>
      <c r="I367" s="168">
        <f>SUM(I365:I366)</f>
        <v>1</v>
      </c>
      <c r="J367" s="147"/>
      <c r="K367" s="139"/>
    </row>
    <row r="368" spans="1:11" ht="12.75" x14ac:dyDescent="0.2">
      <c r="A368" s="147"/>
      <c r="B368" s="147"/>
      <c r="C368" s="169"/>
      <c r="D368" s="148"/>
      <c r="E368" s="165"/>
      <c r="F368" s="150"/>
      <c r="G368" s="147"/>
      <c r="H368" s="147"/>
      <c r="I368" s="152"/>
      <c r="J368" s="147"/>
      <c r="K368" s="139"/>
    </row>
    <row r="369" spans="1:11" ht="12.75" x14ac:dyDescent="0.2">
      <c r="A369" s="148" t="s">
        <v>24</v>
      </c>
      <c r="B369" s="148"/>
      <c r="C369" s="148" t="s">
        <v>289</v>
      </c>
      <c r="D369" s="147" t="s">
        <v>617</v>
      </c>
      <c r="E369" s="165">
        <v>40452</v>
      </c>
      <c r="F369" s="150">
        <v>20041724</v>
      </c>
      <c r="G369" s="147">
        <v>18906</v>
      </c>
      <c r="H369" s="147"/>
      <c r="I369" s="152"/>
      <c r="J369" s="147"/>
      <c r="K369" s="139"/>
    </row>
    <row r="370" spans="1:11" ht="12.75" x14ac:dyDescent="0.2">
      <c r="A370" s="147"/>
      <c r="B370" s="147"/>
      <c r="C370" s="169"/>
      <c r="D370" s="147" t="s">
        <v>603</v>
      </c>
      <c r="E370" s="165"/>
      <c r="F370" s="150"/>
      <c r="G370" s="147"/>
      <c r="H370" s="147">
        <v>15614</v>
      </c>
      <c r="I370" s="152">
        <f>H370/$H$372</f>
        <v>0.98059410915028578</v>
      </c>
      <c r="J370" s="151" t="s">
        <v>108</v>
      </c>
      <c r="K370" s="139"/>
    </row>
    <row r="371" spans="1:11" ht="12.75" x14ac:dyDescent="0.2">
      <c r="A371" s="147"/>
      <c r="B371" s="147"/>
      <c r="C371" s="169"/>
      <c r="D371" s="147" t="s">
        <v>589</v>
      </c>
      <c r="E371" s="165"/>
      <c r="F371" s="150"/>
      <c r="G371" s="147"/>
      <c r="H371" s="147">
        <v>309</v>
      </c>
      <c r="I371" s="152">
        <f>H371/$H$372</f>
        <v>1.9405890849714249E-2</v>
      </c>
      <c r="J371" s="147"/>
      <c r="K371" s="139"/>
    </row>
    <row r="372" spans="1:11" ht="12.75" x14ac:dyDescent="0.2">
      <c r="A372" s="147"/>
      <c r="B372" s="147"/>
      <c r="C372" s="169"/>
      <c r="D372" s="148" t="s">
        <v>33</v>
      </c>
      <c r="E372" s="165"/>
      <c r="F372" s="150"/>
      <c r="G372" s="147"/>
      <c r="H372" s="167">
        <f>SUM(H370:H371)</f>
        <v>15923</v>
      </c>
      <c r="I372" s="168">
        <f>SUM(I370:I371)</f>
        <v>1</v>
      </c>
      <c r="J372" s="147"/>
      <c r="K372" s="139"/>
    </row>
    <row r="373" spans="1:11" ht="12.75" x14ac:dyDescent="0.2">
      <c r="A373" s="148" t="s">
        <v>24</v>
      </c>
      <c r="B373" s="147"/>
      <c r="C373" s="148" t="s">
        <v>289</v>
      </c>
      <c r="D373" s="149" t="s">
        <v>630</v>
      </c>
      <c r="E373" s="165">
        <v>40787</v>
      </c>
      <c r="F373" s="150">
        <v>36126802</v>
      </c>
      <c r="G373" s="147">
        <v>129418</v>
      </c>
      <c r="H373" s="147"/>
      <c r="I373" s="152"/>
      <c r="J373" s="147"/>
      <c r="K373" s="139"/>
    </row>
    <row r="374" spans="1:11" ht="12.75" x14ac:dyDescent="0.2">
      <c r="A374" s="147"/>
      <c r="B374" s="147"/>
      <c r="C374" s="169"/>
      <c r="D374" s="149" t="s">
        <v>603</v>
      </c>
      <c r="E374" s="165"/>
      <c r="F374" s="150"/>
      <c r="G374" s="147"/>
      <c r="H374" s="147">
        <v>1211</v>
      </c>
      <c r="I374" s="152">
        <f>(H374/$H$379)</f>
        <v>2.0129319658915245E-2</v>
      </c>
      <c r="J374" s="147"/>
      <c r="K374" s="139"/>
    </row>
    <row r="375" spans="1:11" ht="12.75" x14ac:dyDescent="0.2">
      <c r="A375" s="147"/>
      <c r="B375" s="147"/>
      <c r="C375" s="169"/>
      <c r="D375" s="149" t="s">
        <v>583</v>
      </c>
      <c r="E375" s="165"/>
      <c r="F375" s="150"/>
      <c r="G375" s="147"/>
      <c r="H375" s="147">
        <v>1372</v>
      </c>
      <c r="I375" s="152">
        <f>(H375/$H$379)</f>
        <v>2.2805471983510912E-2</v>
      </c>
      <c r="J375" s="147"/>
      <c r="K375" s="139"/>
    </row>
    <row r="376" spans="1:11" ht="12.75" x14ac:dyDescent="0.2">
      <c r="A376" s="147"/>
      <c r="B376" s="147"/>
      <c r="C376" s="169"/>
      <c r="D376" s="149" t="s">
        <v>589</v>
      </c>
      <c r="E376" s="165"/>
      <c r="F376" s="150"/>
      <c r="G376" s="147"/>
      <c r="H376" s="147">
        <v>40564</v>
      </c>
      <c r="I376" s="152">
        <f>(H376/$H$379)</f>
        <v>0.67425740928508504</v>
      </c>
      <c r="J376" s="151" t="s">
        <v>288</v>
      </c>
      <c r="K376" s="139"/>
    </row>
    <row r="377" spans="1:11" ht="12.75" x14ac:dyDescent="0.2">
      <c r="A377" s="147"/>
      <c r="B377" s="147"/>
      <c r="C377" s="169"/>
      <c r="D377" s="149" t="s">
        <v>595</v>
      </c>
      <c r="E377" s="165"/>
      <c r="F377" s="150"/>
      <c r="G377" s="147"/>
      <c r="H377" s="147">
        <v>1718</v>
      </c>
      <c r="I377" s="152">
        <f>(H377/$H$379)</f>
        <v>2.855670617177241E-2</v>
      </c>
      <c r="J377" s="147"/>
      <c r="K377" s="139"/>
    </row>
    <row r="378" spans="1:11" ht="12.75" x14ac:dyDescent="0.2">
      <c r="A378" s="147"/>
      <c r="B378" s="147"/>
      <c r="C378" s="169"/>
      <c r="D378" s="149" t="s">
        <v>615</v>
      </c>
      <c r="E378" s="165"/>
      <c r="F378" s="150"/>
      <c r="G378" s="147"/>
      <c r="H378" s="147">
        <v>15296</v>
      </c>
      <c r="I378" s="152">
        <f>(H378/$H$379)</f>
        <v>0.2542510929007164</v>
      </c>
      <c r="J378" s="147"/>
      <c r="K378" s="139"/>
    </row>
    <row r="379" spans="1:11" ht="12.75" x14ac:dyDescent="0.2">
      <c r="A379" s="147"/>
      <c r="B379" s="147"/>
      <c r="C379" s="169"/>
      <c r="D379" s="148" t="s">
        <v>33</v>
      </c>
      <c r="E379" s="165"/>
      <c r="F379" s="150"/>
      <c r="G379" s="147"/>
      <c r="H379" s="167">
        <f>SUM(H374:H378)</f>
        <v>60161</v>
      </c>
      <c r="I379" s="168">
        <f>SUM(I374:I378)</f>
        <v>1</v>
      </c>
      <c r="J379" s="147"/>
      <c r="K379" s="139"/>
    </row>
    <row r="380" spans="1:11" ht="12.75" x14ac:dyDescent="0.2">
      <c r="A380" s="147"/>
      <c r="B380" s="147"/>
      <c r="C380" s="169"/>
      <c r="D380" s="148"/>
      <c r="E380" s="165"/>
      <c r="F380" s="150"/>
      <c r="G380" s="147"/>
      <c r="H380" s="147"/>
      <c r="I380" s="152"/>
      <c r="J380" s="147"/>
      <c r="K380" s="139"/>
    </row>
    <row r="381" spans="1:11" ht="12.75" x14ac:dyDescent="0.2">
      <c r="A381" s="148" t="s">
        <v>24</v>
      </c>
      <c r="B381" s="147"/>
      <c r="C381" s="148" t="s">
        <v>506</v>
      </c>
      <c r="D381" s="149" t="s">
        <v>631</v>
      </c>
      <c r="E381" s="165">
        <v>40969</v>
      </c>
      <c r="F381" s="150">
        <v>12508379</v>
      </c>
      <c r="G381" s="147">
        <v>26182</v>
      </c>
      <c r="H381" s="147"/>
      <c r="I381" s="152"/>
      <c r="J381" s="147"/>
      <c r="K381" s="139"/>
    </row>
    <row r="382" spans="1:11" ht="12.75" x14ac:dyDescent="0.2">
      <c r="A382" s="147"/>
      <c r="B382" s="147"/>
      <c r="C382" s="169"/>
      <c r="D382" s="149" t="s">
        <v>589</v>
      </c>
      <c r="E382" s="165"/>
      <c r="F382" s="150"/>
      <c r="G382" s="147"/>
      <c r="H382" s="147">
        <v>15287</v>
      </c>
      <c r="I382" s="152">
        <f>(H382/$H$383)</f>
        <v>1</v>
      </c>
      <c r="J382" s="151" t="s">
        <v>288</v>
      </c>
      <c r="K382" s="139"/>
    </row>
    <row r="383" spans="1:11" ht="12.75" x14ac:dyDescent="0.2">
      <c r="A383" s="147"/>
      <c r="B383" s="147"/>
      <c r="C383" s="169"/>
      <c r="D383" s="148" t="s">
        <v>33</v>
      </c>
      <c r="E383" s="165"/>
      <c r="F383" s="150"/>
      <c r="G383" s="147"/>
      <c r="H383" s="167">
        <v>15287</v>
      </c>
      <c r="I383" s="168">
        <f>SUM(I382:I382)</f>
        <v>1</v>
      </c>
      <c r="J383" s="147"/>
      <c r="K383" s="139"/>
    </row>
    <row r="384" spans="1:11" ht="12.75" x14ac:dyDescent="0.2">
      <c r="A384" s="148" t="s">
        <v>24</v>
      </c>
      <c r="B384" s="148"/>
      <c r="C384" s="148" t="s">
        <v>289</v>
      </c>
      <c r="D384" s="149" t="s">
        <v>641</v>
      </c>
      <c r="E384" s="165">
        <v>41957</v>
      </c>
      <c r="F384" s="150">
        <v>22650000</v>
      </c>
      <c r="G384" s="147">
        <v>56000</v>
      </c>
      <c r="H384" s="147"/>
      <c r="I384" s="152"/>
      <c r="J384" s="147"/>
      <c r="K384" s="139"/>
    </row>
    <row r="385" spans="1:11" ht="12.75" x14ac:dyDescent="0.2">
      <c r="A385" s="147"/>
      <c r="B385" s="147"/>
      <c r="C385" s="169"/>
      <c r="D385" s="149" t="s">
        <v>581</v>
      </c>
      <c r="E385" s="165"/>
      <c r="F385" s="150"/>
      <c r="G385" s="147"/>
      <c r="H385" s="147">
        <v>9776</v>
      </c>
      <c r="I385" s="152">
        <f>(H385/$H$389)</f>
        <v>0.19991002412989245</v>
      </c>
      <c r="J385" s="151" t="s">
        <v>237</v>
      </c>
      <c r="K385" s="139"/>
    </row>
    <row r="386" spans="1:11" ht="12.75" x14ac:dyDescent="0.2">
      <c r="A386" s="147"/>
      <c r="B386" s="147"/>
      <c r="C386" s="169"/>
      <c r="D386" s="149" t="s">
        <v>583</v>
      </c>
      <c r="E386" s="165"/>
      <c r="F386" s="150"/>
      <c r="G386" s="147"/>
      <c r="H386" s="147">
        <v>5023</v>
      </c>
      <c r="I386" s="152">
        <f>(H386/$H$389)</f>
        <v>0.10271563535233733</v>
      </c>
      <c r="J386" s="147"/>
      <c r="K386" s="139"/>
    </row>
    <row r="387" spans="1:11" ht="12.75" x14ac:dyDescent="0.2">
      <c r="A387" s="147"/>
      <c r="B387" s="147"/>
      <c r="C387" s="169"/>
      <c r="D387" s="149" t="s">
        <v>589</v>
      </c>
      <c r="E387" s="165"/>
      <c r="F387" s="150"/>
      <c r="G387" s="147"/>
      <c r="H387" s="147">
        <v>9904</v>
      </c>
      <c r="I387" s="152">
        <f>(H387/$H$389)</f>
        <v>0.20252750398756697</v>
      </c>
      <c r="J387" s="151" t="s">
        <v>288</v>
      </c>
      <c r="K387" s="139"/>
    </row>
    <row r="388" spans="1:11" ht="12.75" x14ac:dyDescent="0.2">
      <c r="A388" s="147"/>
      <c r="B388" s="147"/>
      <c r="C388" s="169"/>
      <c r="D388" s="149" t="s">
        <v>615</v>
      </c>
      <c r="E388" s="165"/>
      <c r="F388" s="150"/>
      <c r="G388" s="147"/>
      <c r="H388" s="147">
        <v>24199</v>
      </c>
      <c r="I388" s="152">
        <f>(H388/$H$389)</f>
        <v>0.49484683653020328</v>
      </c>
      <c r="J388" s="151" t="s">
        <v>285</v>
      </c>
      <c r="K388" s="139"/>
    </row>
    <row r="389" spans="1:11" ht="12.75" x14ac:dyDescent="0.2">
      <c r="A389" s="169"/>
      <c r="B389" s="169"/>
      <c r="C389" s="169"/>
      <c r="D389" s="148" t="s">
        <v>33</v>
      </c>
      <c r="E389" s="165"/>
      <c r="F389" s="150"/>
      <c r="G389" s="147"/>
      <c r="H389" s="167">
        <f>SUM(H385:H388)</f>
        <v>48902</v>
      </c>
      <c r="I389" s="168">
        <f>SUM(I385:I388)</f>
        <v>1</v>
      </c>
      <c r="J389" s="147"/>
      <c r="K389" s="139"/>
    </row>
    <row r="390" spans="1:11" ht="12.75" x14ac:dyDescent="0.2">
      <c r="A390" s="169"/>
      <c r="B390" s="169"/>
      <c r="C390" s="169"/>
      <c r="D390" s="148"/>
      <c r="E390" s="165"/>
      <c r="F390" s="150"/>
      <c r="G390" s="147"/>
      <c r="H390" s="147"/>
      <c r="I390" s="152"/>
      <c r="J390" s="147"/>
      <c r="K390" s="139"/>
    </row>
    <row r="391" spans="1:11" ht="12.75" x14ac:dyDescent="0.2">
      <c r="A391" s="148" t="s">
        <v>24</v>
      </c>
      <c r="B391" s="169"/>
      <c r="C391" s="148" t="s">
        <v>289</v>
      </c>
      <c r="D391" s="170" t="s">
        <v>649</v>
      </c>
      <c r="E391" s="165">
        <v>42200</v>
      </c>
      <c r="F391" s="150">
        <v>45419000</v>
      </c>
      <c r="G391" s="147">
        <v>109202</v>
      </c>
      <c r="H391" s="147"/>
      <c r="I391" s="152"/>
      <c r="J391" s="147"/>
      <c r="K391" s="139"/>
    </row>
    <row r="392" spans="1:11" ht="12.75" x14ac:dyDescent="0.2">
      <c r="A392" s="169"/>
      <c r="B392" s="169"/>
      <c r="C392" s="169"/>
      <c r="D392" s="149" t="s">
        <v>581</v>
      </c>
      <c r="E392" s="165"/>
      <c r="F392" s="150"/>
      <c r="G392" s="147"/>
      <c r="H392" s="147">
        <v>17756</v>
      </c>
      <c r="I392" s="152">
        <f>H392/H398</f>
        <v>0.34400852465368592</v>
      </c>
      <c r="J392" s="151" t="s">
        <v>564</v>
      </c>
      <c r="K392" s="139"/>
    </row>
    <row r="393" spans="1:11" ht="12.75" x14ac:dyDescent="0.2">
      <c r="A393" s="169"/>
      <c r="B393" s="169"/>
      <c r="C393" s="169"/>
      <c r="D393" s="149" t="s">
        <v>627</v>
      </c>
      <c r="E393" s="165"/>
      <c r="F393" s="150"/>
      <c r="G393" s="147"/>
      <c r="H393" s="147">
        <v>12426</v>
      </c>
      <c r="I393" s="152">
        <f>H393/H398</f>
        <v>0.24074396977622783</v>
      </c>
      <c r="J393" s="151" t="s">
        <v>107</v>
      </c>
      <c r="K393" s="139"/>
    </row>
    <row r="394" spans="1:11" ht="12.75" x14ac:dyDescent="0.2">
      <c r="A394" s="169"/>
      <c r="B394" s="169"/>
      <c r="C394" s="169"/>
      <c r="D394" s="149" t="s">
        <v>603</v>
      </c>
      <c r="E394" s="165"/>
      <c r="F394" s="150"/>
      <c r="G394" s="147"/>
      <c r="H394" s="147">
        <v>226</v>
      </c>
      <c r="I394" s="152">
        <f>H394/$H$398</f>
        <v>4.3785721205076046E-3</v>
      </c>
      <c r="J394" s="147"/>
      <c r="K394" s="139"/>
    </row>
    <row r="395" spans="1:11" ht="12.75" x14ac:dyDescent="0.2">
      <c r="A395" s="169"/>
      <c r="B395" s="169"/>
      <c r="C395" s="169"/>
      <c r="D395" s="149" t="s">
        <v>583</v>
      </c>
      <c r="E395" s="165"/>
      <c r="F395" s="150"/>
      <c r="G395" s="147"/>
      <c r="H395" s="147">
        <v>6333</v>
      </c>
      <c r="I395" s="152">
        <f>H395/$H$398</f>
        <v>0.12269689043882592</v>
      </c>
      <c r="J395" s="147"/>
      <c r="K395" s="139"/>
    </row>
    <row r="396" spans="1:11" ht="12.75" x14ac:dyDescent="0.2">
      <c r="A396" s="169"/>
      <c r="B396" s="169"/>
      <c r="C396" s="169"/>
      <c r="D396" s="153" t="s">
        <v>708</v>
      </c>
      <c r="E396" s="165"/>
      <c r="F396" s="150"/>
      <c r="G396" s="147"/>
      <c r="H396" s="147">
        <v>11482</v>
      </c>
      <c r="I396" s="152">
        <f>H396/$H$398</f>
        <v>0.22245471277729342</v>
      </c>
      <c r="J396" s="151" t="s">
        <v>596</v>
      </c>
      <c r="K396" s="139"/>
    </row>
    <row r="397" spans="1:11" ht="12.75" x14ac:dyDescent="0.2">
      <c r="A397" s="169"/>
      <c r="B397" s="169"/>
      <c r="C397" s="169"/>
      <c r="D397" s="149" t="s">
        <v>615</v>
      </c>
      <c r="E397" s="165"/>
      <c r="F397" s="150"/>
      <c r="G397" s="147"/>
      <c r="H397" s="147">
        <v>3392</v>
      </c>
      <c r="I397" s="152">
        <f>H397/$H$398</f>
        <v>6.571733023345927E-2</v>
      </c>
      <c r="J397" s="147"/>
      <c r="K397" s="139"/>
    </row>
    <row r="398" spans="1:11" ht="12.75" x14ac:dyDescent="0.2">
      <c r="A398" s="169"/>
      <c r="B398" s="169"/>
      <c r="C398" s="169"/>
      <c r="D398" s="148" t="s">
        <v>33</v>
      </c>
      <c r="E398" s="165"/>
      <c r="F398" s="150"/>
      <c r="G398" s="147"/>
      <c r="H398" s="167">
        <v>51615</v>
      </c>
      <c r="I398" s="168">
        <f>H398/$H$398</f>
        <v>1</v>
      </c>
      <c r="J398" s="147"/>
      <c r="K398" s="139"/>
    </row>
    <row r="399" spans="1:11" ht="12.75" x14ac:dyDescent="0.2">
      <c r="A399" s="169"/>
      <c r="B399" s="169"/>
      <c r="C399" s="169"/>
      <c r="D399" s="148"/>
      <c r="E399" s="165"/>
      <c r="F399" s="150"/>
      <c r="G399" s="147"/>
      <c r="H399" s="147"/>
      <c r="I399" s="152"/>
      <c r="J399" s="147"/>
      <c r="K399" s="139"/>
    </row>
    <row r="400" spans="1:11" ht="12.75" x14ac:dyDescent="0.2">
      <c r="A400" s="148" t="s">
        <v>24</v>
      </c>
      <c r="B400" s="148"/>
      <c r="C400" s="148" t="s">
        <v>289</v>
      </c>
      <c r="D400" s="171" t="s">
        <v>654</v>
      </c>
      <c r="E400" s="165">
        <v>42720</v>
      </c>
      <c r="F400" s="150">
        <v>66630000</v>
      </c>
      <c r="G400" s="147">
        <v>111552</v>
      </c>
      <c r="H400" s="147"/>
      <c r="I400" s="152"/>
      <c r="J400" s="147"/>
      <c r="K400" s="139"/>
    </row>
    <row r="401" spans="1:11" ht="12.75" x14ac:dyDescent="0.2">
      <c r="A401" s="169"/>
      <c r="B401" s="169"/>
      <c r="C401" s="169"/>
      <c r="D401" s="171" t="s">
        <v>627</v>
      </c>
      <c r="E401" s="165"/>
      <c r="F401" s="150"/>
      <c r="G401" s="147"/>
      <c r="H401" s="147">
        <v>30124</v>
      </c>
      <c r="I401" s="152">
        <f t="shared" ref="I401:I406" si="5">H401/$H$406</f>
        <v>0.46410303814629938</v>
      </c>
      <c r="J401" s="151" t="s">
        <v>107</v>
      </c>
      <c r="K401" s="139"/>
    </row>
    <row r="402" spans="1:11" ht="12.75" x14ac:dyDescent="0.2">
      <c r="A402" s="169"/>
      <c r="B402" s="169"/>
      <c r="C402" s="169"/>
      <c r="D402" s="171" t="s">
        <v>603</v>
      </c>
      <c r="E402" s="165"/>
      <c r="F402" s="150"/>
      <c r="G402" s="147"/>
      <c r="H402" s="147">
        <v>26006</v>
      </c>
      <c r="I402" s="152">
        <f t="shared" si="5"/>
        <v>0.40065939483576757</v>
      </c>
      <c r="J402" s="151" t="s">
        <v>108</v>
      </c>
      <c r="K402" s="139"/>
    </row>
    <row r="403" spans="1:11" ht="12.75" x14ac:dyDescent="0.2">
      <c r="A403" s="169"/>
      <c r="B403" s="169"/>
      <c r="C403" s="169"/>
      <c r="D403" s="171" t="s">
        <v>583</v>
      </c>
      <c r="E403" s="165"/>
      <c r="F403" s="150"/>
      <c r="G403" s="147"/>
      <c r="H403" s="147">
        <v>1746</v>
      </c>
      <c r="I403" s="152">
        <f t="shared" si="5"/>
        <v>2.689961175818081E-2</v>
      </c>
      <c r="J403" s="147"/>
      <c r="K403" s="139"/>
    </row>
    <row r="404" spans="1:11" ht="12.75" x14ac:dyDescent="0.2">
      <c r="A404" s="169"/>
      <c r="B404" s="169"/>
      <c r="C404" s="169"/>
      <c r="D404" s="171" t="s">
        <v>655</v>
      </c>
      <c r="E404" s="165"/>
      <c r="F404" s="150"/>
      <c r="G404" s="147"/>
      <c r="H404" s="147">
        <v>1611</v>
      </c>
      <c r="I404" s="152">
        <f t="shared" si="5"/>
        <v>2.4819744869661674E-2</v>
      </c>
      <c r="J404" s="147"/>
      <c r="K404" s="139"/>
    </row>
    <row r="405" spans="1:11" ht="12.75" x14ac:dyDescent="0.2">
      <c r="A405" s="147"/>
      <c r="B405" s="147"/>
      <c r="C405" s="169"/>
      <c r="D405" s="171" t="s">
        <v>589</v>
      </c>
      <c r="E405" s="165"/>
      <c r="F405" s="150"/>
      <c r="G405" s="147"/>
      <c r="H405" s="147">
        <v>5421</v>
      </c>
      <c r="I405" s="152">
        <f t="shared" si="5"/>
        <v>8.3518210390090594E-2</v>
      </c>
      <c r="J405" s="147"/>
      <c r="K405" s="139"/>
    </row>
    <row r="406" spans="1:11" ht="12.75" x14ac:dyDescent="0.2">
      <c r="A406" s="147"/>
      <c r="B406" s="147"/>
      <c r="C406" s="169"/>
      <c r="D406" s="148" t="s">
        <v>33</v>
      </c>
      <c r="E406" s="165"/>
      <c r="F406" s="150"/>
      <c r="G406" s="147"/>
      <c r="H406" s="167">
        <f>SUM(H401:H405)</f>
        <v>64908</v>
      </c>
      <c r="I406" s="168">
        <f t="shared" si="5"/>
        <v>1</v>
      </c>
      <c r="J406" s="147"/>
      <c r="K406" s="139"/>
    </row>
    <row r="407" spans="1:11" ht="12.75" x14ac:dyDescent="0.2">
      <c r="A407" s="147"/>
      <c r="B407" s="147"/>
      <c r="C407" s="169"/>
      <c r="D407" s="148"/>
      <c r="E407" s="165"/>
      <c r="F407" s="150"/>
      <c r="G407" s="147"/>
      <c r="H407" s="147"/>
      <c r="I407" s="152"/>
      <c r="J407" s="147"/>
      <c r="K407" s="139"/>
    </row>
    <row r="408" spans="1:11" ht="12.75" x14ac:dyDescent="0.2">
      <c r="A408" s="148" t="s">
        <v>24</v>
      </c>
      <c r="B408" s="148"/>
      <c r="C408" s="148" t="s">
        <v>506</v>
      </c>
      <c r="D408" s="171" t="s">
        <v>672</v>
      </c>
      <c r="E408" s="165">
        <v>43070</v>
      </c>
      <c r="F408" s="150">
        <v>15124707</v>
      </c>
      <c r="G408" s="147">
        <v>51681</v>
      </c>
      <c r="H408" s="147"/>
      <c r="I408" s="152"/>
      <c r="J408" s="147"/>
      <c r="K408" s="139"/>
    </row>
    <row r="409" spans="1:11" ht="12.75" x14ac:dyDescent="0.2">
      <c r="A409" s="169"/>
      <c r="B409" s="169"/>
      <c r="C409" s="169"/>
      <c r="D409" s="171" t="s">
        <v>603</v>
      </c>
      <c r="E409" s="165"/>
      <c r="F409" s="150"/>
      <c r="G409" s="147"/>
      <c r="H409" s="147">
        <v>14615</v>
      </c>
      <c r="I409" s="152">
        <f>H409/$H$413</f>
        <v>0.42715183399093964</v>
      </c>
      <c r="J409" s="151" t="s">
        <v>108</v>
      </c>
      <c r="K409" s="139"/>
    </row>
    <row r="410" spans="1:11" ht="12.75" x14ac:dyDescent="0.2">
      <c r="A410" s="169"/>
      <c r="B410" s="169"/>
      <c r="C410" s="169"/>
      <c r="D410" s="172" t="s">
        <v>98</v>
      </c>
      <c r="E410" s="165"/>
      <c r="F410" s="150"/>
      <c r="G410" s="147"/>
      <c r="H410" s="147">
        <v>316</v>
      </c>
      <c r="I410" s="152">
        <f>H410/$H$413</f>
        <v>9.235715329533831E-3</v>
      </c>
      <c r="J410" s="147"/>
      <c r="K410" s="139"/>
    </row>
    <row r="411" spans="1:11" ht="12.75" x14ac:dyDescent="0.2">
      <c r="A411" s="147"/>
      <c r="B411" s="147"/>
      <c r="C411" s="169"/>
      <c r="D411" s="171" t="s">
        <v>589</v>
      </c>
      <c r="E411" s="165"/>
      <c r="F411" s="150"/>
      <c r="G411" s="147"/>
      <c r="H411" s="147">
        <v>18858</v>
      </c>
      <c r="I411" s="152">
        <f>H411/$H$413</f>
        <v>0.55116177115300302</v>
      </c>
      <c r="J411" s="151" t="s">
        <v>673</v>
      </c>
      <c r="K411" s="139"/>
    </row>
    <row r="412" spans="1:11" ht="12.75" x14ac:dyDescent="0.2">
      <c r="A412" s="147"/>
      <c r="B412" s="147"/>
      <c r="C412" s="169"/>
      <c r="D412" s="172" t="s">
        <v>669</v>
      </c>
      <c r="E412" s="165"/>
      <c r="F412" s="150"/>
      <c r="G412" s="147"/>
      <c r="H412" s="147">
        <v>426</v>
      </c>
      <c r="I412" s="152">
        <f>H412/$H$413</f>
        <v>1.2450679526523454E-2</v>
      </c>
      <c r="J412" s="147"/>
      <c r="K412" s="139"/>
    </row>
    <row r="413" spans="1:11" ht="12.75" x14ac:dyDescent="0.2">
      <c r="A413" s="147"/>
      <c r="B413" s="147"/>
      <c r="C413" s="169"/>
      <c r="D413" s="148" t="s">
        <v>33</v>
      </c>
      <c r="E413" s="165"/>
      <c r="F413" s="150"/>
      <c r="G413" s="147"/>
      <c r="H413" s="167">
        <f>SUM(H409:H412)</f>
        <v>34215</v>
      </c>
      <c r="I413" s="168">
        <f>SUM(I409:I412)</f>
        <v>0.99999999999999989</v>
      </c>
      <c r="J413" s="147"/>
      <c r="K413" s="139"/>
    </row>
    <row r="414" spans="1:11" ht="12.75" x14ac:dyDescent="0.2">
      <c r="A414" s="147"/>
      <c r="B414" s="147"/>
      <c r="C414" s="169"/>
      <c r="D414" s="148"/>
      <c r="E414" s="165"/>
      <c r="F414" s="150"/>
      <c r="G414" s="147"/>
      <c r="H414" s="147"/>
      <c r="I414" s="152"/>
      <c r="J414" s="147"/>
      <c r="K414" s="139"/>
    </row>
    <row r="415" spans="1:11" ht="12.75" x14ac:dyDescent="0.2">
      <c r="A415" s="148" t="s">
        <v>24</v>
      </c>
      <c r="B415" s="147"/>
      <c r="C415" s="148" t="s">
        <v>289</v>
      </c>
      <c r="D415" s="149" t="s">
        <v>677</v>
      </c>
      <c r="E415" s="165">
        <v>43282</v>
      </c>
      <c r="F415" s="150">
        <v>3008500</v>
      </c>
      <c r="G415" s="147">
        <v>8016</v>
      </c>
      <c r="H415" s="147"/>
      <c r="I415" s="152"/>
      <c r="J415" s="147"/>
      <c r="K415" s="139"/>
    </row>
    <row r="416" spans="1:11" ht="12.75" x14ac:dyDescent="0.2">
      <c r="A416" s="148"/>
      <c r="B416" s="148"/>
      <c r="C416" s="148"/>
      <c r="D416" s="149" t="s">
        <v>603</v>
      </c>
      <c r="E416" s="165"/>
      <c r="F416" s="150"/>
      <c r="G416" s="147"/>
      <c r="H416" s="147">
        <v>3817</v>
      </c>
      <c r="I416" s="152">
        <f>H416/$H$418</f>
        <v>0.67545567156255526</v>
      </c>
      <c r="J416" s="151" t="s">
        <v>108</v>
      </c>
      <c r="K416" s="139"/>
    </row>
    <row r="417" spans="1:11" ht="12.75" x14ac:dyDescent="0.2">
      <c r="A417" s="151"/>
      <c r="B417" s="151"/>
      <c r="C417" s="148"/>
      <c r="D417" s="149" t="s">
        <v>589</v>
      </c>
      <c r="E417" s="165"/>
      <c r="F417" s="150"/>
      <c r="G417" s="147"/>
      <c r="H417" s="147">
        <v>1834</v>
      </c>
      <c r="I417" s="152">
        <f>H417/H418</f>
        <v>0.32454432843744468</v>
      </c>
      <c r="J417" s="151" t="s">
        <v>673</v>
      </c>
      <c r="K417" s="139"/>
    </row>
    <row r="418" spans="1:11" ht="12.75" x14ac:dyDescent="0.2">
      <c r="A418" s="151"/>
      <c r="B418" s="151"/>
      <c r="C418" s="148"/>
      <c r="D418" s="148" t="s">
        <v>33</v>
      </c>
      <c r="E418" s="165"/>
      <c r="F418" s="150"/>
      <c r="G418" s="147"/>
      <c r="H418" s="155">
        <v>5651</v>
      </c>
      <c r="I418" s="156">
        <v>0.99999999999999989</v>
      </c>
      <c r="J418" s="151"/>
      <c r="K418" s="139"/>
    </row>
    <row r="419" spans="1:11" ht="12.75" x14ac:dyDescent="0.2">
      <c r="A419" s="151"/>
      <c r="B419" s="151"/>
      <c r="C419" s="148"/>
      <c r="D419" s="148"/>
      <c r="E419" s="165"/>
      <c r="F419" s="150"/>
      <c r="G419" s="147"/>
      <c r="H419" s="147"/>
      <c r="I419" s="152"/>
      <c r="J419" s="151"/>
      <c r="K419" s="139"/>
    </row>
    <row r="420" spans="1:11" s="20" customFormat="1" ht="12.75" x14ac:dyDescent="0.2">
      <c r="A420" s="173" t="s">
        <v>24</v>
      </c>
      <c r="B420" s="173"/>
      <c r="C420" s="173" t="s">
        <v>289</v>
      </c>
      <c r="D420" s="174" t="s">
        <v>699</v>
      </c>
      <c r="E420" s="175">
        <v>43784</v>
      </c>
      <c r="F420" s="176">
        <v>7667728</v>
      </c>
      <c r="G420" s="177">
        <v>15715</v>
      </c>
      <c r="H420" s="177"/>
      <c r="I420" s="178"/>
      <c r="J420" s="177"/>
      <c r="K420" s="140"/>
    </row>
    <row r="421" spans="1:11" ht="12.75" x14ac:dyDescent="0.2">
      <c r="A421" s="169"/>
      <c r="B421" s="169"/>
      <c r="C421" s="169"/>
      <c r="D421" s="172" t="s">
        <v>42</v>
      </c>
      <c r="E421" s="165"/>
      <c r="F421" s="150"/>
      <c r="G421" s="147"/>
      <c r="H421" s="147">
        <v>2530</v>
      </c>
      <c r="I421" s="152">
        <f>H421/$H$423</f>
        <v>0.46903967371153132</v>
      </c>
      <c r="J421" s="151" t="s">
        <v>42</v>
      </c>
      <c r="K421" s="139"/>
    </row>
    <row r="422" spans="1:11" ht="12.75" x14ac:dyDescent="0.2">
      <c r="A422" s="169"/>
      <c r="B422" s="169"/>
      <c r="C422" s="169"/>
      <c r="D422" s="172" t="s">
        <v>700</v>
      </c>
      <c r="E422" s="165"/>
      <c r="F422" s="150"/>
      <c r="G422" s="147"/>
      <c r="H422" s="147">
        <v>2864</v>
      </c>
      <c r="I422" s="152">
        <f>H422/$H$423</f>
        <v>0.53096032628846868</v>
      </c>
      <c r="J422" s="151" t="s">
        <v>596</v>
      </c>
      <c r="K422" s="139"/>
    </row>
    <row r="423" spans="1:11" ht="12.75" x14ac:dyDescent="0.2">
      <c r="A423" s="147"/>
      <c r="B423" s="147"/>
      <c r="C423" s="169"/>
      <c r="D423" s="148" t="s">
        <v>33</v>
      </c>
      <c r="E423" s="165"/>
      <c r="F423" s="150"/>
      <c r="G423" s="147"/>
      <c r="H423" s="167">
        <f>SUM(H421:H422)</f>
        <v>5394</v>
      </c>
      <c r="I423" s="168">
        <f>H423/$H$423</f>
        <v>1</v>
      </c>
      <c r="J423" s="147"/>
      <c r="K423" s="139"/>
    </row>
    <row r="424" spans="1:11" ht="12.75" x14ac:dyDescent="0.2">
      <c r="A424" s="147"/>
      <c r="B424" s="147"/>
      <c r="C424" s="169"/>
      <c r="D424" s="148"/>
      <c r="E424" s="165"/>
      <c r="F424" s="150"/>
      <c r="G424" s="147"/>
      <c r="H424" s="147"/>
      <c r="I424" s="152"/>
      <c r="J424" s="147"/>
      <c r="K424" s="139"/>
    </row>
    <row r="425" spans="1:11" ht="12.75" x14ac:dyDescent="0.2">
      <c r="A425" s="148" t="s">
        <v>24</v>
      </c>
      <c r="B425" s="148"/>
      <c r="C425" s="148" t="s">
        <v>289</v>
      </c>
      <c r="D425" s="171" t="s">
        <v>721</v>
      </c>
      <c r="E425" s="165">
        <v>44321</v>
      </c>
      <c r="F425" s="150">
        <v>2734347</v>
      </c>
      <c r="G425" s="147">
        <v>7298</v>
      </c>
      <c r="H425" s="147"/>
      <c r="I425" s="152"/>
      <c r="J425" s="147"/>
      <c r="K425" s="139"/>
    </row>
    <row r="426" spans="1:11" ht="12.75" x14ac:dyDescent="0.2">
      <c r="A426" s="169"/>
      <c r="B426" s="169"/>
      <c r="C426" s="169"/>
      <c r="D426" s="172" t="s">
        <v>700</v>
      </c>
      <c r="E426" s="165"/>
      <c r="F426" s="150"/>
      <c r="G426" s="147"/>
      <c r="H426" s="147">
        <v>5926</v>
      </c>
      <c r="I426" s="152">
        <f>H426/$H$427</f>
        <v>1</v>
      </c>
      <c r="J426" s="151" t="s">
        <v>596</v>
      </c>
      <c r="K426" s="139"/>
    </row>
    <row r="427" spans="1:11" ht="12.75" x14ac:dyDescent="0.2">
      <c r="A427" s="147"/>
      <c r="B427" s="147"/>
      <c r="C427" s="169"/>
      <c r="D427" s="148" t="s">
        <v>33</v>
      </c>
      <c r="E427" s="165"/>
      <c r="F427" s="150"/>
      <c r="G427" s="147"/>
      <c r="H427" s="167">
        <f>SUM(H426)</f>
        <v>5926</v>
      </c>
      <c r="I427" s="168">
        <f>H427/$H$426</f>
        <v>1</v>
      </c>
      <c r="J427" s="147"/>
      <c r="K427" s="139"/>
    </row>
    <row r="428" spans="1:11" ht="12.75" x14ac:dyDescent="0.2">
      <c r="A428" s="147"/>
      <c r="B428" s="147"/>
      <c r="C428" s="169"/>
      <c r="D428" s="148"/>
      <c r="E428" s="165"/>
      <c r="F428" s="150"/>
      <c r="G428" s="147"/>
      <c r="H428" s="147"/>
      <c r="I428" s="152"/>
      <c r="J428" s="147"/>
      <c r="K428" s="139"/>
    </row>
    <row r="429" spans="1:11" ht="12.75" x14ac:dyDescent="0.2">
      <c r="A429" s="148" t="s">
        <v>24</v>
      </c>
      <c r="B429" s="147"/>
      <c r="C429" s="148" t="s">
        <v>289</v>
      </c>
      <c r="D429" s="149" t="s">
        <v>736</v>
      </c>
      <c r="E429" s="165">
        <v>44866</v>
      </c>
      <c r="F429" s="150">
        <v>3878187</v>
      </c>
      <c r="G429" s="147">
        <v>10878</v>
      </c>
      <c r="H429" s="147"/>
      <c r="I429" s="152"/>
      <c r="J429" s="147"/>
      <c r="K429" s="139"/>
    </row>
    <row r="430" spans="1:11" ht="12.75" x14ac:dyDescent="0.2">
      <c r="A430" s="151"/>
      <c r="B430" s="151"/>
      <c r="C430" s="148"/>
      <c r="D430" s="149" t="s">
        <v>261</v>
      </c>
      <c r="E430" s="165"/>
      <c r="F430" s="150"/>
      <c r="G430" s="147"/>
      <c r="H430" s="147">
        <v>1276</v>
      </c>
      <c r="I430" s="152">
        <f>ROUND(H430/$H$435,4)</f>
        <v>0.15329999999999999</v>
      </c>
      <c r="J430" s="151"/>
      <c r="K430" s="139"/>
    </row>
    <row r="431" spans="1:11" ht="12.75" x14ac:dyDescent="0.2">
      <c r="A431" s="151"/>
      <c r="B431" s="151"/>
      <c r="C431" s="148"/>
      <c r="D431" s="149" t="s">
        <v>238</v>
      </c>
      <c r="E431" s="165"/>
      <c r="F431" s="150"/>
      <c r="G431" s="147"/>
      <c r="H431" s="147">
        <v>1351</v>
      </c>
      <c r="I431" s="152">
        <f>ROUND(H431/$H$435,4)</f>
        <v>0.16239999999999999</v>
      </c>
      <c r="J431" s="151"/>
      <c r="K431" s="139"/>
    </row>
    <row r="432" spans="1:11" ht="12.75" x14ac:dyDescent="0.2">
      <c r="A432" s="151"/>
      <c r="B432" s="151"/>
      <c r="C432" s="148"/>
      <c r="D432" s="149" t="s">
        <v>240</v>
      </c>
      <c r="E432" s="165"/>
      <c r="F432" s="150"/>
      <c r="G432" s="147"/>
      <c r="H432" s="147">
        <v>3643</v>
      </c>
      <c r="I432" s="152">
        <f>ROUND(H432/$H$435,4)</f>
        <v>0.43780000000000002</v>
      </c>
      <c r="J432" s="153" t="s">
        <v>240</v>
      </c>
      <c r="K432" s="139"/>
    </row>
    <row r="433" spans="1:11" ht="12.75" x14ac:dyDescent="0.2">
      <c r="A433" s="151"/>
      <c r="B433" s="151"/>
      <c r="C433" s="148"/>
      <c r="D433" s="149" t="s">
        <v>291</v>
      </c>
      <c r="E433" s="165"/>
      <c r="F433" s="150"/>
      <c r="G433" s="147"/>
      <c r="H433" s="147">
        <v>1735</v>
      </c>
      <c r="I433" s="152">
        <f>ROUND(H433/$H$435,4)</f>
        <v>0.20849999999999999</v>
      </c>
      <c r="J433" s="151"/>
      <c r="K433" s="139"/>
    </row>
    <row r="434" spans="1:11" ht="12.75" x14ac:dyDescent="0.2">
      <c r="A434" s="151"/>
      <c r="B434" s="151"/>
      <c r="C434" s="148"/>
      <c r="D434" s="154" t="s">
        <v>244</v>
      </c>
      <c r="E434" s="165"/>
      <c r="F434" s="150"/>
      <c r="G434" s="147"/>
      <c r="H434" s="147">
        <v>316</v>
      </c>
      <c r="I434" s="152">
        <f>ROUND(H434/$H$435,4)</f>
        <v>3.7999999999999999E-2</v>
      </c>
      <c r="J434" s="151"/>
      <c r="K434" s="139"/>
    </row>
    <row r="435" spans="1:11" ht="12.75" x14ac:dyDescent="0.2">
      <c r="A435" s="151"/>
      <c r="B435" s="151"/>
      <c r="C435" s="148"/>
      <c r="D435" s="148" t="s">
        <v>33</v>
      </c>
      <c r="E435" s="165"/>
      <c r="F435" s="150"/>
      <c r="G435" s="147"/>
      <c r="H435" s="147">
        <f>SUM(H430:H434)</f>
        <v>8321</v>
      </c>
      <c r="I435" s="152">
        <f>SUM(I430:I434)</f>
        <v>1</v>
      </c>
      <c r="J435" s="151"/>
      <c r="K435" s="139"/>
    </row>
    <row r="436" spans="1:11" ht="12.75" x14ac:dyDescent="0.2">
      <c r="A436" s="151"/>
      <c r="B436" s="151"/>
      <c r="C436" s="148"/>
      <c r="D436" s="148"/>
      <c r="E436" s="165"/>
      <c r="F436" s="150"/>
      <c r="G436" s="147"/>
      <c r="H436" s="147"/>
      <c r="I436" s="152"/>
      <c r="J436" s="151"/>
      <c r="K436" s="139"/>
    </row>
    <row r="437" spans="1:11" ht="12.75" x14ac:dyDescent="0.2">
      <c r="A437" s="148" t="s">
        <v>24</v>
      </c>
      <c r="B437" s="151"/>
      <c r="C437" s="148" t="s">
        <v>506</v>
      </c>
      <c r="D437" s="148" t="s">
        <v>737</v>
      </c>
      <c r="E437" s="165">
        <v>44825</v>
      </c>
      <c r="F437" s="150">
        <v>9910536</v>
      </c>
      <c r="G437" s="147">
        <v>23806</v>
      </c>
      <c r="H437" s="147"/>
      <c r="I437" s="152"/>
      <c r="J437" s="151"/>
      <c r="K437" s="139"/>
    </row>
    <row r="438" spans="1:11" ht="12.75" x14ac:dyDescent="0.2">
      <c r="A438" s="151"/>
      <c r="B438" s="151"/>
      <c r="C438" s="148"/>
      <c r="D438" s="149" t="s">
        <v>261</v>
      </c>
      <c r="E438" s="165"/>
      <c r="F438" s="150"/>
      <c r="G438" s="147"/>
      <c r="H438" s="147">
        <v>0</v>
      </c>
      <c r="I438" s="152">
        <f>ROUND(H438/$H$435,4)</f>
        <v>0</v>
      </c>
      <c r="J438" s="151"/>
      <c r="K438" s="139"/>
    </row>
    <row r="439" spans="1:11" ht="12.75" x14ac:dyDescent="0.2">
      <c r="A439" s="151"/>
      <c r="B439" s="151"/>
      <c r="C439" s="148"/>
      <c r="D439" s="149" t="s">
        <v>238</v>
      </c>
      <c r="E439" s="165"/>
      <c r="F439" s="150"/>
      <c r="G439" s="147"/>
      <c r="H439" s="147">
        <v>0</v>
      </c>
      <c r="I439" s="152">
        <f>ROUND(H439/$H$435,4)</f>
        <v>0</v>
      </c>
      <c r="J439" s="151"/>
      <c r="K439" s="139"/>
    </row>
    <row r="440" spans="1:11" ht="12.75" x14ac:dyDescent="0.2">
      <c r="A440" s="151"/>
      <c r="B440" s="151"/>
      <c r="C440" s="148"/>
      <c r="D440" s="149" t="s">
        <v>240</v>
      </c>
      <c r="E440" s="165"/>
      <c r="F440" s="150"/>
      <c r="G440" s="147"/>
      <c r="H440" s="147">
        <v>1676</v>
      </c>
      <c r="I440" s="152">
        <f>ROUND(H440/$H$443,4)</f>
        <v>8.43E-2</v>
      </c>
      <c r="J440" s="153"/>
      <c r="K440" s="139"/>
    </row>
    <row r="441" spans="1:11" ht="12.75" x14ac:dyDescent="0.2">
      <c r="A441" s="151"/>
      <c r="B441" s="151"/>
      <c r="C441" s="148"/>
      <c r="D441" s="149" t="s">
        <v>291</v>
      </c>
      <c r="E441" s="165"/>
      <c r="F441" s="150"/>
      <c r="G441" s="147"/>
      <c r="H441" s="147">
        <v>18200</v>
      </c>
      <c r="I441" s="152">
        <f>ROUND(H441/$H$443,4)</f>
        <v>0.91569999999999996</v>
      </c>
      <c r="J441" s="151" t="s">
        <v>108</v>
      </c>
      <c r="K441" s="139"/>
    </row>
    <row r="442" spans="1:11" ht="12.75" x14ac:dyDescent="0.2">
      <c r="A442" s="151"/>
      <c r="B442" s="151"/>
      <c r="C442" s="148"/>
      <c r="D442" s="154" t="s">
        <v>244</v>
      </c>
      <c r="E442" s="165"/>
      <c r="F442" s="150"/>
      <c r="G442" s="147"/>
      <c r="H442" s="147">
        <v>0</v>
      </c>
      <c r="I442" s="152">
        <f>ROUND(H442/$H$435,4)</f>
        <v>0</v>
      </c>
      <c r="J442" s="151"/>
      <c r="K442" s="139"/>
    </row>
    <row r="443" spans="1:11" ht="12.75" x14ac:dyDescent="0.2">
      <c r="A443" s="151"/>
      <c r="B443" s="151"/>
      <c r="C443" s="148"/>
      <c r="D443" s="148" t="s">
        <v>33</v>
      </c>
      <c r="E443" s="165"/>
      <c r="F443" s="150"/>
      <c r="G443" s="147"/>
      <c r="H443" s="147">
        <f>SUM(H438:H442)</f>
        <v>19876</v>
      </c>
      <c r="I443" s="152">
        <f>SUM(I438:I442)</f>
        <v>1</v>
      </c>
      <c r="J443" s="151"/>
      <c r="K443" s="139"/>
    </row>
    <row r="444" spans="1:11" ht="12.75" x14ac:dyDescent="0.2">
      <c r="A444" s="151"/>
      <c r="B444" s="151"/>
      <c r="C444" s="148"/>
      <c r="D444" s="148"/>
      <c r="E444" s="165"/>
      <c r="F444" s="150"/>
      <c r="G444" s="147"/>
      <c r="H444" s="147"/>
      <c r="I444" s="152"/>
      <c r="J444" s="151"/>
      <c r="K444" s="139"/>
    </row>
    <row r="445" spans="1:11" ht="12.75" x14ac:dyDescent="0.2">
      <c r="A445" s="151" t="s">
        <v>24</v>
      </c>
      <c r="B445" s="147"/>
      <c r="C445" s="148" t="s">
        <v>289</v>
      </c>
      <c r="D445" s="147" t="s">
        <v>746</v>
      </c>
      <c r="E445" s="165">
        <v>45069</v>
      </c>
      <c r="F445" s="147">
        <v>21757055</v>
      </c>
      <c r="G445" s="147">
        <v>53528</v>
      </c>
      <c r="H445" s="147"/>
      <c r="I445" s="152"/>
      <c r="J445" s="147"/>
      <c r="K445" s="139"/>
    </row>
    <row r="446" spans="1:11" ht="12.75" x14ac:dyDescent="0.2">
      <c r="A446" s="147"/>
      <c r="B446" s="147"/>
      <c r="C446" s="169"/>
      <c r="D446" s="147" t="s">
        <v>581</v>
      </c>
      <c r="E446" s="165"/>
      <c r="F446" s="150"/>
      <c r="G446" s="147"/>
      <c r="H446" s="147">
        <v>0</v>
      </c>
      <c r="I446" s="152">
        <f t="shared" ref="I446:I452" si="6">(H446/$H$453)</f>
        <v>0</v>
      </c>
      <c r="J446" s="151" t="s">
        <v>236</v>
      </c>
      <c r="K446" s="139"/>
    </row>
    <row r="447" spans="1:11" ht="12.75" x14ac:dyDescent="0.2">
      <c r="A447" s="147"/>
      <c r="B447" s="147"/>
      <c r="C447" s="169"/>
      <c r="D447" s="147" t="s">
        <v>627</v>
      </c>
      <c r="E447" s="165"/>
      <c r="F447" s="150"/>
      <c r="G447" s="147"/>
      <c r="H447" s="147">
        <v>0</v>
      </c>
      <c r="I447" s="152">
        <f t="shared" si="6"/>
        <v>0</v>
      </c>
      <c r="J447" s="147"/>
      <c r="K447" s="139"/>
    </row>
    <row r="448" spans="1:11" ht="12.75" x14ac:dyDescent="0.2">
      <c r="A448" s="147"/>
      <c r="B448" s="147"/>
      <c r="C448" s="169"/>
      <c r="D448" s="147" t="s">
        <v>603</v>
      </c>
      <c r="E448" s="165"/>
      <c r="F448" s="150"/>
      <c r="G448" s="147"/>
      <c r="H448" s="147">
        <v>0</v>
      </c>
      <c r="I448" s="152">
        <f t="shared" si="6"/>
        <v>0</v>
      </c>
      <c r="J448" s="151"/>
      <c r="K448" s="139"/>
    </row>
    <row r="449" spans="1:11" ht="12.75" x14ac:dyDescent="0.2">
      <c r="A449" s="147"/>
      <c r="B449" s="147"/>
      <c r="C449" s="169"/>
      <c r="D449" s="147" t="s">
        <v>583</v>
      </c>
      <c r="E449" s="165"/>
      <c r="F449" s="147"/>
      <c r="G449" s="147"/>
      <c r="H449" s="147">
        <v>0</v>
      </c>
      <c r="I449" s="152">
        <f t="shared" si="6"/>
        <v>0</v>
      </c>
      <c r="J449" s="151"/>
      <c r="K449" s="139"/>
    </row>
    <row r="450" spans="1:11" ht="12.75" x14ac:dyDescent="0.2">
      <c r="A450" s="147"/>
      <c r="B450" s="147"/>
      <c r="C450" s="169"/>
      <c r="D450" s="147" t="s">
        <v>594</v>
      </c>
      <c r="E450" s="165"/>
      <c r="F450" s="147"/>
      <c r="G450" s="147"/>
      <c r="H450" s="147">
        <v>0</v>
      </c>
      <c r="I450" s="152">
        <f t="shared" si="6"/>
        <v>0</v>
      </c>
      <c r="J450" s="151"/>
      <c r="K450" s="139"/>
    </row>
    <row r="451" spans="1:11" ht="12.75" x14ac:dyDescent="0.2">
      <c r="A451" s="147"/>
      <c r="B451" s="147"/>
      <c r="C451" s="169"/>
      <c r="D451" s="147" t="s">
        <v>589</v>
      </c>
      <c r="E451" s="165"/>
      <c r="F451" s="150"/>
      <c r="G451" s="147"/>
      <c r="H451" s="147">
        <v>28633</v>
      </c>
      <c r="I451" s="152">
        <f t="shared" si="6"/>
        <v>0.9139747191011236</v>
      </c>
      <c r="J451" s="151" t="s">
        <v>673</v>
      </c>
      <c r="K451" s="139"/>
    </row>
    <row r="452" spans="1:11" ht="12.75" x14ac:dyDescent="0.2">
      <c r="A452" s="147"/>
      <c r="B452" s="147"/>
      <c r="C452" s="169"/>
      <c r="D452" s="147" t="s">
        <v>586</v>
      </c>
      <c r="E452" s="165"/>
      <c r="F452" s="150"/>
      <c r="G452" s="147"/>
      <c r="H452" s="147">
        <v>2695</v>
      </c>
      <c r="I452" s="152">
        <f t="shared" si="6"/>
        <v>8.60252808988764E-2</v>
      </c>
      <c r="J452" s="147"/>
      <c r="K452" s="139"/>
    </row>
    <row r="453" spans="1:11" ht="12.75" x14ac:dyDescent="0.2">
      <c r="A453" s="147"/>
      <c r="B453" s="147"/>
      <c r="C453" s="169"/>
      <c r="D453" s="148" t="s">
        <v>33</v>
      </c>
      <c r="E453" s="165"/>
      <c r="F453" s="150"/>
      <c r="G453" s="147"/>
      <c r="H453" s="147">
        <f>SUM(H446:H452)</f>
        <v>31328</v>
      </c>
      <c r="I453" s="152">
        <f>SUM(I446:I452)</f>
        <v>1</v>
      </c>
      <c r="J453" s="147"/>
      <c r="K453" s="139"/>
    </row>
    <row r="454" spans="1:11" ht="12.75" x14ac:dyDescent="0.2">
      <c r="A454" s="147"/>
      <c r="B454" s="147"/>
      <c r="C454" s="169"/>
      <c r="D454" s="148"/>
      <c r="E454" s="165"/>
      <c r="F454" s="150"/>
      <c r="G454" s="147"/>
      <c r="H454" s="147"/>
      <c r="I454" s="152"/>
      <c r="J454" s="147"/>
      <c r="K454" s="139"/>
    </row>
    <row r="455" spans="1:11" ht="12.75" x14ac:dyDescent="0.2">
      <c r="A455" s="151" t="s">
        <v>24</v>
      </c>
      <c r="B455" s="147"/>
      <c r="C455" s="148" t="s">
        <v>289</v>
      </c>
      <c r="D455" s="147" t="s">
        <v>745</v>
      </c>
      <c r="E455" s="165">
        <v>45283</v>
      </c>
      <c r="F455" s="147">
        <v>123299246</v>
      </c>
      <c r="G455" s="147">
        <v>271682</v>
      </c>
      <c r="H455" s="147"/>
      <c r="I455" s="152"/>
      <c r="J455" s="147"/>
      <c r="K455" s="139"/>
    </row>
    <row r="456" spans="1:11" ht="12.75" x14ac:dyDescent="0.2">
      <c r="A456" s="147"/>
      <c r="B456" s="147"/>
      <c r="C456" s="169"/>
      <c r="D456" s="147" t="s">
        <v>581</v>
      </c>
      <c r="E456" s="165"/>
      <c r="F456" s="150"/>
      <c r="G456" s="147"/>
      <c r="H456" s="147">
        <v>0</v>
      </c>
      <c r="I456" s="152">
        <f>(H456/$H$463)</f>
        <v>0</v>
      </c>
      <c r="J456" s="151" t="s">
        <v>236</v>
      </c>
      <c r="K456" s="139"/>
    </row>
    <row r="457" spans="1:11" ht="12.75" x14ac:dyDescent="0.2">
      <c r="A457" s="147"/>
      <c r="B457" s="147"/>
      <c r="C457" s="169"/>
      <c r="D457" s="147" t="s">
        <v>627</v>
      </c>
      <c r="E457" s="165"/>
      <c r="F457" s="150"/>
      <c r="G457" s="147"/>
      <c r="H457" s="147">
        <v>6559</v>
      </c>
      <c r="I457" s="152">
        <f t="shared" ref="I457:I463" si="7">(H457/$H$463)</f>
        <v>6.0571639654615136E-2</v>
      </c>
      <c r="J457" s="147"/>
      <c r="K457" s="139"/>
    </row>
    <row r="458" spans="1:11" ht="12.75" x14ac:dyDescent="0.2">
      <c r="A458" s="147"/>
      <c r="B458" s="147"/>
      <c r="C458" s="169"/>
      <c r="D458" s="147" t="s">
        <v>603</v>
      </c>
      <c r="E458" s="165"/>
      <c r="F458" s="150"/>
      <c r="G458" s="147"/>
      <c r="H458" s="147">
        <v>0</v>
      </c>
      <c r="I458" s="152">
        <f t="shared" si="7"/>
        <v>0</v>
      </c>
      <c r="J458" s="151"/>
      <c r="K458" s="139"/>
    </row>
    <row r="459" spans="1:11" ht="12.75" x14ac:dyDescent="0.2">
      <c r="A459" s="147"/>
      <c r="B459" s="147"/>
      <c r="C459" s="169"/>
      <c r="D459" s="147" t="s">
        <v>583</v>
      </c>
      <c r="E459" s="165"/>
      <c r="F459" s="147"/>
      <c r="G459" s="147"/>
      <c r="H459" s="147">
        <v>6546</v>
      </c>
      <c r="I459" s="152">
        <f t="shared" si="7"/>
        <v>6.0451586092256544E-2</v>
      </c>
      <c r="J459" s="151"/>
      <c r="K459" s="139"/>
    </row>
    <row r="460" spans="1:11" ht="12.75" x14ac:dyDescent="0.2">
      <c r="A460" s="147"/>
      <c r="B460" s="147"/>
      <c r="C460" s="169"/>
      <c r="D460" s="147" t="s">
        <v>594</v>
      </c>
      <c r="E460" s="165"/>
      <c r="F460" s="147"/>
      <c r="G460" s="147"/>
      <c r="H460" s="147">
        <v>0</v>
      </c>
      <c r="I460" s="152">
        <f t="shared" si="7"/>
        <v>0</v>
      </c>
      <c r="J460" s="151"/>
      <c r="K460" s="139"/>
    </row>
    <row r="461" spans="1:11" ht="12.75" x14ac:dyDescent="0.2">
      <c r="A461" s="147"/>
      <c r="B461" s="147"/>
      <c r="C461" s="169"/>
      <c r="D461" s="147" t="s">
        <v>589</v>
      </c>
      <c r="E461" s="165"/>
      <c r="F461" s="150"/>
      <c r="G461" s="147"/>
      <c r="H461" s="147">
        <v>94763</v>
      </c>
      <c r="I461" s="152">
        <f>(H461/$H$463)</f>
        <v>0.87512582536824124</v>
      </c>
      <c r="J461" s="151" t="s">
        <v>673</v>
      </c>
      <c r="K461" s="139"/>
    </row>
    <row r="462" spans="1:11" ht="12.75" x14ac:dyDescent="0.2">
      <c r="A462" s="147"/>
      <c r="B462" s="147"/>
      <c r="C462" s="169"/>
      <c r="D462" s="147" t="s">
        <v>586</v>
      </c>
      <c r="E462" s="165"/>
      <c r="F462" s="150"/>
      <c r="G462" s="147"/>
      <c r="H462" s="147">
        <v>417</v>
      </c>
      <c r="I462" s="152">
        <f t="shared" si="7"/>
        <v>3.8509488848871036E-3</v>
      </c>
      <c r="J462" s="147"/>
      <c r="K462" s="139"/>
    </row>
    <row r="463" spans="1:11" ht="12.75" x14ac:dyDescent="0.2">
      <c r="A463" s="147"/>
      <c r="B463" s="147"/>
      <c r="C463" s="169"/>
      <c r="D463" s="148" t="s">
        <v>33</v>
      </c>
      <c r="E463" s="165"/>
      <c r="F463" s="150"/>
      <c r="G463" s="147"/>
      <c r="H463" s="147">
        <f>SUM(H456:H462)</f>
        <v>108285</v>
      </c>
      <c r="I463" s="152">
        <f t="shared" si="7"/>
        <v>1</v>
      </c>
      <c r="J463" s="147"/>
      <c r="K463" s="139"/>
    </row>
    <row r="464" spans="1:11" ht="12.75" x14ac:dyDescent="0.2">
      <c r="A464" s="147"/>
      <c r="B464" s="147"/>
      <c r="C464" s="169"/>
      <c r="D464" s="148"/>
      <c r="E464" s="165"/>
      <c r="F464" s="150"/>
      <c r="G464" s="147"/>
      <c r="H464" s="147"/>
      <c r="I464" s="152"/>
      <c r="J464" s="147"/>
      <c r="K464" s="139"/>
    </row>
    <row r="465" spans="1:14" ht="12.75" x14ac:dyDescent="0.2">
      <c r="A465" s="151" t="s">
        <v>24</v>
      </c>
      <c r="B465" s="147"/>
      <c r="C465" s="148" t="s">
        <v>289</v>
      </c>
      <c r="D465" s="147" t="s">
        <v>745</v>
      </c>
      <c r="E465" s="165">
        <v>45522</v>
      </c>
      <c r="F465" s="147">
        <v>205245293</v>
      </c>
      <c r="G465" s="147">
        <v>4679</v>
      </c>
      <c r="H465" s="147"/>
      <c r="I465" s="152"/>
      <c r="J465" s="147"/>
      <c r="K465" s="139"/>
    </row>
    <row r="466" spans="1:14" ht="12.75" x14ac:dyDescent="0.2">
      <c r="A466" s="147"/>
      <c r="B466" s="147"/>
      <c r="C466" s="169"/>
      <c r="D466" s="147" t="s">
        <v>627</v>
      </c>
      <c r="E466" s="165"/>
      <c r="F466" s="150"/>
      <c r="G466" s="147"/>
      <c r="H466" s="147">
        <v>1161</v>
      </c>
      <c r="I466" s="152">
        <f>H466/H467</f>
        <v>1</v>
      </c>
      <c r="J466" s="151" t="s">
        <v>107</v>
      </c>
      <c r="K466" s="139"/>
    </row>
    <row r="467" spans="1:14" ht="12.75" x14ac:dyDescent="0.2">
      <c r="A467" s="147"/>
      <c r="B467" s="147"/>
      <c r="C467" s="169"/>
      <c r="D467" s="148" t="s">
        <v>33</v>
      </c>
      <c r="E467" s="165"/>
      <c r="F467" s="150"/>
      <c r="G467" s="147"/>
      <c r="H467" s="147">
        <v>1161</v>
      </c>
      <c r="I467" s="152">
        <v>1</v>
      </c>
      <c r="J467" s="147"/>
      <c r="K467" s="139"/>
    </row>
    <row r="468" spans="1:14" ht="12.75" x14ac:dyDescent="0.2">
      <c r="A468" s="147"/>
      <c r="B468" s="147"/>
      <c r="C468" s="169"/>
      <c r="D468" s="148"/>
      <c r="E468" s="165"/>
      <c r="F468" s="150"/>
      <c r="G468" s="147"/>
      <c r="H468" s="147"/>
      <c r="I468" s="152"/>
      <c r="J468" s="147"/>
      <c r="K468" s="139"/>
    </row>
    <row r="469" spans="1:14" ht="12.75" x14ac:dyDescent="0.2">
      <c r="A469" s="234" t="s">
        <v>24</v>
      </c>
      <c r="B469" s="238"/>
      <c r="C469" s="233" t="s">
        <v>289</v>
      </c>
      <c r="D469" s="238" t="s">
        <v>766</v>
      </c>
      <c r="E469" s="236">
        <v>46003</v>
      </c>
      <c r="F469" s="238">
        <v>36768477</v>
      </c>
      <c r="G469" s="238">
        <v>47789</v>
      </c>
      <c r="H469" s="238"/>
      <c r="I469" s="239"/>
      <c r="J469" s="238"/>
      <c r="K469" s="139"/>
    </row>
    <row r="470" spans="1:14" ht="12.75" x14ac:dyDescent="0.2">
      <c r="A470" s="238"/>
      <c r="B470" s="238"/>
      <c r="C470" s="241"/>
      <c r="D470" s="238" t="s">
        <v>627</v>
      </c>
      <c r="E470" s="236"/>
      <c r="F470" s="237"/>
      <c r="G470" s="238"/>
      <c r="H470" s="238">
        <v>16376</v>
      </c>
      <c r="I470" s="239">
        <f>H470/H472</f>
        <v>0.66805368579937174</v>
      </c>
      <c r="J470" s="234" t="s">
        <v>767</v>
      </c>
      <c r="K470" s="139"/>
    </row>
    <row r="471" spans="1:14" ht="12.75" x14ac:dyDescent="0.2">
      <c r="A471" s="238"/>
      <c r="B471" s="238"/>
      <c r="C471" s="241"/>
      <c r="D471" s="238" t="s">
        <v>768</v>
      </c>
      <c r="E471" s="236"/>
      <c r="F471" s="237"/>
      <c r="G471" s="238"/>
      <c r="H471" s="238">
        <v>8137</v>
      </c>
      <c r="I471" s="239">
        <f>H471/H472</f>
        <v>0.33194631420062826</v>
      </c>
      <c r="J471" s="234"/>
      <c r="K471" s="139"/>
    </row>
    <row r="472" spans="1:14" ht="12.75" x14ac:dyDescent="0.2">
      <c r="A472" s="238"/>
      <c r="B472" s="238"/>
      <c r="C472" s="241"/>
      <c r="D472" s="233" t="s">
        <v>33</v>
      </c>
      <c r="E472" s="236"/>
      <c r="F472" s="237"/>
      <c r="G472" s="238"/>
      <c r="H472" s="238">
        <v>24513</v>
      </c>
      <c r="I472" s="239">
        <v>1</v>
      </c>
      <c r="J472" s="238"/>
      <c r="K472" s="139"/>
    </row>
    <row r="473" spans="1:14" ht="12.75" x14ac:dyDescent="0.2">
      <c r="A473" s="238"/>
      <c r="B473" s="238"/>
      <c r="C473" s="241"/>
      <c r="D473" s="233"/>
      <c r="E473" s="236"/>
      <c r="F473" s="237"/>
      <c r="G473" s="238"/>
      <c r="H473" s="238"/>
      <c r="I473" s="239"/>
      <c r="J473" s="238"/>
      <c r="K473" s="139"/>
    </row>
    <row r="474" spans="1:14" ht="12.75" x14ac:dyDescent="0.2">
      <c r="A474" s="147"/>
      <c r="B474" s="147"/>
      <c r="C474" s="169"/>
      <c r="D474" s="148"/>
      <c r="E474" s="165"/>
      <c r="F474" s="150"/>
      <c r="G474" s="147"/>
      <c r="H474" s="147"/>
      <c r="I474" s="152"/>
      <c r="J474" s="147"/>
      <c r="K474" s="139"/>
    </row>
    <row r="475" spans="1:14" ht="12.75" x14ac:dyDescent="0.2">
      <c r="A475" s="148" t="s">
        <v>19</v>
      </c>
      <c r="B475" s="148" t="s">
        <v>295</v>
      </c>
      <c r="C475" s="148" t="s">
        <v>234</v>
      </c>
      <c r="D475" s="149" t="s">
        <v>296</v>
      </c>
      <c r="E475" s="165" t="s">
        <v>246</v>
      </c>
      <c r="F475" s="150">
        <v>3808500</v>
      </c>
      <c r="G475" s="147">
        <v>49267</v>
      </c>
      <c r="H475" s="147"/>
      <c r="I475" s="152"/>
      <c r="J475" s="151"/>
      <c r="K475" s="139"/>
      <c r="N475" s="12"/>
    </row>
    <row r="476" spans="1:14" ht="12.75" x14ac:dyDescent="0.2">
      <c r="A476" s="151"/>
      <c r="B476" s="151"/>
      <c r="C476" s="148"/>
      <c r="D476" s="149" t="s">
        <v>240</v>
      </c>
      <c r="E476" s="165"/>
      <c r="F476" s="150"/>
      <c r="G476" s="147"/>
      <c r="H476" s="147">
        <v>9585</v>
      </c>
      <c r="I476" s="152">
        <f>ROUND(H476/$H$480,4)</f>
        <v>0.33750000000000002</v>
      </c>
      <c r="J476" s="151"/>
      <c r="K476" s="139"/>
    </row>
    <row r="477" spans="1:14" ht="12.75" x14ac:dyDescent="0.2">
      <c r="A477" s="151"/>
      <c r="B477" s="151"/>
      <c r="C477" s="148"/>
      <c r="D477" s="149" t="s">
        <v>262</v>
      </c>
      <c r="E477" s="165"/>
      <c r="F477" s="150"/>
      <c r="G477" s="147"/>
      <c r="H477" s="147">
        <v>300</v>
      </c>
      <c r="I477" s="152">
        <f>ROUND(H477/$H$480,4)</f>
        <v>1.06E-2</v>
      </c>
      <c r="J477" s="151"/>
      <c r="K477" s="139"/>
    </row>
    <row r="478" spans="1:14" ht="12.75" x14ac:dyDescent="0.2">
      <c r="A478" s="151"/>
      <c r="B478" s="151"/>
      <c r="C478" s="148"/>
      <c r="D478" s="149" t="s">
        <v>242</v>
      </c>
      <c r="E478" s="165"/>
      <c r="F478" s="150"/>
      <c r="G478" s="147"/>
      <c r="H478" s="147">
        <v>18168</v>
      </c>
      <c r="I478" s="152">
        <f>ROUND(H478/$H$480,4)-0.0001</f>
        <v>0.63960000000000006</v>
      </c>
      <c r="J478" s="153" t="s">
        <v>242</v>
      </c>
      <c r="K478" s="139"/>
    </row>
    <row r="479" spans="1:14" ht="12.75" x14ac:dyDescent="0.2">
      <c r="A479" s="151"/>
      <c r="B479" s="151"/>
      <c r="C479" s="148"/>
      <c r="D479" s="149" t="s">
        <v>243</v>
      </c>
      <c r="E479" s="165"/>
      <c r="F479" s="150"/>
      <c r="G479" s="147"/>
      <c r="H479" s="147">
        <v>350</v>
      </c>
      <c r="I479" s="152">
        <f>ROUND(H479/$H$480,4)</f>
        <v>1.23E-2</v>
      </c>
      <c r="J479" s="151"/>
      <c r="K479" s="139"/>
    </row>
    <row r="480" spans="1:14" ht="12.75" x14ac:dyDescent="0.2">
      <c r="A480" s="151"/>
      <c r="B480" s="151"/>
      <c r="C480" s="148"/>
      <c r="D480" s="148" t="s">
        <v>33</v>
      </c>
      <c r="E480" s="165"/>
      <c r="F480" s="150"/>
      <c r="G480" s="147"/>
      <c r="H480" s="155">
        <f>SUM(H476:H479)</f>
        <v>28403</v>
      </c>
      <c r="I480" s="156">
        <f>SUM(I476:I479)</f>
        <v>1</v>
      </c>
      <c r="J480" s="151"/>
      <c r="K480" s="139"/>
    </row>
    <row r="481" spans="1:11" ht="12.75" x14ac:dyDescent="0.2">
      <c r="A481" s="151"/>
      <c r="B481" s="151"/>
      <c r="C481" s="148"/>
      <c r="D481" s="147"/>
      <c r="E481" s="165"/>
      <c r="F481" s="150"/>
      <c r="G481" s="147"/>
      <c r="H481" s="147"/>
      <c r="I481" s="147"/>
      <c r="J481" s="151"/>
      <c r="K481" s="139"/>
    </row>
    <row r="482" spans="1:11" ht="12.75" x14ac:dyDescent="0.2">
      <c r="A482" s="148" t="s">
        <v>19</v>
      </c>
      <c r="B482" s="164" t="s">
        <v>297</v>
      </c>
      <c r="C482" s="148" t="s">
        <v>234</v>
      </c>
      <c r="D482" s="149" t="s">
        <v>298</v>
      </c>
      <c r="E482" s="165" t="s">
        <v>299</v>
      </c>
      <c r="F482" s="150">
        <v>7552532</v>
      </c>
      <c r="G482" s="147">
        <v>80000</v>
      </c>
      <c r="H482" s="147"/>
      <c r="I482" s="152"/>
      <c r="J482" s="151"/>
      <c r="K482" s="139"/>
    </row>
    <row r="483" spans="1:11" ht="12.75" x14ac:dyDescent="0.2">
      <c r="A483" s="151"/>
      <c r="B483" s="151"/>
      <c r="C483" s="148"/>
      <c r="D483" s="149" t="s">
        <v>261</v>
      </c>
      <c r="E483" s="165"/>
      <c r="F483" s="150"/>
      <c r="G483" s="147"/>
      <c r="H483" s="147">
        <v>13583</v>
      </c>
      <c r="I483" s="152">
        <f>ROUND(H483/$H$489,4)</f>
        <v>0.3372</v>
      </c>
      <c r="J483" s="151" t="s">
        <v>261</v>
      </c>
      <c r="K483" s="139"/>
    </row>
    <row r="484" spans="1:11" ht="12.75" x14ac:dyDescent="0.2">
      <c r="A484" s="151"/>
      <c r="B484" s="151"/>
      <c r="C484" s="148"/>
      <c r="D484" s="149" t="s">
        <v>238</v>
      </c>
      <c r="E484" s="165"/>
      <c r="F484" s="150"/>
      <c r="G484" s="147"/>
      <c r="H484" s="147">
        <v>3726</v>
      </c>
      <c r="I484" s="152">
        <f>ROUND(H484/$H$489,4)</f>
        <v>9.2499999999999999E-2</v>
      </c>
      <c r="J484" s="151"/>
      <c r="K484" s="139"/>
    </row>
    <row r="485" spans="1:11" ht="12.75" x14ac:dyDescent="0.2">
      <c r="A485" s="151"/>
      <c r="B485" s="151"/>
      <c r="C485" s="148"/>
      <c r="D485" s="149" t="s">
        <v>240</v>
      </c>
      <c r="E485" s="165"/>
      <c r="F485" s="150"/>
      <c r="G485" s="147"/>
      <c r="H485" s="147">
        <v>13030</v>
      </c>
      <c r="I485" s="152">
        <f>ROUND(H485/$H$489,4)</f>
        <v>0.32350000000000001</v>
      </c>
      <c r="J485" s="153" t="s">
        <v>240</v>
      </c>
      <c r="K485" s="139"/>
    </row>
    <row r="486" spans="1:11" ht="12.75" x14ac:dyDescent="0.2">
      <c r="A486" s="151"/>
      <c r="B486" s="151"/>
      <c r="C486" s="148"/>
      <c r="D486" s="149" t="s">
        <v>242</v>
      </c>
      <c r="E486" s="165"/>
      <c r="F486" s="150"/>
      <c r="G486" s="147"/>
      <c r="H486" s="147">
        <v>956</v>
      </c>
      <c r="I486" s="152">
        <f>ROUND(H486/$H$489,4)</f>
        <v>2.3699999999999999E-2</v>
      </c>
      <c r="J486" s="151"/>
      <c r="K486" s="139"/>
    </row>
    <row r="487" spans="1:11" ht="12.75" x14ac:dyDescent="0.2">
      <c r="A487" s="151"/>
      <c r="B487" s="151"/>
      <c r="C487" s="148"/>
      <c r="D487" s="149" t="s">
        <v>243</v>
      </c>
      <c r="E487" s="165"/>
      <c r="F487" s="150"/>
      <c r="G487" s="147"/>
      <c r="H487" s="147">
        <v>7275</v>
      </c>
      <c r="I487" s="152">
        <f>ROUND(H487/$H$489,4)</f>
        <v>0.18060000000000001</v>
      </c>
      <c r="J487" s="151" t="s">
        <v>243</v>
      </c>
      <c r="K487" s="139"/>
    </row>
    <row r="488" spans="1:11" ht="12.75" x14ac:dyDescent="0.2">
      <c r="A488" s="151"/>
      <c r="B488" s="151"/>
      <c r="C488" s="148"/>
      <c r="D488" s="154" t="s">
        <v>244</v>
      </c>
      <c r="E488" s="165"/>
      <c r="F488" s="150"/>
      <c r="G488" s="147"/>
      <c r="H488" s="147">
        <v>1706</v>
      </c>
      <c r="I488" s="152">
        <f>ROUND(H488/$H$489,4)+0.0001</f>
        <v>4.2500000000000003E-2</v>
      </c>
      <c r="J488" s="151"/>
      <c r="K488" s="139"/>
    </row>
    <row r="489" spans="1:11" ht="12.75" x14ac:dyDescent="0.2">
      <c r="A489" s="151"/>
      <c r="B489" s="151"/>
      <c r="C489" s="148"/>
      <c r="D489" s="148" t="s">
        <v>33</v>
      </c>
      <c r="E489" s="165"/>
      <c r="F489" s="150"/>
      <c r="G489" s="147"/>
      <c r="H489" s="155">
        <f>SUM(H483:H488)</f>
        <v>40276</v>
      </c>
      <c r="I489" s="156">
        <f>SUM(I483:I488)</f>
        <v>0.99999999999999989</v>
      </c>
      <c r="J489" s="151"/>
      <c r="K489" s="139"/>
    </row>
    <row r="490" spans="1:11" ht="12.75" x14ac:dyDescent="0.2">
      <c r="A490" s="151"/>
      <c r="B490" s="151"/>
      <c r="C490" s="148"/>
      <c r="D490" s="148"/>
      <c r="E490" s="165"/>
      <c r="F490" s="150"/>
      <c r="G490" s="147"/>
      <c r="H490" s="157"/>
      <c r="I490" s="158"/>
      <c r="J490" s="151"/>
      <c r="K490" s="139"/>
    </row>
    <row r="491" spans="1:11" ht="12.75" x14ac:dyDescent="0.2">
      <c r="A491" s="148" t="s">
        <v>19</v>
      </c>
      <c r="B491" s="148" t="s">
        <v>300</v>
      </c>
      <c r="C491" s="148" t="s">
        <v>234</v>
      </c>
      <c r="D491" s="154" t="s">
        <v>301</v>
      </c>
      <c r="E491" s="165" t="s">
        <v>302</v>
      </c>
      <c r="F491" s="150">
        <v>10568442</v>
      </c>
      <c r="G491" s="147">
        <v>102941</v>
      </c>
      <c r="H491" s="147"/>
      <c r="I491" s="147"/>
      <c r="J491" s="151"/>
      <c r="K491" s="139"/>
    </row>
    <row r="492" spans="1:11" ht="12.75" x14ac:dyDescent="0.2">
      <c r="A492" s="151"/>
      <c r="B492" s="151"/>
      <c r="C492" s="148"/>
      <c r="D492" s="149" t="s">
        <v>261</v>
      </c>
      <c r="E492" s="165"/>
      <c r="F492" s="150"/>
      <c r="G492" s="147"/>
      <c r="H492" s="147">
        <v>400</v>
      </c>
      <c r="I492" s="152">
        <f>ROUND(H492/$H$495,4)</f>
        <v>5.4000000000000003E-3</v>
      </c>
      <c r="J492" s="151"/>
      <c r="K492" s="139"/>
    </row>
    <row r="493" spans="1:11" ht="12.75" x14ac:dyDescent="0.2">
      <c r="A493" s="151"/>
      <c r="B493" s="151"/>
      <c r="C493" s="148"/>
      <c r="D493" s="149" t="s">
        <v>240</v>
      </c>
      <c r="E493" s="165"/>
      <c r="F493" s="150"/>
      <c r="G493" s="147"/>
      <c r="H493" s="147">
        <v>350</v>
      </c>
      <c r="I493" s="152">
        <f>ROUND(H493/$H$495,4)</f>
        <v>4.7999999999999996E-3</v>
      </c>
      <c r="J493" s="151"/>
      <c r="K493" s="139"/>
    </row>
    <row r="494" spans="1:11" ht="12.75" x14ac:dyDescent="0.2">
      <c r="A494" s="151"/>
      <c r="B494" s="151"/>
      <c r="C494" s="148"/>
      <c r="D494" s="149" t="s">
        <v>303</v>
      </c>
      <c r="E494" s="165"/>
      <c r="F494" s="150"/>
      <c r="G494" s="147"/>
      <c r="H494" s="147">
        <v>72779</v>
      </c>
      <c r="I494" s="152">
        <f>ROUND(H494/$H$495,4)</f>
        <v>0.98980000000000001</v>
      </c>
      <c r="J494" s="153" t="s">
        <v>303</v>
      </c>
      <c r="K494" s="139"/>
    </row>
    <row r="495" spans="1:11" ht="12.75" x14ac:dyDescent="0.2">
      <c r="A495" s="151"/>
      <c r="B495" s="151"/>
      <c r="C495" s="148"/>
      <c r="D495" s="148" t="s">
        <v>33</v>
      </c>
      <c r="E495" s="165"/>
      <c r="F495" s="150"/>
      <c r="G495" s="147"/>
      <c r="H495" s="155">
        <f>SUM(H492:H494)</f>
        <v>73529</v>
      </c>
      <c r="I495" s="156">
        <f>SUM(I492:I494)</f>
        <v>1</v>
      </c>
      <c r="J495" s="151"/>
      <c r="K495" s="139"/>
    </row>
    <row r="496" spans="1:11" ht="12.75" x14ac:dyDescent="0.2">
      <c r="A496" s="151"/>
      <c r="B496" s="151"/>
      <c r="C496" s="148"/>
      <c r="D496" s="148"/>
      <c r="E496" s="165"/>
      <c r="F496" s="150"/>
      <c r="G496" s="147"/>
      <c r="H496" s="157"/>
      <c r="I496" s="158"/>
      <c r="J496" s="151"/>
      <c r="K496" s="139"/>
    </row>
    <row r="497" spans="1:11" ht="12.75" x14ac:dyDescent="0.2">
      <c r="A497" s="148" t="s">
        <v>19</v>
      </c>
      <c r="B497" s="148" t="s">
        <v>304</v>
      </c>
      <c r="C497" s="148" t="s">
        <v>234</v>
      </c>
      <c r="D497" s="149" t="s">
        <v>305</v>
      </c>
      <c r="E497" s="165" t="s">
        <v>306</v>
      </c>
      <c r="F497" s="150">
        <v>31891726</v>
      </c>
      <c r="G497" s="147">
        <v>73000</v>
      </c>
      <c r="H497" s="147"/>
      <c r="I497" s="147"/>
      <c r="J497" s="151"/>
      <c r="K497" s="139"/>
    </row>
    <row r="498" spans="1:11" ht="12.75" x14ac:dyDescent="0.2">
      <c r="A498" s="151"/>
      <c r="B498" s="151"/>
      <c r="C498" s="148"/>
      <c r="D498" s="149" t="s">
        <v>239</v>
      </c>
      <c r="E498" s="165"/>
      <c r="F498" s="150"/>
      <c r="G498" s="147"/>
      <c r="H498" s="155">
        <v>58223</v>
      </c>
      <c r="I498" s="156">
        <f>ROUND(H498/$H$498,4)</f>
        <v>1</v>
      </c>
      <c r="J498" s="153" t="s">
        <v>239</v>
      </c>
      <c r="K498" s="139"/>
    </row>
    <row r="499" spans="1:11" ht="12.75" x14ac:dyDescent="0.2">
      <c r="A499" s="151"/>
      <c r="B499" s="151"/>
      <c r="C499" s="148"/>
      <c r="D499" s="147"/>
      <c r="E499" s="165"/>
      <c r="F499" s="150"/>
      <c r="G499" s="147"/>
      <c r="H499" s="147"/>
      <c r="I499" s="147"/>
      <c r="J499" s="151"/>
      <c r="K499" s="139"/>
    </row>
    <row r="500" spans="1:11" ht="12.75" x14ac:dyDescent="0.2">
      <c r="A500" s="148" t="s">
        <v>19</v>
      </c>
      <c r="B500" s="148" t="s">
        <v>307</v>
      </c>
      <c r="C500" s="148" t="s">
        <v>234</v>
      </c>
      <c r="D500" s="149" t="s">
        <v>308</v>
      </c>
      <c r="E500" s="165" t="s">
        <v>309</v>
      </c>
      <c r="F500" s="150">
        <v>20290510</v>
      </c>
      <c r="G500" s="147">
        <v>227472</v>
      </c>
      <c r="H500" s="147"/>
      <c r="I500" s="147"/>
      <c r="J500" s="151"/>
      <c r="K500" s="139"/>
    </row>
    <row r="501" spans="1:11" ht="12.75" x14ac:dyDescent="0.2">
      <c r="A501" s="151"/>
      <c r="B501" s="151"/>
      <c r="C501" s="148"/>
      <c r="D501" s="149" t="s">
        <v>238</v>
      </c>
      <c r="E501" s="165"/>
      <c r="F501" s="150"/>
      <c r="G501" s="147"/>
      <c r="H501" s="147">
        <v>9819</v>
      </c>
      <c r="I501" s="152">
        <f>ROUND(H501/$H$507,4)</f>
        <v>8.7300000000000003E-2</v>
      </c>
      <c r="J501" s="151"/>
      <c r="K501" s="139"/>
    </row>
    <row r="502" spans="1:11" ht="12.75" x14ac:dyDescent="0.2">
      <c r="A502" s="151"/>
      <c r="B502" s="151"/>
      <c r="C502" s="148"/>
      <c r="D502" s="149" t="s">
        <v>239</v>
      </c>
      <c r="E502" s="165"/>
      <c r="F502" s="150"/>
      <c r="G502" s="147"/>
      <c r="H502" s="147">
        <v>5082</v>
      </c>
      <c r="I502" s="152">
        <f>ROUND(H502/$H$507,4)</f>
        <v>4.5199999999999997E-2</v>
      </c>
      <c r="J502" s="151"/>
      <c r="K502" s="139"/>
    </row>
    <row r="503" spans="1:11" ht="12.75" x14ac:dyDescent="0.2">
      <c r="A503" s="151"/>
      <c r="B503" s="151"/>
      <c r="C503" s="148"/>
      <c r="D503" s="149" t="s">
        <v>241</v>
      </c>
      <c r="E503" s="165"/>
      <c r="F503" s="150"/>
      <c r="G503" s="147"/>
      <c r="H503" s="147">
        <v>3605</v>
      </c>
      <c r="I503" s="152">
        <f>ROUND(H503/$H$507,4)</f>
        <v>3.2000000000000001E-2</v>
      </c>
      <c r="J503" s="151"/>
      <c r="K503" s="139"/>
    </row>
    <row r="504" spans="1:11" ht="12.75" x14ac:dyDescent="0.2">
      <c r="A504" s="151"/>
      <c r="B504" s="151"/>
      <c r="C504" s="148"/>
      <c r="D504" s="149" t="s">
        <v>240</v>
      </c>
      <c r="E504" s="165"/>
      <c r="F504" s="150"/>
      <c r="G504" s="147"/>
      <c r="H504" s="147">
        <v>91983</v>
      </c>
      <c r="I504" s="152">
        <f>ROUND(H504/$H$507,4)-0.0001</f>
        <v>0.81759999999999999</v>
      </c>
      <c r="J504" s="153" t="s">
        <v>240</v>
      </c>
      <c r="K504" s="139"/>
    </row>
    <row r="505" spans="1:11" ht="12.75" x14ac:dyDescent="0.2">
      <c r="A505" s="151"/>
      <c r="B505" s="151"/>
      <c r="C505" s="148"/>
      <c r="D505" s="149" t="s">
        <v>243</v>
      </c>
      <c r="E505" s="165"/>
      <c r="F505" s="150"/>
      <c r="G505" s="147"/>
      <c r="H505" s="147">
        <v>1875</v>
      </c>
      <c r="I505" s="152">
        <f>ROUND(H505/$H$507,4)</f>
        <v>1.67E-2</v>
      </c>
      <c r="J505" s="151"/>
      <c r="K505" s="139"/>
    </row>
    <row r="506" spans="1:11" ht="12.75" x14ac:dyDescent="0.2">
      <c r="A506" s="151"/>
      <c r="B506" s="151"/>
      <c r="C506" s="148"/>
      <c r="D506" s="149" t="s">
        <v>303</v>
      </c>
      <c r="E506" s="165"/>
      <c r="F506" s="150"/>
      <c r="G506" s="147"/>
      <c r="H506" s="147">
        <v>132</v>
      </c>
      <c r="I506" s="152">
        <f>ROUND(H506/$H$507,4)</f>
        <v>1.1999999999999999E-3</v>
      </c>
      <c r="J506" s="151"/>
      <c r="K506" s="139"/>
    </row>
    <row r="507" spans="1:11" ht="12.75" x14ac:dyDescent="0.2">
      <c r="A507" s="151"/>
      <c r="B507" s="151"/>
      <c r="C507" s="148"/>
      <c r="D507" s="148" t="s">
        <v>33</v>
      </c>
      <c r="E507" s="165"/>
      <c r="F507" s="150"/>
      <c r="G507" s="147"/>
      <c r="H507" s="155">
        <f>SUM(H501:H506)</f>
        <v>112496</v>
      </c>
      <c r="I507" s="156">
        <f>SUM(I501:I506)</f>
        <v>1</v>
      </c>
      <c r="J507" s="151"/>
      <c r="K507" s="139"/>
    </row>
    <row r="508" spans="1:11" ht="12.75" x14ac:dyDescent="0.2">
      <c r="A508" s="151"/>
      <c r="B508" s="151"/>
      <c r="C508" s="148"/>
      <c r="D508" s="148"/>
      <c r="E508" s="165"/>
      <c r="F508" s="150"/>
      <c r="G508" s="147"/>
      <c r="H508" s="157"/>
      <c r="I508" s="158"/>
      <c r="J508" s="151"/>
      <c r="K508" s="139"/>
    </row>
    <row r="509" spans="1:11" ht="12.75" x14ac:dyDescent="0.2">
      <c r="A509" s="148" t="s">
        <v>19</v>
      </c>
      <c r="B509" s="148">
        <v>253</v>
      </c>
      <c r="C509" s="148" t="s">
        <v>234</v>
      </c>
      <c r="D509" s="149" t="s">
        <v>96</v>
      </c>
      <c r="E509" s="165" t="s">
        <v>310</v>
      </c>
      <c r="F509" s="150">
        <v>378999</v>
      </c>
      <c r="G509" s="147">
        <v>2800</v>
      </c>
      <c r="H509" s="147"/>
      <c r="I509" s="152"/>
      <c r="J509" s="151"/>
      <c r="K509" s="139"/>
    </row>
    <row r="510" spans="1:11" ht="12.75" x14ac:dyDescent="0.2">
      <c r="A510" s="151"/>
      <c r="B510" s="151"/>
      <c r="C510" s="148"/>
      <c r="D510" s="149" t="s">
        <v>303</v>
      </c>
      <c r="E510" s="165"/>
      <c r="F510" s="150"/>
      <c r="G510" s="147"/>
      <c r="H510" s="147">
        <v>1495</v>
      </c>
      <c r="I510" s="152">
        <f>ROUND(H510/$H$512,4)</f>
        <v>0.67949999999999999</v>
      </c>
      <c r="J510" s="153" t="s">
        <v>303</v>
      </c>
      <c r="K510" s="139"/>
    </row>
    <row r="511" spans="1:11" ht="12.75" x14ac:dyDescent="0.2">
      <c r="A511" s="151"/>
      <c r="B511" s="151"/>
      <c r="C511" s="148"/>
      <c r="D511" s="149" t="s">
        <v>285</v>
      </c>
      <c r="E511" s="165"/>
      <c r="F511" s="150"/>
      <c r="G511" s="147"/>
      <c r="H511" s="147">
        <v>705</v>
      </c>
      <c r="I511" s="152">
        <f>ROUND(H511/$H$512,4)</f>
        <v>0.32050000000000001</v>
      </c>
      <c r="J511" s="151"/>
      <c r="K511" s="139"/>
    </row>
    <row r="512" spans="1:11" ht="12.75" x14ac:dyDescent="0.2">
      <c r="A512" s="151"/>
      <c r="B512" s="151"/>
      <c r="C512" s="148"/>
      <c r="D512" s="148" t="s">
        <v>33</v>
      </c>
      <c r="E512" s="165"/>
      <c r="F512" s="150"/>
      <c r="G512" s="147"/>
      <c r="H512" s="155">
        <f>SUM(H510:H511)</f>
        <v>2200</v>
      </c>
      <c r="I512" s="156">
        <f>SUM(I510:I511)</f>
        <v>1</v>
      </c>
      <c r="J512" s="151"/>
      <c r="K512" s="139"/>
    </row>
    <row r="513" spans="1:11" ht="12.75" x14ac:dyDescent="0.2">
      <c r="A513" s="151"/>
      <c r="B513" s="151"/>
      <c r="C513" s="148"/>
      <c r="D513" s="148"/>
      <c r="E513" s="165"/>
      <c r="F513" s="150"/>
      <c r="G513" s="147"/>
      <c r="H513" s="157"/>
      <c r="I513" s="158"/>
      <c r="J513" s="151"/>
      <c r="K513" s="139"/>
    </row>
    <row r="514" spans="1:11" ht="12.75" x14ac:dyDescent="0.2">
      <c r="A514" s="148" t="s">
        <v>19</v>
      </c>
      <c r="B514" s="148">
        <v>227</v>
      </c>
      <c r="C514" s="148" t="s">
        <v>234</v>
      </c>
      <c r="D514" s="149" t="s">
        <v>26</v>
      </c>
      <c r="E514" s="165" t="s">
        <v>311</v>
      </c>
      <c r="F514" s="150">
        <v>2999000</v>
      </c>
      <c r="G514" s="147">
        <v>25000</v>
      </c>
      <c r="H514" s="147"/>
      <c r="I514" s="152"/>
      <c r="J514" s="151"/>
      <c r="K514" s="139"/>
    </row>
    <row r="515" spans="1:11" ht="12.75" x14ac:dyDescent="0.2">
      <c r="A515" s="151"/>
      <c r="B515" s="151"/>
      <c r="C515" s="148"/>
      <c r="D515" s="149" t="s">
        <v>261</v>
      </c>
      <c r="E515" s="165"/>
      <c r="F515" s="150"/>
      <c r="G515" s="147"/>
      <c r="H515" s="147">
        <v>4000</v>
      </c>
      <c r="I515" s="152">
        <f>ROUND(H515/$H$520,4)</f>
        <v>0.221</v>
      </c>
      <c r="J515" s="151" t="s">
        <v>261</v>
      </c>
      <c r="K515" s="139"/>
    </row>
    <row r="516" spans="1:11" ht="12.75" x14ac:dyDescent="0.2">
      <c r="A516" s="151"/>
      <c r="B516" s="151"/>
      <c r="C516" s="148"/>
      <c r="D516" s="149" t="s">
        <v>240</v>
      </c>
      <c r="E516" s="165"/>
      <c r="F516" s="150"/>
      <c r="G516" s="147"/>
      <c r="H516" s="147">
        <v>1950</v>
      </c>
      <c r="I516" s="152">
        <f>ROUND(H516/$H$520,4)</f>
        <v>0.1077</v>
      </c>
      <c r="J516" s="151"/>
      <c r="K516" s="139"/>
    </row>
    <row r="517" spans="1:11" ht="12.75" x14ac:dyDescent="0.2">
      <c r="A517" s="151"/>
      <c r="B517" s="151"/>
      <c r="C517" s="148"/>
      <c r="D517" s="149" t="s">
        <v>262</v>
      </c>
      <c r="E517" s="165"/>
      <c r="F517" s="150"/>
      <c r="G517" s="147"/>
      <c r="H517" s="147">
        <v>10850</v>
      </c>
      <c r="I517" s="152">
        <f>ROUND(H517/$H$520,4)</f>
        <v>0.59940000000000004</v>
      </c>
      <c r="J517" s="153" t="s">
        <v>262</v>
      </c>
      <c r="K517" s="139"/>
    </row>
    <row r="518" spans="1:11" ht="12.75" x14ac:dyDescent="0.2">
      <c r="A518" s="151"/>
      <c r="B518" s="151"/>
      <c r="C518" s="148"/>
      <c r="D518" s="149" t="s">
        <v>242</v>
      </c>
      <c r="E518" s="165"/>
      <c r="F518" s="150"/>
      <c r="G518" s="147"/>
      <c r="H518" s="147">
        <v>1000</v>
      </c>
      <c r="I518" s="152">
        <f>ROUND(H518/$H$520,4)</f>
        <v>5.5199999999999999E-2</v>
      </c>
      <c r="J518" s="151"/>
      <c r="K518" s="139"/>
    </row>
    <row r="519" spans="1:11" ht="12.75" x14ac:dyDescent="0.2">
      <c r="A519" s="151"/>
      <c r="B519" s="151"/>
      <c r="C519" s="148"/>
      <c r="D519" s="149" t="s">
        <v>293</v>
      </c>
      <c r="E519" s="165"/>
      <c r="F519" s="150"/>
      <c r="G519" s="147"/>
      <c r="H519" s="147">
        <v>300</v>
      </c>
      <c r="I519" s="152">
        <f>ROUND(H519/$H$520,4)+0.0001</f>
        <v>1.67E-2</v>
      </c>
      <c r="J519" s="151"/>
      <c r="K519" s="139"/>
    </row>
    <row r="520" spans="1:11" ht="12.75" x14ac:dyDescent="0.2">
      <c r="A520" s="151"/>
      <c r="B520" s="151"/>
      <c r="C520" s="148"/>
      <c r="D520" s="148" t="s">
        <v>33</v>
      </c>
      <c r="E520" s="165"/>
      <c r="F520" s="150"/>
      <c r="G520" s="147"/>
      <c r="H520" s="155">
        <f>SUM(H515:H519)</f>
        <v>18100</v>
      </c>
      <c r="I520" s="156">
        <f>SUM(I515:I519)</f>
        <v>1</v>
      </c>
      <c r="J520" s="151"/>
      <c r="K520" s="139"/>
    </row>
    <row r="521" spans="1:11" ht="12.75" x14ac:dyDescent="0.2">
      <c r="A521" s="151"/>
      <c r="B521" s="151"/>
      <c r="C521" s="148"/>
      <c r="D521" s="147"/>
      <c r="E521" s="165"/>
      <c r="F521" s="150"/>
      <c r="G521" s="147"/>
      <c r="H521" s="147"/>
      <c r="I521" s="152"/>
      <c r="J521" s="151"/>
      <c r="K521" s="139"/>
    </row>
    <row r="522" spans="1:11" ht="12.75" x14ac:dyDescent="0.2">
      <c r="A522" s="148" t="s">
        <v>19</v>
      </c>
      <c r="B522" s="148">
        <v>223</v>
      </c>
      <c r="C522" s="148" t="s">
        <v>234</v>
      </c>
      <c r="D522" s="147" t="s">
        <v>68</v>
      </c>
      <c r="E522" s="204" t="s">
        <v>312</v>
      </c>
      <c r="F522" s="150">
        <v>3720500</v>
      </c>
      <c r="G522" s="147">
        <v>38500</v>
      </c>
      <c r="H522" s="157"/>
      <c r="I522" s="158"/>
      <c r="J522" s="179"/>
      <c r="K522" s="139"/>
    </row>
    <row r="523" spans="1:11" ht="12.75" x14ac:dyDescent="0.2">
      <c r="A523" s="151"/>
      <c r="B523" s="151"/>
      <c r="C523" s="148"/>
      <c r="D523" s="147" t="s">
        <v>284</v>
      </c>
      <c r="E523" s="165"/>
      <c r="F523" s="150"/>
      <c r="G523" s="147"/>
      <c r="H523" s="157">
        <v>5256</v>
      </c>
      <c r="I523" s="152">
        <f>ROUND(H523/$H$528,4)</f>
        <v>0.20649999999999999</v>
      </c>
      <c r="J523" s="179"/>
      <c r="K523" s="139"/>
    </row>
    <row r="524" spans="1:11" ht="12.75" x14ac:dyDescent="0.2">
      <c r="A524" s="151"/>
      <c r="B524" s="151"/>
      <c r="C524" s="148"/>
      <c r="D524" s="147" t="s">
        <v>239</v>
      </c>
      <c r="E524" s="165"/>
      <c r="F524" s="150"/>
      <c r="G524" s="147"/>
      <c r="H524" s="157">
        <v>279</v>
      </c>
      <c r="I524" s="152">
        <f>ROUND(H524/$H$528,4)</f>
        <v>1.0999999999999999E-2</v>
      </c>
      <c r="J524" s="179"/>
      <c r="K524" s="139"/>
    </row>
    <row r="525" spans="1:11" ht="12.75" x14ac:dyDescent="0.2">
      <c r="A525" s="151"/>
      <c r="B525" s="151"/>
      <c r="C525" s="148"/>
      <c r="D525" s="147" t="s">
        <v>240</v>
      </c>
      <c r="E525" s="165"/>
      <c r="F525" s="150"/>
      <c r="G525" s="147"/>
      <c r="H525" s="157">
        <v>10193</v>
      </c>
      <c r="I525" s="152">
        <f>ROUND(H525/$H$528,4)</f>
        <v>0.40060000000000001</v>
      </c>
      <c r="J525" s="179" t="s">
        <v>240</v>
      </c>
      <c r="K525" s="139"/>
    </row>
    <row r="526" spans="1:11" ht="12.75" x14ac:dyDescent="0.2">
      <c r="A526" s="151"/>
      <c r="B526" s="151"/>
      <c r="C526" s="148"/>
      <c r="D526" s="147" t="s">
        <v>262</v>
      </c>
      <c r="E526" s="165"/>
      <c r="F526" s="150"/>
      <c r="G526" s="147"/>
      <c r="H526" s="157">
        <v>9247</v>
      </c>
      <c r="I526" s="152">
        <f>ROUND(H526/$H$528,4)</f>
        <v>0.3634</v>
      </c>
      <c r="J526" s="179" t="s">
        <v>262</v>
      </c>
      <c r="K526" s="139"/>
    </row>
    <row r="527" spans="1:11" ht="12.75" x14ac:dyDescent="0.2">
      <c r="A527" s="151"/>
      <c r="B527" s="151"/>
      <c r="C527" s="148"/>
      <c r="D527" s="149" t="s">
        <v>285</v>
      </c>
      <c r="E527" s="165"/>
      <c r="F527" s="150"/>
      <c r="G527" s="147"/>
      <c r="H527" s="157">
        <v>472</v>
      </c>
      <c r="I527" s="152">
        <f>ROUND(H527/$H$528,4)</f>
        <v>1.8499999999999999E-2</v>
      </c>
      <c r="J527" s="179"/>
      <c r="K527" s="139"/>
    </row>
    <row r="528" spans="1:11" ht="12.75" x14ac:dyDescent="0.2">
      <c r="A528" s="151"/>
      <c r="B528" s="151"/>
      <c r="C528" s="148"/>
      <c r="D528" s="148" t="s">
        <v>33</v>
      </c>
      <c r="E528" s="165"/>
      <c r="F528" s="150"/>
      <c r="G528" s="147"/>
      <c r="H528" s="155">
        <f>SUM(H523:H527)</f>
        <v>25447</v>
      </c>
      <c r="I528" s="156">
        <f>SUM(I523:I527)</f>
        <v>1</v>
      </c>
      <c r="J528" s="179"/>
      <c r="K528" s="139"/>
    </row>
    <row r="529" spans="1:11" ht="12.75" x14ac:dyDescent="0.2">
      <c r="A529" s="151"/>
      <c r="B529" s="151"/>
      <c r="C529" s="148"/>
      <c r="D529" s="147"/>
      <c r="E529" s="165"/>
      <c r="F529" s="150"/>
      <c r="G529" s="147"/>
      <c r="H529" s="147"/>
      <c r="I529" s="152"/>
      <c r="J529" s="151"/>
      <c r="K529" s="139"/>
    </row>
    <row r="530" spans="1:11" ht="12.75" x14ac:dyDescent="0.2">
      <c r="A530" s="148" t="s">
        <v>19</v>
      </c>
      <c r="B530" s="148">
        <v>292</v>
      </c>
      <c r="C530" s="148" t="s">
        <v>234</v>
      </c>
      <c r="D530" s="147" t="s">
        <v>72</v>
      </c>
      <c r="E530" s="204" t="s">
        <v>313</v>
      </c>
      <c r="F530" s="150">
        <v>2933000</v>
      </c>
      <c r="G530" s="147">
        <v>24300</v>
      </c>
      <c r="H530" s="147"/>
      <c r="I530" s="152"/>
      <c r="J530" s="151"/>
      <c r="K530" s="139"/>
    </row>
    <row r="531" spans="1:11" ht="12.75" x14ac:dyDescent="0.2">
      <c r="A531" s="151"/>
      <c r="B531" s="151"/>
      <c r="C531" s="148"/>
      <c r="D531" s="147" t="s">
        <v>240</v>
      </c>
      <c r="E531" s="165"/>
      <c r="F531" s="150"/>
      <c r="G531" s="147"/>
      <c r="H531" s="147">
        <v>9800</v>
      </c>
      <c r="I531" s="152">
        <f>ROUND(H531/$H$535,4)</f>
        <v>0.60489999999999999</v>
      </c>
      <c r="J531" s="151" t="s">
        <v>240</v>
      </c>
      <c r="K531" s="139"/>
    </row>
    <row r="532" spans="1:11" ht="12.75" x14ac:dyDescent="0.2">
      <c r="A532" s="151"/>
      <c r="B532" s="151"/>
      <c r="C532" s="148"/>
      <c r="D532" s="149" t="s">
        <v>242</v>
      </c>
      <c r="E532" s="165"/>
      <c r="F532" s="150"/>
      <c r="G532" s="147"/>
      <c r="H532" s="147">
        <v>200</v>
      </c>
      <c r="I532" s="152">
        <f>ROUND(H532/$H$535,4)+0.0001</f>
        <v>1.24E-2</v>
      </c>
      <c r="J532" s="151"/>
      <c r="K532" s="139"/>
    </row>
    <row r="533" spans="1:11" ht="12.75" x14ac:dyDescent="0.2">
      <c r="A533" s="151"/>
      <c r="B533" s="151"/>
      <c r="C533" s="148"/>
      <c r="D533" s="154" t="s">
        <v>244</v>
      </c>
      <c r="E533" s="165"/>
      <c r="F533" s="150"/>
      <c r="G533" s="147"/>
      <c r="H533" s="147">
        <v>5200</v>
      </c>
      <c r="I533" s="152">
        <f>ROUND(H533/$H$535,4)</f>
        <v>0.32100000000000001</v>
      </c>
      <c r="J533" s="151" t="s">
        <v>244</v>
      </c>
      <c r="K533" s="139"/>
    </row>
    <row r="534" spans="1:11" ht="12.75" x14ac:dyDescent="0.2">
      <c r="A534" s="151"/>
      <c r="B534" s="151"/>
      <c r="C534" s="148"/>
      <c r="D534" s="149" t="s">
        <v>285</v>
      </c>
      <c r="E534" s="165"/>
      <c r="F534" s="150"/>
      <c r="G534" s="147"/>
      <c r="H534" s="147">
        <v>1000</v>
      </c>
      <c r="I534" s="152">
        <f>ROUND(H534/$H$535,4)</f>
        <v>6.1699999999999998E-2</v>
      </c>
      <c r="J534" s="151"/>
      <c r="K534" s="139"/>
    </row>
    <row r="535" spans="1:11" ht="12.75" x14ac:dyDescent="0.2">
      <c r="A535" s="151"/>
      <c r="B535" s="151"/>
      <c r="C535" s="148"/>
      <c r="D535" s="148" t="s">
        <v>33</v>
      </c>
      <c r="E535" s="165"/>
      <c r="F535" s="150"/>
      <c r="G535" s="147"/>
      <c r="H535" s="155">
        <f>SUM(H531:H534)</f>
        <v>16200</v>
      </c>
      <c r="I535" s="156">
        <f>SUM(I531:I534)</f>
        <v>0.99999999999999989</v>
      </c>
      <c r="J535" s="151"/>
      <c r="K535" s="139"/>
    </row>
    <row r="536" spans="1:11" ht="12.75" x14ac:dyDescent="0.2">
      <c r="A536" s="151"/>
      <c r="B536" s="151"/>
      <c r="C536" s="148"/>
      <c r="D536" s="147"/>
      <c r="E536" s="165"/>
      <c r="F536" s="150"/>
      <c r="G536" s="147"/>
      <c r="H536" s="147"/>
      <c r="I536" s="152"/>
      <c r="J536" s="151"/>
      <c r="K536" s="139"/>
    </row>
    <row r="537" spans="1:11" ht="12.75" x14ac:dyDescent="0.2">
      <c r="A537" s="148" t="s">
        <v>19</v>
      </c>
      <c r="B537" s="160">
        <v>222</v>
      </c>
      <c r="C537" s="148" t="s">
        <v>234</v>
      </c>
      <c r="D537" s="147" t="s">
        <v>123</v>
      </c>
      <c r="E537" s="204">
        <v>36039</v>
      </c>
      <c r="F537" s="150">
        <v>7886000</v>
      </c>
      <c r="G537" s="147">
        <v>55100</v>
      </c>
      <c r="H537" s="147"/>
      <c r="I537" s="152"/>
      <c r="J537" s="147"/>
      <c r="K537" s="139"/>
    </row>
    <row r="538" spans="1:11" ht="12.75" x14ac:dyDescent="0.2">
      <c r="A538" s="147"/>
      <c r="B538" s="147"/>
      <c r="C538" s="169"/>
      <c r="D538" s="149" t="s">
        <v>284</v>
      </c>
      <c r="E538" s="165"/>
      <c r="F538" s="150"/>
      <c r="G538" s="147"/>
      <c r="H538" s="147">
        <v>890</v>
      </c>
      <c r="I538" s="152">
        <f>H538/H542</f>
        <v>2.5924847072531315E-2</v>
      </c>
      <c r="J538" s="153"/>
      <c r="K538" s="139"/>
    </row>
    <row r="539" spans="1:11" ht="12.75" x14ac:dyDescent="0.2">
      <c r="A539" s="147"/>
      <c r="B539" s="147"/>
      <c r="C539" s="169"/>
      <c r="D539" s="149" t="s">
        <v>262</v>
      </c>
      <c r="E539" s="165"/>
      <c r="F539" s="150"/>
      <c r="G539" s="147"/>
      <c r="H539" s="147">
        <v>6100</v>
      </c>
      <c r="I539" s="152">
        <f>H539/H542</f>
        <v>0.17768715409263036</v>
      </c>
      <c r="J539" s="153" t="s">
        <v>262</v>
      </c>
      <c r="K539" s="139"/>
    </row>
    <row r="540" spans="1:11" ht="12.75" x14ac:dyDescent="0.2">
      <c r="A540" s="147"/>
      <c r="B540" s="147"/>
      <c r="C540" s="169"/>
      <c r="D540" s="149" t="s">
        <v>288</v>
      </c>
      <c r="E540" s="165"/>
      <c r="F540" s="150"/>
      <c r="G540" s="147"/>
      <c r="H540" s="147">
        <v>22815</v>
      </c>
      <c r="I540" s="152">
        <f>H540/H542</f>
        <v>0.66457908534809207</v>
      </c>
      <c r="J540" s="153" t="s">
        <v>288</v>
      </c>
      <c r="K540" s="139"/>
    </row>
    <row r="541" spans="1:11" ht="12.75" x14ac:dyDescent="0.2">
      <c r="A541" s="147"/>
      <c r="B541" s="147"/>
      <c r="C541" s="169"/>
      <c r="D541" s="149" t="s">
        <v>285</v>
      </c>
      <c r="E541" s="165"/>
      <c r="F541" s="150"/>
      <c r="G541" s="147"/>
      <c r="H541" s="147">
        <v>4525</v>
      </c>
      <c r="I541" s="152">
        <f>H541/H542</f>
        <v>0.13180891348674628</v>
      </c>
      <c r="J541" s="153"/>
      <c r="K541" s="139"/>
    </row>
    <row r="542" spans="1:11" ht="12.75" x14ac:dyDescent="0.2">
      <c r="A542" s="147"/>
      <c r="B542" s="147"/>
      <c r="C542" s="169"/>
      <c r="D542" s="148" t="s">
        <v>33</v>
      </c>
      <c r="E542" s="165"/>
      <c r="F542" s="150"/>
      <c r="G542" s="147"/>
      <c r="H542" s="155">
        <f>SUM(H538:H541)</f>
        <v>34330</v>
      </c>
      <c r="I542" s="156">
        <f>SUM(I538:I541)</f>
        <v>1</v>
      </c>
      <c r="J542" s="147"/>
      <c r="K542" s="139"/>
    </row>
    <row r="543" spans="1:11" ht="12.75" x14ac:dyDescent="0.2">
      <c r="A543" s="147"/>
      <c r="B543" s="147"/>
      <c r="C543" s="169"/>
      <c r="D543" s="148"/>
      <c r="E543" s="165"/>
      <c r="F543" s="150"/>
      <c r="G543" s="147"/>
      <c r="H543" s="147"/>
      <c r="I543" s="152"/>
      <c r="J543" s="147"/>
      <c r="K543" s="139"/>
    </row>
    <row r="544" spans="1:11" ht="12.75" x14ac:dyDescent="0.2">
      <c r="A544" s="148" t="s">
        <v>19</v>
      </c>
      <c r="B544" s="160">
        <v>204</v>
      </c>
      <c r="C544" s="148" t="s">
        <v>289</v>
      </c>
      <c r="D544" s="147" t="s">
        <v>124</v>
      </c>
      <c r="E544" s="204">
        <v>33573</v>
      </c>
      <c r="F544" s="150">
        <v>25245452</v>
      </c>
      <c r="G544" s="147">
        <v>248841</v>
      </c>
      <c r="H544" s="147"/>
      <c r="I544" s="152"/>
      <c r="J544" s="147"/>
      <c r="K544" s="139"/>
    </row>
    <row r="545" spans="1:11" ht="12.75" x14ac:dyDescent="0.2">
      <c r="A545" s="147"/>
      <c r="B545" s="147"/>
      <c r="C545" s="169"/>
      <c r="D545" s="149" t="s">
        <v>261</v>
      </c>
      <c r="E545" s="165"/>
      <c r="F545" s="150"/>
      <c r="G545" s="147"/>
      <c r="H545" s="147">
        <v>1320</v>
      </c>
      <c r="I545" s="152">
        <f>H545/H552</f>
        <v>9.1384896568912528E-3</v>
      </c>
      <c r="J545" s="153"/>
      <c r="K545" s="139"/>
    </row>
    <row r="546" spans="1:11" ht="12.75" x14ac:dyDescent="0.2">
      <c r="A546" s="147"/>
      <c r="B546" s="147"/>
      <c r="C546" s="169"/>
      <c r="D546" s="149" t="s">
        <v>238</v>
      </c>
      <c r="E546" s="165"/>
      <c r="F546" s="150"/>
      <c r="G546" s="147"/>
      <c r="H546" s="147">
        <v>12958</v>
      </c>
      <c r="I546" s="152">
        <f>H546/H552</f>
        <v>8.9709506798482455E-2</v>
      </c>
      <c r="J546" s="153"/>
      <c r="K546" s="139"/>
    </row>
    <row r="547" spans="1:11" ht="12.75" x14ac:dyDescent="0.2">
      <c r="A547" s="147"/>
      <c r="B547" s="147"/>
      <c r="C547" s="169"/>
      <c r="D547" s="149" t="s">
        <v>239</v>
      </c>
      <c r="E547" s="165"/>
      <c r="F547" s="150"/>
      <c r="G547" s="147"/>
      <c r="H547" s="147">
        <v>2124</v>
      </c>
      <c r="I547" s="152">
        <f>H547/H552</f>
        <v>1.4704660629725015E-2</v>
      </c>
      <c r="J547" s="147"/>
      <c r="K547" s="139"/>
    </row>
    <row r="548" spans="1:11" ht="12.75" x14ac:dyDescent="0.2">
      <c r="A548" s="147"/>
      <c r="B548" s="147"/>
      <c r="C548" s="169"/>
      <c r="D548" s="149" t="s">
        <v>284</v>
      </c>
      <c r="E548" s="165"/>
      <c r="F548" s="150"/>
      <c r="G548" s="147"/>
      <c r="H548" s="147">
        <v>3123</v>
      </c>
      <c r="I548" s="152">
        <f>H548/H552</f>
        <v>2.1620835756417711E-2</v>
      </c>
      <c r="J548" s="153"/>
      <c r="K548" s="139"/>
    </row>
    <row r="549" spans="1:11" ht="12.75" x14ac:dyDescent="0.2">
      <c r="A549" s="147"/>
      <c r="B549" s="147"/>
      <c r="C549" s="169"/>
      <c r="D549" s="149" t="s">
        <v>314</v>
      </c>
      <c r="E549" s="165"/>
      <c r="F549" s="150"/>
      <c r="G549" s="147"/>
      <c r="H549" s="147">
        <v>372</v>
      </c>
      <c r="I549" s="152">
        <f>H549/H552</f>
        <v>2.5753925396693527E-3</v>
      </c>
      <c r="J549" s="153"/>
      <c r="K549" s="139"/>
    </row>
    <row r="550" spans="1:11" ht="12.75" x14ac:dyDescent="0.2">
      <c r="A550" s="147"/>
      <c r="B550" s="147"/>
      <c r="C550" s="169"/>
      <c r="D550" s="149" t="s">
        <v>288</v>
      </c>
      <c r="E550" s="165"/>
      <c r="F550" s="150"/>
      <c r="G550" s="147"/>
      <c r="H550" s="147">
        <v>104701</v>
      </c>
      <c r="I550" s="152">
        <f>H550/H552</f>
        <v>0.72485530724709923</v>
      </c>
      <c r="J550" s="153" t="s">
        <v>288</v>
      </c>
      <c r="K550" s="139"/>
    </row>
    <row r="551" spans="1:11" ht="12.75" x14ac:dyDescent="0.2">
      <c r="A551" s="147"/>
      <c r="B551" s="147"/>
      <c r="C551" s="169"/>
      <c r="D551" s="149" t="s">
        <v>285</v>
      </c>
      <c r="E551" s="165"/>
      <c r="F551" s="150"/>
      <c r="G551" s="147"/>
      <c r="H551" s="147">
        <v>19846</v>
      </c>
      <c r="I551" s="152">
        <f>H551/H552</f>
        <v>0.137395807371715</v>
      </c>
      <c r="J551" s="153"/>
      <c r="K551" s="139"/>
    </row>
    <row r="552" spans="1:11" ht="12.75" x14ac:dyDescent="0.2">
      <c r="A552" s="147"/>
      <c r="B552" s="147"/>
      <c r="C552" s="169"/>
      <c r="D552" s="148" t="s">
        <v>33</v>
      </c>
      <c r="E552" s="165"/>
      <c r="F552" s="150"/>
      <c r="G552" s="147"/>
      <c r="H552" s="155">
        <f>SUM(H545:H551)</f>
        <v>144444</v>
      </c>
      <c r="I552" s="156">
        <f>SUM(I545:I551)</f>
        <v>1</v>
      </c>
      <c r="J552" s="147"/>
      <c r="K552" s="139"/>
    </row>
    <row r="553" spans="1:11" ht="12.75" x14ac:dyDescent="0.2">
      <c r="A553" s="148" t="s">
        <v>19</v>
      </c>
      <c r="B553" s="160">
        <v>204</v>
      </c>
      <c r="C553" s="148" t="s">
        <v>289</v>
      </c>
      <c r="D553" s="147" t="s">
        <v>125</v>
      </c>
      <c r="E553" s="204">
        <v>34455</v>
      </c>
      <c r="F553" s="150">
        <v>25989685</v>
      </c>
      <c r="G553" s="147">
        <v>243276</v>
      </c>
      <c r="H553" s="147"/>
      <c r="I553" s="152"/>
      <c r="J553" s="147"/>
      <c r="K553" s="139"/>
    </row>
    <row r="554" spans="1:11" ht="12.75" x14ac:dyDescent="0.2">
      <c r="A554" s="147"/>
      <c r="B554" s="147"/>
      <c r="C554" s="169"/>
      <c r="D554" s="149" t="s">
        <v>261</v>
      </c>
      <c r="E554" s="165"/>
      <c r="F554" s="150"/>
      <c r="G554" s="147"/>
      <c r="H554" s="147">
        <v>4914</v>
      </c>
      <c r="I554" s="152">
        <f>H554/H563</f>
        <v>3.4179592404535018E-2</v>
      </c>
      <c r="J554" s="153"/>
      <c r="K554" s="139"/>
    </row>
    <row r="555" spans="1:11" ht="12.75" x14ac:dyDescent="0.2">
      <c r="A555" s="147"/>
      <c r="B555" s="147"/>
      <c r="C555" s="169"/>
      <c r="D555" s="149" t="s">
        <v>238</v>
      </c>
      <c r="E555" s="165"/>
      <c r="F555" s="150"/>
      <c r="G555" s="147"/>
      <c r="H555" s="147">
        <v>5861</v>
      </c>
      <c r="I555" s="152">
        <f>H555/H563</f>
        <v>4.0766502051888434E-2</v>
      </c>
      <c r="J555" s="153"/>
      <c r="K555" s="139"/>
    </row>
    <row r="556" spans="1:11" ht="12.75" x14ac:dyDescent="0.2">
      <c r="A556" s="147"/>
      <c r="B556" s="147"/>
      <c r="C556" s="169"/>
      <c r="D556" s="149" t="s">
        <v>239</v>
      </c>
      <c r="E556" s="165"/>
      <c r="F556" s="150"/>
      <c r="G556" s="147"/>
      <c r="H556" s="147">
        <v>1591</v>
      </c>
      <c r="I556" s="152">
        <f>H556/H563</f>
        <v>1.1066286429714127E-2</v>
      </c>
      <c r="J556" s="153"/>
      <c r="K556" s="139"/>
    </row>
    <row r="557" spans="1:11" ht="12.75" x14ac:dyDescent="0.2">
      <c r="A557" s="147"/>
      <c r="B557" s="147"/>
      <c r="C557" s="169"/>
      <c r="D557" s="149" t="s">
        <v>284</v>
      </c>
      <c r="E557" s="165"/>
      <c r="F557" s="150"/>
      <c r="G557" s="147"/>
      <c r="H557" s="147">
        <v>195</v>
      </c>
      <c r="I557" s="152">
        <f>H557/H563</f>
        <v>1.3563330319259928E-3</v>
      </c>
      <c r="J557" s="153"/>
      <c r="K557" s="139"/>
    </row>
    <row r="558" spans="1:11" ht="12.75" x14ac:dyDescent="0.2">
      <c r="A558" s="147"/>
      <c r="B558" s="147"/>
      <c r="C558" s="169"/>
      <c r="D558" s="149" t="s">
        <v>262</v>
      </c>
      <c r="E558" s="165"/>
      <c r="F558" s="150"/>
      <c r="G558" s="147"/>
      <c r="H558" s="147">
        <v>710</v>
      </c>
      <c r="I558" s="152">
        <f>H558/H563</f>
        <v>4.9384433470125895E-3</v>
      </c>
      <c r="J558" s="153"/>
      <c r="K558" s="139"/>
    </row>
    <row r="559" spans="1:11" ht="12.75" x14ac:dyDescent="0.2">
      <c r="A559" s="147"/>
      <c r="B559" s="147"/>
      <c r="C559" s="169"/>
      <c r="D559" s="149" t="s">
        <v>314</v>
      </c>
      <c r="E559" s="165"/>
      <c r="F559" s="150"/>
      <c r="G559" s="147"/>
      <c r="H559" s="147">
        <v>5715</v>
      </c>
      <c r="I559" s="152">
        <f>H559/H563</f>
        <v>3.9750991166446405E-2</v>
      </c>
      <c r="J559" s="153"/>
      <c r="K559" s="139"/>
    </row>
    <row r="560" spans="1:11" ht="12.75" x14ac:dyDescent="0.2">
      <c r="A560" s="147"/>
      <c r="B560" s="147"/>
      <c r="C560" s="169"/>
      <c r="D560" s="149" t="s">
        <v>288</v>
      </c>
      <c r="E560" s="165"/>
      <c r="F560" s="150"/>
      <c r="G560" s="147"/>
      <c r="H560" s="147">
        <v>85982</v>
      </c>
      <c r="I560" s="152">
        <f>H560/H563</f>
        <v>0.59805244487723452</v>
      </c>
      <c r="J560" s="153" t="s">
        <v>288</v>
      </c>
      <c r="K560" s="139"/>
    </row>
    <row r="561" spans="1:11" ht="12.75" x14ac:dyDescent="0.2">
      <c r="A561" s="147"/>
      <c r="B561" s="147"/>
      <c r="C561" s="169"/>
      <c r="D561" s="154" t="s">
        <v>244</v>
      </c>
      <c r="E561" s="165"/>
      <c r="F561" s="150"/>
      <c r="G561" s="147"/>
      <c r="H561" s="147">
        <v>4764</v>
      </c>
      <c r="I561" s="152">
        <f>H561/H563</f>
        <v>3.3136259303053486E-2</v>
      </c>
      <c r="J561" s="153"/>
      <c r="K561" s="139"/>
    </row>
    <row r="562" spans="1:11" ht="12.75" x14ac:dyDescent="0.2">
      <c r="A562" s="147"/>
      <c r="B562" s="147"/>
      <c r="C562" s="169"/>
      <c r="D562" s="149" t="s">
        <v>285</v>
      </c>
      <c r="E562" s="165"/>
      <c r="F562" s="150"/>
      <c r="G562" s="147"/>
      <c r="H562" s="147">
        <v>34038</v>
      </c>
      <c r="I562" s="152">
        <f>H562/H563</f>
        <v>0.23675314738818948</v>
      </c>
      <c r="J562" s="153"/>
      <c r="K562" s="139"/>
    </row>
    <row r="563" spans="1:11" ht="12.75" x14ac:dyDescent="0.2">
      <c r="A563" s="147"/>
      <c r="B563" s="147"/>
      <c r="C563" s="169"/>
      <c r="D563" s="148" t="s">
        <v>33</v>
      </c>
      <c r="E563" s="165"/>
      <c r="F563" s="150"/>
      <c r="G563" s="147"/>
      <c r="H563" s="155">
        <f>SUM(H554:H562)</f>
        <v>143770</v>
      </c>
      <c r="I563" s="156">
        <f>SUM(I554:I562)</f>
        <v>1</v>
      </c>
      <c r="J563" s="147"/>
      <c r="K563" s="139"/>
    </row>
    <row r="564" spans="1:11" ht="12.75" x14ac:dyDescent="0.2">
      <c r="A564" s="147"/>
      <c r="B564" s="147"/>
      <c r="C564" s="169"/>
      <c r="D564" s="148"/>
      <c r="E564" s="165"/>
      <c r="F564" s="150"/>
      <c r="G564" s="147"/>
      <c r="H564" s="147"/>
      <c r="I564" s="152"/>
      <c r="J564" s="147"/>
      <c r="K564" s="139"/>
    </row>
    <row r="565" spans="1:11" ht="12.75" x14ac:dyDescent="0.2">
      <c r="A565" s="148" t="s">
        <v>19</v>
      </c>
      <c r="B565" s="160">
        <v>244</v>
      </c>
      <c r="C565" s="148" t="s">
        <v>289</v>
      </c>
      <c r="D565" s="147" t="s">
        <v>421</v>
      </c>
      <c r="E565" s="204">
        <v>36800</v>
      </c>
      <c r="F565" s="150">
        <v>3523425</v>
      </c>
      <c r="G565" s="147">
        <v>24765</v>
      </c>
      <c r="H565" s="147"/>
      <c r="I565" s="152"/>
      <c r="J565" s="147"/>
      <c r="K565" s="139"/>
    </row>
    <row r="566" spans="1:11" ht="12.75" x14ac:dyDescent="0.2">
      <c r="A566" s="147"/>
      <c r="B566" s="147"/>
      <c r="C566" s="169"/>
      <c r="D566" s="149" t="s">
        <v>290</v>
      </c>
      <c r="E566" s="165"/>
      <c r="F566" s="150"/>
      <c r="G566" s="147"/>
      <c r="H566" s="147">
        <v>4940</v>
      </c>
      <c r="I566" s="152">
        <f>H566/H569</f>
        <v>0.26466648807929277</v>
      </c>
      <c r="J566" s="153"/>
      <c r="K566" s="139"/>
    </row>
    <row r="567" spans="1:11" ht="12.75" x14ac:dyDescent="0.2">
      <c r="A567" s="147"/>
      <c r="B567" s="147"/>
      <c r="C567" s="169"/>
      <c r="D567" s="149" t="s">
        <v>288</v>
      </c>
      <c r="E567" s="165"/>
      <c r="F567" s="150"/>
      <c r="G567" s="147"/>
      <c r="H567" s="147">
        <v>2360</v>
      </c>
      <c r="I567" s="152">
        <f>H567/H569</f>
        <v>0.12643986070184837</v>
      </c>
      <c r="J567" s="153"/>
      <c r="K567" s="139"/>
    </row>
    <row r="568" spans="1:11" ht="12.75" x14ac:dyDescent="0.2">
      <c r="A568" s="147"/>
      <c r="B568" s="147"/>
      <c r="C568" s="169"/>
      <c r="D568" s="149" t="s">
        <v>285</v>
      </c>
      <c r="E568" s="165"/>
      <c r="F568" s="150"/>
      <c r="G568" s="147"/>
      <c r="H568" s="147">
        <v>11365</v>
      </c>
      <c r="I568" s="152">
        <f>H568/H569</f>
        <v>0.60889365121885886</v>
      </c>
      <c r="J568" s="153" t="s">
        <v>285</v>
      </c>
      <c r="K568" s="139"/>
    </row>
    <row r="569" spans="1:11" ht="12.75" x14ac:dyDescent="0.2">
      <c r="A569" s="147"/>
      <c r="B569" s="147"/>
      <c r="C569" s="169"/>
      <c r="D569" s="148" t="s">
        <v>33</v>
      </c>
      <c r="E569" s="165"/>
      <c r="F569" s="150"/>
      <c r="G569" s="147"/>
      <c r="H569" s="155">
        <f>SUM(H566:H568)</f>
        <v>18665</v>
      </c>
      <c r="I569" s="156">
        <f>SUM(I566:I568)</f>
        <v>1</v>
      </c>
      <c r="J569" s="147"/>
      <c r="K569" s="139"/>
    </row>
    <row r="570" spans="1:11" ht="12.75" x14ac:dyDescent="0.2">
      <c r="A570" s="147"/>
      <c r="B570" s="147"/>
      <c r="C570" s="169"/>
      <c r="D570" s="148"/>
      <c r="E570" s="165"/>
      <c r="F570" s="150"/>
      <c r="G570" s="147"/>
      <c r="H570" s="147"/>
      <c r="I570" s="152"/>
      <c r="J570" s="147"/>
      <c r="K570" s="139"/>
    </row>
    <row r="571" spans="1:11" ht="12.75" x14ac:dyDescent="0.2">
      <c r="A571" s="148" t="s">
        <v>19</v>
      </c>
      <c r="B571" s="160">
        <v>201</v>
      </c>
      <c r="C571" s="148" t="s">
        <v>289</v>
      </c>
      <c r="D571" s="147" t="s">
        <v>453</v>
      </c>
      <c r="E571" s="204">
        <v>37490</v>
      </c>
      <c r="F571" s="150">
        <v>6619544</v>
      </c>
      <c r="G571" s="147">
        <v>44862</v>
      </c>
      <c r="H571" s="147"/>
      <c r="I571" s="152"/>
      <c r="J571" s="147"/>
      <c r="K571" s="139"/>
    </row>
    <row r="572" spans="1:11" ht="12.75" x14ac:dyDescent="0.2">
      <c r="A572" s="147"/>
      <c r="B572" s="147"/>
      <c r="C572" s="169"/>
      <c r="D572" s="149" t="s">
        <v>262</v>
      </c>
      <c r="E572" s="165"/>
      <c r="F572" s="150"/>
      <c r="G572" s="147"/>
      <c r="H572" s="147">
        <v>4000</v>
      </c>
      <c r="I572" s="152">
        <f>H572/H577</f>
        <v>0.15866719555731854</v>
      </c>
      <c r="J572" s="153"/>
      <c r="K572" s="139"/>
    </row>
    <row r="573" spans="1:11" ht="12.75" x14ac:dyDescent="0.2">
      <c r="A573" s="147"/>
      <c r="B573" s="147"/>
      <c r="C573" s="169"/>
      <c r="D573" s="149" t="s">
        <v>293</v>
      </c>
      <c r="E573" s="165"/>
      <c r="F573" s="150"/>
      <c r="G573" s="147"/>
      <c r="H573" s="147">
        <v>1500</v>
      </c>
      <c r="I573" s="152">
        <f>H573/H577</f>
        <v>5.9500198333994447E-2</v>
      </c>
      <c r="J573" s="153"/>
      <c r="K573" s="139"/>
    </row>
    <row r="574" spans="1:11" ht="12.75" x14ac:dyDescent="0.2">
      <c r="A574" s="147"/>
      <c r="B574" s="147"/>
      <c r="C574" s="169"/>
      <c r="D574" s="149" t="s">
        <v>288</v>
      </c>
      <c r="E574" s="165"/>
      <c r="F574" s="150"/>
      <c r="G574" s="147"/>
      <c r="H574" s="147">
        <v>10870</v>
      </c>
      <c r="I574" s="152">
        <f>H574/H577</f>
        <v>0.43117810392701311</v>
      </c>
      <c r="J574" s="153" t="s">
        <v>288</v>
      </c>
      <c r="K574" s="139"/>
    </row>
    <row r="575" spans="1:11" ht="12.75" x14ac:dyDescent="0.2">
      <c r="A575" s="147"/>
      <c r="B575" s="147"/>
      <c r="C575" s="169"/>
      <c r="D575" s="154" t="s">
        <v>244</v>
      </c>
      <c r="E575" s="165"/>
      <c r="F575" s="150"/>
      <c r="G575" s="147"/>
      <c r="H575" s="147">
        <v>4490</v>
      </c>
      <c r="I575" s="152">
        <f>H575/H577</f>
        <v>0.17810392701309005</v>
      </c>
      <c r="J575" s="153"/>
      <c r="K575" s="139"/>
    </row>
    <row r="576" spans="1:11" ht="12.75" x14ac:dyDescent="0.2">
      <c r="A576" s="147"/>
      <c r="B576" s="147"/>
      <c r="C576" s="169"/>
      <c r="D576" s="149" t="s">
        <v>285</v>
      </c>
      <c r="E576" s="165"/>
      <c r="F576" s="150"/>
      <c r="G576" s="147"/>
      <c r="H576" s="147">
        <v>4350</v>
      </c>
      <c r="I576" s="152">
        <f>H576/H577</f>
        <v>0.17255057516858391</v>
      </c>
      <c r="J576" s="153"/>
      <c r="K576" s="139"/>
    </row>
    <row r="577" spans="1:11" ht="12.75" x14ac:dyDescent="0.2">
      <c r="A577" s="147"/>
      <c r="B577" s="147"/>
      <c r="C577" s="169"/>
      <c r="D577" s="148" t="s">
        <v>33</v>
      </c>
      <c r="E577" s="165"/>
      <c r="F577" s="150"/>
      <c r="G577" s="147"/>
      <c r="H577" s="155">
        <f>SUM(H572:H576)</f>
        <v>25210</v>
      </c>
      <c r="I577" s="156">
        <f>SUM(I572:I576)</f>
        <v>1</v>
      </c>
      <c r="J577" s="147"/>
      <c r="K577" s="139"/>
    </row>
    <row r="578" spans="1:11" ht="12.75" x14ac:dyDescent="0.2">
      <c r="A578" s="147"/>
      <c r="B578" s="147"/>
      <c r="C578" s="169"/>
      <c r="D578" s="148"/>
      <c r="E578" s="165"/>
      <c r="F578" s="150"/>
      <c r="G578" s="147"/>
      <c r="H578" s="147"/>
      <c r="I578" s="152"/>
      <c r="J578" s="147"/>
      <c r="K578" s="139"/>
    </row>
    <row r="579" spans="1:11" ht="12.75" x14ac:dyDescent="0.2">
      <c r="A579" s="148" t="s">
        <v>19</v>
      </c>
      <c r="B579" s="160">
        <v>237</v>
      </c>
      <c r="C579" s="148" t="s">
        <v>289</v>
      </c>
      <c r="D579" s="147" t="s">
        <v>28</v>
      </c>
      <c r="E579" s="204">
        <v>37348</v>
      </c>
      <c r="F579" s="150">
        <v>20551024</v>
      </c>
      <c r="G579" s="147">
        <v>158553</v>
      </c>
      <c r="H579" s="147"/>
      <c r="I579" s="152"/>
      <c r="J579" s="147"/>
      <c r="K579" s="139"/>
    </row>
    <row r="580" spans="1:11" ht="12.75" x14ac:dyDescent="0.2">
      <c r="A580" s="147"/>
      <c r="B580" s="147"/>
      <c r="C580" s="169"/>
      <c r="D580" s="149" t="s">
        <v>261</v>
      </c>
      <c r="E580" s="165"/>
      <c r="F580" s="150"/>
      <c r="G580" s="147"/>
      <c r="H580" s="147">
        <v>7830</v>
      </c>
      <c r="I580" s="152">
        <f>H580/H587</f>
        <v>6.0996985206478303E-2</v>
      </c>
      <c r="J580" s="153"/>
      <c r="K580" s="139"/>
    </row>
    <row r="581" spans="1:11" ht="12.75" x14ac:dyDescent="0.2">
      <c r="A581" s="147"/>
      <c r="B581" s="147"/>
      <c r="C581" s="169"/>
      <c r="D581" s="149" t="s">
        <v>238</v>
      </c>
      <c r="E581" s="165"/>
      <c r="F581" s="150"/>
      <c r="G581" s="147"/>
      <c r="H581" s="147">
        <v>29249</v>
      </c>
      <c r="I581" s="152">
        <f>H581/H587</f>
        <v>0.22785451089454456</v>
      </c>
      <c r="J581" s="153" t="s">
        <v>238</v>
      </c>
      <c r="K581" s="139"/>
    </row>
    <row r="582" spans="1:11" ht="12.75" x14ac:dyDescent="0.2">
      <c r="A582" s="147"/>
      <c r="B582" s="147"/>
      <c r="C582" s="169"/>
      <c r="D582" s="149" t="s">
        <v>284</v>
      </c>
      <c r="E582" s="165"/>
      <c r="F582" s="150"/>
      <c r="G582" s="147"/>
      <c r="H582" s="147">
        <v>1460</v>
      </c>
      <c r="I582" s="152">
        <f>H582/H587</f>
        <v>1.1373639642587269E-2</v>
      </c>
      <c r="J582" s="153"/>
      <c r="K582" s="139"/>
    </row>
    <row r="583" spans="1:11" ht="12.75" x14ac:dyDescent="0.2">
      <c r="A583" s="147"/>
      <c r="B583" s="147"/>
      <c r="C583" s="169"/>
      <c r="D583" s="149" t="s">
        <v>314</v>
      </c>
      <c r="E583" s="165"/>
      <c r="F583" s="150"/>
      <c r="G583" s="147"/>
      <c r="H583" s="147">
        <v>20672</v>
      </c>
      <c r="I583" s="152">
        <f>H583/H587</f>
        <v>0.16103827307641372</v>
      </c>
      <c r="J583" s="153"/>
      <c r="K583" s="139"/>
    </row>
    <row r="584" spans="1:11" ht="12.75" x14ac:dyDescent="0.2">
      <c r="A584" s="147"/>
      <c r="B584" s="147"/>
      <c r="C584" s="169"/>
      <c r="D584" s="149" t="s">
        <v>288</v>
      </c>
      <c r="E584" s="165"/>
      <c r="F584" s="150"/>
      <c r="G584" s="147"/>
      <c r="H584" s="147">
        <v>47142</v>
      </c>
      <c r="I584" s="152">
        <f>H584/H587</f>
        <v>0.36724391782934868</v>
      </c>
      <c r="J584" s="153" t="s">
        <v>288</v>
      </c>
      <c r="K584" s="139"/>
    </row>
    <row r="585" spans="1:11" ht="12.75" x14ac:dyDescent="0.2">
      <c r="A585" s="147"/>
      <c r="B585" s="147"/>
      <c r="C585" s="169"/>
      <c r="D585" s="154" t="s">
        <v>244</v>
      </c>
      <c r="E585" s="165"/>
      <c r="F585" s="150"/>
      <c r="G585" s="147"/>
      <c r="H585" s="147">
        <v>4070</v>
      </c>
      <c r="I585" s="152">
        <f>H585/H587</f>
        <v>3.17059680447467E-2</v>
      </c>
      <c r="J585" s="153"/>
      <c r="K585" s="139"/>
    </row>
    <row r="586" spans="1:11" ht="12.75" x14ac:dyDescent="0.2">
      <c r="A586" s="147"/>
      <c r="B586" s="147"/>
      <c r="C586" s="169"/>
      <c r="D586" s="149" t="s">
        <v>285</v>
      </c>
      <c r="E586" s="165"/>
      <c r="F586" s="150"/>
      <c r="G586" s="147"/>
      <c r="H586" s="147">
        <v>17944</v>
      </c>
      <c r="I586" s="152">
        <f>H586/H587</f>
        <v>0.1397867053058808</v>
      </c>
      <c r="J586" s="153"/>
      <c r="K586" s="139"/>
    </row>
    <row r="587" spans="1:11" ht="12.75" x14ac:dyDescent="0.2">
      <c r="A587" s="147"/>
      <c r="B587" s="147"/>
      <c r="C587" s="169"/>
      <c r="D587" s="148" t="s">
        <v>33</v>
      </c>
      <c r="E587" s="165"/>
      <c r="F587" s="150"/>
      <c r="G587" s="147"/>
      <c r="H587" s="155">
        <f>SUM(H580:H586)</f>
        <v>128367</v>
      </c>
      <c r="I587" s="156">
        <f>SUM(I580:I586)</f>
        <v>1</v>
      </c>
      <c r="J587" s="147"/>
      <c r="K587" s="139"/>
    </row>
    <row r="588" spans="1:11" ht="12.75" x14ac:dyDescent="0.2">
      <c r="A588" s="147"/>
      <c r="B588" s="147"/>
      <c r="C588" s="169"/>
      <c r="D588" s="148"/>
      <c r="E588" s="165"/>
      <c r="F588" s="150"/>
      <c r="G588" s="147"/>
      <c r="H588" s="147"/>
      <c r="I588" s="152"/>
      <c r="J588" s="147"/>
      <c r="K588" s="139"/>
    </row>
    <row r="589" spans="1:11" ht="12.75" x14ac:dyDescent="0.2">
      <c r="A589" s="148" t="s">
        <v>19</v>
      </c>
      <c r="B589" s="148">
        <v>299</v>
      </c>
      <c r="C589" s="148" t="s">
        <v>289</v>
      </c>
      <c r="D589" s="149" t="s">
        <v>454</v>
      </c>
      <c r="E589" s="165">
        <v>37683</v>
      </c>
      <c r="F589" s="150">
        <v>6508400</v>
      </c>
      <c r="G589" s="147">
        <v>31200</v>
      </c>
      <c r="H589" s="147"/>
      <c r="I589" s="152"/>
      <c r="J589" s="151"/>
      <c r="K589" s="139"/>
    </row>
    <row r="590" spans="1:11" ht="12.75" x14ac:dyDescent="0.2">
      <c r="A590" s="148"/>
      <c r="B590" s="148"/>
      <c r="C590" s="148"/>
      <c r="D590" s="149" t="s">
        <v>261</v>
      </c>
      <c r="E590" s="165"/>
      <c r="F590" s="150"/>
      <c r="G590" s="147"/>
      <c r="H590" s="147">
        <v>2800</v>
      </c>
      <c r="I590" s="152">
        <f>H590/$H$595</f>
        <v>0.12389380530973451</v>
      </c>
      <c r="J590" s="151"/>
      <c r="K590" s="139"/>
    </row>
    <row r="591" spans="1:11" ht="12.75" x14ac:dyDescent="0.2">
      <c r="A591" s="148"/>
      <c r="B591" s="148"/>
      <c r="C591" s="148"/>
      <c r="D591" s="149" t="s">
        <v>284</v>
      </c>
      <c r="E591" s="165"/>
      <c r="F591" s="150"/>
      <c r="G591" s="147"/>
      <c r="H591" s="147">
        <v>14400</v>
      </c>
      <c r="I591" s="152">
        <f>H591/$H$595</f>
        <v>0.63716814159292035</v>
      </c>
      <c r="J591" s="153" t="s">
        <v>284</v>
      </c>
      <c r="K591" s="139"/>
    </row>
    <row r="592" spans="1:11" ht="12.75" x14ac:dyDescent="0.2">
      <c r="A592" s="148"/>
      <c r="B592" s="148"/>
      <c r="C592" s="148"/>
      <c r="D592" s="149" t="s">
        <v>242</v>
      </c>
      <c r="E592" s="165"/>
      <c r="F592" s="150"/>
      <c r="G592" s="147"/>
      <c r="H592" s="147">
        <v>300</v>
      </c>
      <c r="I592" s="152">
        <f>H592/$H$595</f>
        <v>1.3274336283185841E-2</v>
      </c>
      <c r="J592" s="151"/>
      <c r="K592" s="139"/>
    </row>
    <row r="593" spans="1:11" ht="12.75" x14ac:dyDescent="0.2">
      <c r="A593" s="148"/>
      <c r="B593" s="148"/>
      <c r="C593" s="148"/>
      <c r="D593" s="149" t="s">
        <v>288</v>
      </c>
      <c r="E593" s="165"/>
      <c r="F593" s="150"/>
      <c r="G593" s="147"/>
      <c r="H593" s="147">
        <v>3100</v>
      </c>
      <c r="I593" s="152">
        <f>H593/$H$595</f>
        <v>0.13716814159292035</v>
      </c>
      <c r="J593" s="151"/>
      <c r="K593" s="139"/>
    </row>
    <row r="594" spans="1:11" ht="12.75" x14ac:dyDescent="0.2">
      <c r="A594" s="151"/>
      <c r="B594" s="151"/>
      <c r="C594" s="148"/>
      <c r="D594" s="149" t="s">
        <v>285</v>
      </c>
      <c r="E594" s="165"/>
      <c r="F594" s="150"/>
      <c r="G594" s="147"/>
      <c r="H594" s="147">
        <v>2000</v>
      </c>
      <c r="I594" s="152">
        <f>H594/$H$595</f>
        <v>8.8495575221238937E-2</v>
      </c>
      <c r="J594" s="153"/>
      <c r="K594" s="139"/>
    </row>
    <row r="595" spans="1:11" ht="12.75" x14ac:dyDescent="0.2">
      <c r="A595" s="151"/>
      <c r="B595" s="151"/>
      <c r="C595" s="148"/>
      <c r="D595" s="148" t="s">
        <v>33</v>
      </c>
      <c r="E595" s="165"/>
      <c r="F595" s="150"/>
      <c r="G595" s="147"/>
      <c r="H595" s="155">
        <f>SUM(H590:H594)</f>
        <v>22600</v>
      </c>
      <c r="I595" s="156">
        <f>SUM(I590:I594)</f>
        <v>1</v>
      </c>
      <c r="J595" s="151"/>
      <c r="K595" s="139"/>
    </row>
    <row r="596" spans="1:11" ht="12.75" x14ac:dyDescent="0.2">
      <c r="A596" s="151"/>
      <c r="B596" s="151"/>
      <c r="C596" s="148"/>
      <c r="D596" s="148"/>
      <c r="E596" s="165"/>
      <c r="F596" s="150"/>
      <c r="G596" s="147"/>
      <c r="H596" s="147"/>
      <c r="I596" s="152"/>
      <c r="J596" s="151"/>
      <c r="K596" s="139"/>
    </row>
    <row r="597" spans="1:11" ht="12.75" x14ac:dyDescent="0.2">
      <c r="A597" s="148" t="s">
        <v>19</v>
      </c>
      <c r="B597" s="160">
        <v>216</v>
      </c>
      <c r="C597" s="148" t="s">
        <v>289</v>
      </c>
      <c r="D597" s="147" t="s">
        <v>467</v>
      </c>
      <c r="E597" s="165">
        <v>37744</v>
      </c>
      <c r="F597" s="150">
        <v>52735328</v>
      </c>
      <c r="G597" s="147">
        <v>299092</v>
      </c>
      <c r="H597" s="147"/>
      <c r="I597" s="152"/>
      <c r="J597" s="147"/>
      <c r="K597" s="139"/>
    </row>
    <row r="598" spans="1:11" ht="12.75" x14ac:dyDescent="0.2">
      <c r="A598" s="147"/>
      <c r="B598" s="147"/>
      <c r="C598" s="169"/>
      <c r="D598" s="149" t="s">
        <v>261</v>
      </c>
      <c r="E598" s="165"/>
      <c r="F598" s="150"/>
      <c r="G598" s="147"/>
      <c r="H598" s="147">
        <v>10000</v>
      </c>
      <c r="I598" s="152">
        <f>H598/$H$607</f>
        <v>5.2175183395769639E-2</v>
      </c>
      <c r="J598" s="153"/>
      <c r="K598" s="139"/>
    </row>
    <row r="599" spans="1:11" ht="12.75" x14ac:dyDescent="0.2">
      <c r="A599" s="147"/>
      <c r="B599" s="147"/>
      <c r="C599" s="169"/>
      <c r="D599" s="149" t="s">
        <v>238</v>
      </c>
      <c r="E599" s="165"/>
      <c r="F599" s="150"/>
      <c r="G599" s="147"/>
      <c r="H599" s="147">
        <v>10000</v>
      </c>
      <c r="I599" s="152">
        <f t="shared" ref="I599:I606" si="8">H599/$H$607</f>
        <v>5.2175183395769639E-2</v>
      </c>
      <c r="J599" s="153"/>
      <c r="K599" s="139"/>
    </row>
    <row r="600" spans="1:11" ht="12.75" x14ac:dyDescent="0.2">
      <c r="A600" s="147"/>
      <c r="B600" s="147"/>
      <c r="C600" s="169"/>
      <c r="D600" s="149" t="s">
        <v>239</v>
      </c>
      <c r="E600" s="165"/>
      <c r="F600" s="150"/>
      <c r="G600" s="147"/>
      <c r="H600" s="147">
        <v>63000</v>
      </c>
      <c r="I600" s="152">
        <f t="shared" si="8"/>
        <v>0.32870365539334873</v>
      </c>
      <c r="J600" s="153" t="s">
        <v>239</v>
      </c>
      <c r="K600" s="139"/>
    </row>
    <row r="601" spans="1:11" ht="12.75" x14ac:dyDescent="0.2">
      <c r="A601" s="147"/>
      <c r="B601" s="147"/>
      <c r="C601" s="169"/>
      <c r="D601" s="149" t="s">
        <v>284</v>
      </c>
      <c r="E601" s="165"/>
      <c r="F601" s="150"/>
      <c r="G601" s="147"/>
      <c r="H601" s="147">
        <v>20000</v>
      </c>
      <c r="I601" s="152">
        <f t="shared" si="8"/>
        <v>0.10435036679153928</v>
      </c>
      <c r="J601" s="153"/>
      <c r="K601" s="139"/>
    </row>
    <row r="602" spans="1:11" ht="12.75" x14ac:dyDescent="0.2">
      <c r="A602" s="147"/>
      <c r="B602" s="147"/>
      <c r="C602" s="169"/>
      <c r="D602" s="149" t="s">
        <v>242</v>
      </c>
      <c r="E602" s="165"/>
      <c r="F602" s="150"/>
      <c r="G602" s="147"/>
      <c r="H602" s="147">
        <v>32000</v>
      </c>
      <c r="I602" s="152">
        <f t="shared" si="8"/>
        <v>0.16696058686646284</v>
      </c>
      <c r="J602" s="153"/>
      <c r="K602" s="139"/>
    </row>
    <row r="603" spans="1:11" ht="12.75" x14ac:dyDescent="0.2">
      <c r="A603" s="147"/>
      <c r="B603" s="147"/>
      <c r="C603" s="169"/>
      <c r="D603" s="149" t="s">
        <v>468</v>
      </c>
      <c r="E603" s="165"/>
      <c r="F603" s="150"/>
      <c r="G603" s="147"/>
      <c r="H603" s="147">
        <v>15419</v>
      </c>
      <c r="I603" s="152">
        <f t="shared" si="8"/>
        <v>8.0448915277937197E-2</v>
      </c>
      <c r="J603" s="153"/>
      <c r="K603" s="139"/>
    </row>
    <row r="604" spans="1:11" ht="12.75" x14ac:dyDescent="0.2">
      <c r="A604" s="147"/>
      <c r="B604" s="147"/>
      <c r="C604" s="169"/>
      <c r="D604" s="149" t="s">
        <v>288</v>
      </c>
      <c r="E604" s="165"/>
      <c r="F604" s="150"/>
      <c r="G604" s="147"/>
      <c r="H604" s="147">
        <v>38890</v>
      </c>
      <c r="I604" s="152">
        <f t="shared" si="8"/>
        <v>0.20290928822614812</v>
      </c>
      <c r="J604" s="153" t="s">
        <v>288</v>
      </c>
      <c r="K604" s="139"/>
    </row>
    <row r="605" spans="1:11" ht="12.75" x14ac:dyDescent="0.2">
      <c r="A605" s="147"/>
      <c r="B605" s="147"/>
      <c r="C605" s="169"/>
      <c r="D605" s="154" t="s">
        <v>244</v>
      </c>
      <c r="E605" s="165"/>
      <c r="F605" s="150"/>
      <c r="G605" s="147"/>
      <c r="H605" s="147">
        <v>353</v>
      </c>
      <c r="I605" s="152">
        <f t="shared" si="8"/>
        <v>1.8417839738706682E-3</v>
      </c>
      <c r="J605" s="153"/>
      <c r="K605" s="139"/>
    </row>
    <row r="606" spans="1:11" ht="12.75" x14ac:dyDescent="0.2">
      <c r="A606" s="147"/>
      <c r="B606" s="147"/>
      <c r="C606" s="169"/>
      <c r="D606" s="149" t="s">
        <v>285</v>
      </c>
      <c r="E606" s="165"/>
      <c r="F606" s="150"/>
      <c r="G606" s="147"/>
      <c r="H606" s="147">
        <v>2000</v>
      </c>
      <c r="I606" s="152">
        <f t="shared" si="8"/>
        <v>1.0435036679153928E-2</v>
      </c>
      <c r="J606" s="153"/>
      <c r="K606" s="139"/>
    </row>
    <row r="607" spans="1:11" ht="12.75" x14ac:dyDescent="0.2">
      <c r="A607" s="147"/>
      <c r="B607" s="147"/>
      <c r="C607" s="169"/>
      <c r="D607" s="148" t="s">
        <v>33</v>
      </c>
      <c r="E607" s="165"/>
      <c r="F607" s="150"/>
      <c r="G607" s="147"/>
      <c r="H607" s="155">
        <f>SUM(H598:H606)</f>
        <v>191662</v>
      </c>
      <c r="I607" s="156">
        <f>SUM(I598:I606)</f>
        <v>1</v>
      </c>
      <c r="J607" s="147"/>
      <c r="K607" s="139"/>
    </row>
    <row r="608" spans="1:11" ht="12.75" x14ac:dyDescent="0.2">
      <c r="A608" s="151"/>
      <c r="B608" s="151"/>
      <c r="C608" s="148"/>
      <c r="D608" s="148"/>
      <c r="E608" s="165"/>
      <c r="F608" s="150"/>
      <c r="G608" s="147"/>
      <c r="H608" s="147"/>
      <c r="I608" s="152"/>
      <c r="J608" s="151"/>
      <c r="K608" s="139"/>
    </row>
    <row r="609" spans="1:11" ht="12.75" x14ac:dyDescent="0.2">
      <c r="A609" s="148" t="s">
        <v>19</v>
      </c>
      <c r="B609" s="148">
        <v>217</v>
      </c>
      <c r="C609" s="148" t="s">
        <v>289</v>
      </c>
      <c r="D609" s="149" t="s">
        <v>469</v>
      </c>
      <c r="E609" s="204">
        <v>37778</v>
      </c>
      <c r="F609" s="150">
        <v>4804136</v>
      </c>
      <c r="G609" s="147">
        <v>18922</v>
      </c>
      <c r="H609" s="147"/>
      <c r="I609" s="152"/>
      <c r="J609" s="151"/>
      <c r="K609" s="139"/>
    </row>
    <row r="610" spans="1:11" ht="12.75" x14ac:dyDescent="0.2">
      <c r="A610" s="151"/>
      <c r="B610" s="151"/>
      <c r="C610" s="148"/>
      <c r="D610" s="149" t="s">
        <v>242</v>
      </c>
      <c r="E610" s="165"/>
      <c r="F610" s="150"/>
      <c r="G610" s="147"/>
      <c r="H610" s="147">
        <v>6200</v>
      </c>
      <c r="I610" s="152">
        <f>ROUND(H610/$H$612,4)</f>
        <v>0.47110000000000002</v>
      </c>
      <c r="J610" s="153" t="s">
        <v>242</v>
      </c>
      <c r="K610" s="139"/>
    </row>
    <row r="611" spans="1:11" ht="12.75" x14ac:dyDescent="0.2">
      <c r="A611" s="151"/>
      <c r="B611" s="151"/>
      <c r="C611" s="148"/>
      <c r="D611" s="149" t="s">
        <v>288</v>
      </c>
      <c r="E611" s="165"/>
      <c r="F611" s="150"/>
      <c r="G611" s="147"/>
      <c r="H611" s="147">
        <v>6960</v>
      </c>
      <c r="I611" s="152">
        <f>ROUND(H611/$H$612,4)</f>
        <v>0.52890000000000004</v>
      </c>
      <c r="J611" s="153" t="s">
        <v>288</v>
      </c>
      <c r="K611" s="139"/>
    </row>
    <row r="612" spans="1:11" ht="12.75" x14ac:dyDescent="0.2">
      <c r="A612" s="151"/>
      <c r="B612" s="151"/>
      <c r="C612" s="148"/>
      <c r="D612" s="148" t="s">
        <v>33</v>
      </c>
      <c r="E612" s="165"/>
      <c r="F612" s="150"/>
      <c r="G612" s="147"/>
      <c r="H612" s="155">
        <f>SUM(H610:H611)</f>
        <v>13160</v>
      </c>
      <c r="I612" s="156">
        <f>SUM(I610:I611)</f>
        <v>1</v>
      </c>
      <c r="J612" s="151"/>
      <c r="K612" s="139"/>
    </row>
    <row r="613" spans="1:11" ht="12.75" x14ac:dyDescent="0.2">
      <c r="A613" s="151"/>
      <c r="B613" s="151"/>
      <c r="C613" s="148"/>
      <c r="D613" s="148"/>
      <c r="E613" s="165"/>
      <c r="F613" s="150"/>
      <c r="G613" s="147"/>
      <c r="H613" s="147"/>
      <c r="I613" s="152"/>
      <c r="J613" s="151"/>
      <c r="K613" s="139"/>
    </row>
    <row r="614" spans="1:11" ht="12.75" x14ac:dyDescent="0.2">
      <c r="A614" s="148" t="s">
        <v>19</v>
      </c>
      <c r="B614" s="160">
        <v>207</v>
      </c>
      <c r="C614" s="148" t="s">
        <v>289</v>
      </c>
      <c r="D614" s="147" t="s">
        <v>484</v>
      </c>
      <c r="E614" s="165">
        <v>38261</v>
      </c>
      <c r="F614" s="150">
        <v>39566774</v>
      </c>
      <c r="G614" s="147">
        <v>184678</v>
      </c>
      <c r="H614" s="147"/>
      <c r="I614" s="152"/>
      <c r="J614" s="147"/>
      <c r="K614" s="139"/>
    </row>
    <row r="615" spans="1:11" ht="12.75" x14ac:dyDescent="0.2">
      <c r="A615" s="147"/>
      <c r="B615" s="147"/>
      <c r="C615" s="169"/>
      <c r="D615" s="149" t="s">
        <v>261</v>
      </c>
      <c r="E615" s="165"/>
      <c r="F615" s="150"/>
      <c r="G615" s="147"/>
      <c r="H615" s="147">
        <v>6260</v>
      </c>
      <c r="I615" s="152">
        <f>H615/$H$622</f>
        <v>6.3623058785267098E-2</v>
      </c>
      <c r="J615" s="153"/>
      <c r="K615" s="139"/>
    </row>
    <row r="616" spans="1:11" ht="12.75" x14ac:dyDescent="0.2">
      <c r="A616" s="147"/>
      <c r="B616" s="147"/>
      <c r="C616" s="169"/>
      <c r="D616" s="149" t="s">
        <v>238</v>
      </c>
      <c r="E616" s="165"/>
      <c r="F616" s="150"/>
      <c r="G616" s="147"/>
      <c r="H616" s="147">
        <v>11720</v>
      </c>
      <c r="I616" s="152">
        <f t="shared" ref="I616:I621" si="9">H616/$H$622</f>
        <v>0.11911537523375884</v>
      </c>
      <c r="J616" s="153"/>
      <c r="K616" s="139"/>
    </row>
    <row r="617" spans="1:11" ht="12.75" x14ac:dyDescent="0.2">
      <c r="A617" s="147"/>
      <c r="B617" s="147"/>
      <c r="C617" s="169"/>
      <c r="D617" s="149" t="s">
        <v>239</v>
      </c>
      <c r="E617" s="165"/>
      <c r="F617" s="150"/>
      <c r="G617" s="147"/>
      <c r="H617" s="147">
        <v>45798</v>
      </c>
      <c r="I617" s="152">
        <f t="shared" si="9"/>
        <v>0.46546467192454671</v>
      </c>
      <c r="J617" s="153" t="s">
        <v>239</v>
      </c>
      <c r="K617" s="139"/>
    </row>
    <row r="618" spans="1:11" ht="12.75" x14ac:dyDescent="0.2">
      <c r="A618" s="147"/>
      <c r="B618" s="147"/>
      <c r="C618" s="169"/>
      <c r="D618" s="149" t="s">
        <v>262</v>
      </c>
      <c r="E618" s="165"/>
      <c r="F618" s="150"/>
      <c r="G618" s="147"/>
      <c r="H618" s="147">
        <v>4542</v>
      </c>
      <c r="I618" s="152">
        <f t="shared" si="9"/>
        <v>4.6162289617042038E-2</v>
      </c>
      <c r="J618" s="153"/>
      <c r="K618" s="139"/>
    </row>
    <row r="619" spans="1:11" ht="12.75" x14ac:dyDescent="0.2">
      <c r="A619" s="147"/>
      <c r="B619" s="147"/>
      <c r="C619" s="169"/>
      <c r="D619" s="149" t="s">
        <v>468</v>
      </c>
      <c r="E619" s="165"/>
      <c r="F619" s="150"/>
      <c r="G619" s="147"/>
      <c r="H619" s="147">
        <v>858</v>
      </c>
      <c r="I619" s="152">
        <f t="shared" si="9"/>
        <v>8.7202211561915599E-3</v>
      </c>
      <c r="J619" s="153"/>
      <c r="K619" s="139"/>
    </row>
    <row r="620" spans="1:11" ht="12.75" x14ac:dyDescent="0.2">
      <c r="A620" s="147"/>
      <c r="B620" s="147"/>
      <c r="C620" s="169"/>
      <c r="D620" s="149" t="s">
        <v>288</v>
      </c>
      <c r="E620" s="165"/>
      <c r="F620" s="150"/>
      <c r="G620" s="147"/>
      <c r="H620" s="147">
        <v>24416</v>
      </c>
      <c r="I620" s="152">
        <f t="shared" si="9"/>
        <v>0.24815025611838362</v>
      </c>
      <c r="J620" s="153"/>
      <c r="K620" s="139"/>
    </row>
    <row r="621" spans="1:11" ht="12.75" x14ac:dyDescent="0.2">
      <c r="A621" s="147"/>
      <c r="B621" s="147"/>
      <c r="C621" s="169"/>
      <c r="D621" s="154" t="s">
        <v>244</v>
      </c>
      <c r="E621" s="165"/>
      <c r="F621" s="150"/>
      <c r="G621" s="147"/>
      <c r="H621" s="147">
        <v>4798</v>
      </c>
      <c r="I621" s="152">
        <f t="shared" si="9"/>
        <v>4.8764127164810149E-2</v>
      </c>
      <c r="J621" s="153"/>
      <c r="K621" s="139"/>
    </row>
    <row r="622" spans="1:11" ht="12.75" x14ac:dyDescent="0.2">
      <c r="A622" s="147"/>
      <c r="B622" s="147"/>
      <c r="C622" s="169"/>
      <c r="D622" s="148" t="s">
        <v>33</v>
      </c>
      <c r="E622" s="165"/>
      <c r="F622" s="150"/>
      <c r="G622" s="147"/>
      <c r="H622" s="155">
        <f>SUM(H615:H621)</f>
        <v>98392</v>
      </c>
      <c r="I622" s="156">
        <f>SUM(I615:I621)</f>
        <v>1</v>
      </c>
      <c r="J622" s="147"/>
      <c r="K622" s="139"/>
    </row>
    <row r="623" spans="1:11" ht="12.75" x14ac:dyDescent="0.2">
      <c r="A623" s="151"/>
      <c r="B623" s="151"/>
      <c r="C623" s="148"/>
      <c r="D623" s="148"/>
      <c r="E623" s="165"/>
      <c r="F623" s="150"/>
      <c r="G623" s="147"/>
      <c r="H623" s="147"/>
      <c r="I623" s="152"/>
      <c r="J623" s="151"/>
      <c r="K623" s="139"/>
    </row>
    <row r="624" spans="1:11" ht="12.75" x14ac:dyDescent="0.2">
      <c r="A624" s="148" t="s">
        <v>19</v>
      </c>
      <c r="B624" s="160">
        <v>272</v>
      </c>
      <c r="C624" s="148" t="s">
        <v>289</v>
      </c>
      <c r="D624" s="147" t="s">
        <v>485</v>
      </c>
      <c r="E624" s="165">
        <v>38076</v>
      </c>
      <c r="F624" s="150">
        <v>8826863</v>
      </c>
      <c r="G624" s="147">
        <v>39481</v>
      </c>
      <c r="H624" s="147"/>
      <c r="I624" s="152"/>
      <c r="J624" s="147"/>
      <c r="K624" s="139"/>
    </row>
    <row r="625" spans="1:11" ht="12.75" x14ac:dyDescent="0.2">
      <c r="A625" s="147"/>
      <c r="B625" s="147"/>
      <c r="C625" s="169"/>
      <c r="D625" s="149" t="s">
        <v>284</v>
      </c>
      <c r="E625" s="165"/>
      <c r="F625" s="150"/>
      <c r="G625" s="147"/>
      <c r="H625" s="147">
        <v>4575</v>
      </c>
      <c r="I625" s="152">
        <f>H625/$H$630</f>
        <v>0.16310160427807488</v>
      </c>
      <c r="J625" s="153"/>
      <c r="K625" s="139"/>
    </row>
    <row r="626" spans="1:11" ht="12.75" x14ac:dyDescent="0.2">
      <c r="A626" s="147"/>
      <c r="B626" s="147"/>
      <c r="C626" s="169"/>
      <c r="D626" s="149" t="s">
        <v>262</v>
      </c>
      <c r="E626" s="165"/>
      <c r="F626" s="150"/>
      <c r="G626" s="147"/>
      <c r="H626" s="147">
        <v>10100</v>
      </c>
      <c r="I626" s="152">
        <f>H626/$H$630</f>
        <v>0.36007130124777181</v>
      </c>
      <c r="J626" s="153" t="s">
        <v>262</v>
      </c>
      <c r="K626" s="139"/>
    </row>
    <row r="627" spans="1:11" ht="12.75" x14ac:dyDescent="0.2">
      <c r="A627" s="147"/>
      <c r="B627" s="147"/>
      <c r="C627" s="169"/>
      <c r="D627" s="149" t="s">
        <v>288</v>
      </c>
      <c r="E627" s="165"/>
      <c r="F627" s="150"/>
      <c r="G627" s="147"/>
      <c r="H627" s="147">
        <v>576</v>
      </c>
      <c r="I627" s="152">
        <f>H627/$H$630</f>
        <v>2.053475935828877E-2</v>
      </c>
      <c r="J627" s="153"/>
      <c r="K627" s="139"/>
    </row>
    <row r="628" spans="1:11" ht="12.75" x14ac:dyDescent="0.2">
      <c r="A628" s="147"/>
      <c r="B628" s="147"/>
      <c r="C628" s="169"/>
      <c r="D628" s="154" t="s">
        <v>244</v>
      </c>
      <c r="E628" s="165"/>
      <c r="F628" s="150"/>
      <c r="G628" s="147"/>
      <c r="H628" s="147">
        <v>4270</v>
      </c>
      <c r="I628" s="152">
        <f>H628/$H$630</f>
        <v>0.15222816399286987</v>
      </c>
      <c r="J628" s="153"/>
      <c r="K628" s="139"/>
    </row>
    <row r="629" spans="1:11" ht="12.75" x14ac:dyDescent="0.2">
      <c r="A629" s="147"/>
      <c r="B629" s="147"/>
      <c r="C629" s="169"/>
      <c r="D629" s="149" t="s">
        <v>285</v>
      </c>
      <c r="E629" s="165"/>
      <c r="F629" s="150"/>
      <c r="G629" s="147"/>
      <c r="H629" s="147">
        <v>8529</v>
      </c>
      <c r="I629" s="152">
        <f>H629/$H$630</f>
        <v>0.30406417112299466</v>
      </c>
      <c r="J629" s="153"/>
      <c r="K629" s="139"/>
    </row>
    <row r="630" spans="1:11" ht="12.75" x14ac:dyDescent="0.2">
      <c r="A630" s="147"/>
      <c r="B630" s="147"/>
      <c r="C630" s="169"/>
      <c r="D630" s="148" t="s">
        <v>33</v>
      </c>
      <c r="E630" s="165"/>
      <c r="F630" s="150"/>
      <c r="G630" s="147"/>
      <c r="H630" s="155">
        <f>SUM(H625:H629)</f>
        <v>28050</v>
      </c>
      <c r="I630" s="156">
        <f>SUM(I625:I629)</f>
        <v>1</v>
      </c>
      <c r="J630" s="147"/>
      <c r="K630" s="139"/>
    </row>
    <row r="631" spans="1:11" ht="12.75" x14ac:dyDescent="0.2">
      <c r="A631" s="151"/>
      <c r="B631" s="151"/>
      <c r="C631" s="148"/>
      <c r="D631" s="148"/>
      <c r="E631" s="165"/>
      <c r="F631" s="150"/>
      <c r="G631" s="147"/>
      <c r="H631" s="147"/>
      <c r="I631" s="152"/>
      <c r="J631" s="151"/>
      <c r="K631" s="139"/>
    </row>
    <row r="632" spans="1:11" ht="12.75" x14ac:dyDescent="0.2">
      <c r="A632" s="148" t="s">
        <v>19</v>
      </c>
      <c r="B632" s="160">
        <v>282</v>
      </c>
      <c r="C632" s="148" t="s">
        <v>289</v>
      </c>
      <c r="D632" s="147" t="s">
        <v>486</v>
      </c>
      <c r="E632" s="165">
        <v>38076</v>
      </c>
      <c r="F632" s="150">
        <v>8440392</v>
      </c>
      <c r="G632" s="147">
        <v>37695</v>
      </c>
      <c r="H632" s="147"/>
      <c r="I632" s="152"/>
      <c r="J632" s="147"/>
      <c r="K632" s="139"/>
    </row>
    <row r="633" spans="1:11" ht="12.75" x14ac:dyDescent="0.2">
      <c r="A633" s="147"/>
      <c r="B633" s="147"/>
      <c r="C633" s="169"/>
      <c r="D633" s="149" t="s">
        <v>262</v>
      </c>
      <c r="E633" s="165"/>
      <c r="F633" s="150"/>
      <c r="G633" s="147"/>
      <c r="H633" s="147">
        <v>12239</v>
      </c>
      <c r="I633" s="152">
        <f>H633/$H$636</f>
        <v>0.42226745790781123</v>
      </c>
      <c r="J633" s="153" t="s">
        <v>262</v>
      </c>
      <c r="K633" s="139"/>
    </row>
    <row r="634" spans="1:11" ht="12.75" x14ac:dyDescent="0.2">
      <c r="A634" s="147"/>
      <c r="B634" s="147"/>
      <c r="C634" s="169"/>
      <c r="D634" s="149" t="s">
        <v>468</v>
      </c>
      <c r="E634" s="165"/>
      <c r="F634" s="150"/>
      <c r="G634" s="147"/>
      <c r="H634" s="147">
        <v>4800</v>
      </c>
      <c r="I634" s="152">
        <f>H634/$H$636</f>
        <v>0.16560861164780569</v>
      </c>
      <c r="J634" s="153"/>
      <c r="K634" s="139"/>
    </row>
    <row r="635" spans="1:11" ht="12.75" x14ac:dyDescent="0.2">
      <c r="A635" s="147"/>
      <c r="B635" s="147"/>
      <c r="C635" s="169"/>
      <c r="D635" s="154" t="s">
        <v>244</v>
      </c>
      <c r="E635" s="165"/>
      <c r="F635" s="150"/>
      <c r="G635" s="147"/>
      <c r="H635" s="147">
        <v>11945</v>
      </c>
      <c r="I635" s="152">
        <f>H635/$H$636</f>
        <v>0.41212393044438311</v>
      </c>
      <c r="J635" s="153" t="s">
        <v>468</v>
      </c>
      <c r="K635" s="139"/>
    </row>
    <row r="636" spans="1:11" ht="12.75" x14ac:dyDescent="0.2">
      <c r="A636" s="147"/>
      <c r="B636" s="147"/>
      <c r="C636" s="169"/>
      <c r="D636" s="148" t="s">
        <v>33</v>
      </c>
      <c r="E636" s="165"/>
      <c r="F636" s="150"/>
      <c r="G636" s="147"/>
      <c r="H636" s="155">
        <f>SUM(H633:H635)</f>
        <v>28984</v>
      </c>
      <c r="I636" s="156">
        <f>SUM(I633:I635)</f>
        <v>1</v>
      </c>
      <c r="J636" s="147"/>
      <c r="K636" s="139"/>
    </row>
    <row r="637" spans="1:11" ht="12.75" x14ac:dyDescent="0.2">
      <c r="A637" s="147"/>
      <c r="B637" s="147"/>
      <c r="C637" s="169"/>
      <c r="D637" s="148"/>
      <c r="E637" s="165"/>
      <c r="F637" s="150"/>
      <c r="G637" s="147"/>
      <c r="H637" s="147"/>
      <c r="I637" s="152"/>
      <c r="J637" s="147"/>
      <c r="K637" s="139"/>
    </row>
    <row r="638" spans="1:11" ht="12.75" x14ac:dyDescent="0.2">
      <c r="A638" s="148" t="s">
        <v>19</v>
      </c>
      <c r="B638" s="160">
        <v>236</v>
      </c>
      <c r="C638" s="148" t="s">
        <v>289</v>
      </c>
      <c r="D638" s="147" t="s">
        <v>509</v>
      </c>
      <c r="E638" s="165">
        <v>38597</v>
      </c>
      <c r="F638" s="150">
        <v>54697493</v>
      </c>
      <c r="G638" s="147">
        <v>143880</v>
      </c>
      <c r="H638" s="147"/>
      <c r="I638" s="152"/>
      <c r="J638" s="147"/>
      <c r="K638" s="139"/>
    </row>
    <row r="639" spans="1:11" ht="12.75" x14ac:dyDescent="0.2">
      <c r="A639" s="147"/>
      <c r="B639" s="147"/>
      <c r="C639" s="169"/>
      <c r="D639" s="149" t="s">
        <v>239</v>
      </c>
      <c r="E639" s="165"/>
      <c r="F639" s="150"/>
      <c r="G639" s="147"/>
      <c r="H639" s="161">
        <v>68962</v>
      </c>
      <c r="I639" s="152">
        <f>H639/$H$643</f>
        <v>0.71895329441201006</v>
      </c>
      <c r="J639" s="153" t="s">
        <v>239</v>
      </c>
      <c r="K639" s="139"/>
    </row>
    <row r="640" spans="1:11" ht="12.75" x14ac:dyDescent="0.2">
      <c r="A640" s="147"/>
      <c r="B640" s="147"/>
      <c r="C640" s="169"/>
      <c r="D640" s="149" t="s">
        <v>262</v>
      </c>
      <c r="E640" s="165"/>
      <c r="F640" s="150"/>
      <c r="G640" s="147"/>
      <c r="H640" s="161">
        <v>6195</v>
      </c>
      <c r="I640" s="152">
        <f>H640/$H$643</f>
        <v>6.4585070892410348E-2</v>
      </c>
      <c r="J640" s="153"/>
      <c r="K640" s="139"/>
    </row>
    <row r="641" spans="1:11" ht="12.75" x14ac:dyDescent="0.2">
      <c r="A641" s="147"/>
      <c r="B641" s="147"/>
      <c r="C641" s="169"/>
      <c r="D641" s="149" t="s">
        <v>288</v>
      </c>
      <c r="E641" s="165"/>
      <c r="F641" s="150"/>
      <c r="G641" s="147"/>
      <c r="H641" s="161">
        <v>16787</v>
      </c>
      <c r="I641" s="152">
        <f>H641/$H$643</f>
        <v>0.17501042535446204</v>
      </c>
      <c r="J641" s="153"/>
      <c r="K641" s="139"/>
    </row>
    <row r="642" spans="1:11" ht="12.75" x14ac:dyDescent="0.2">
      <c r="A642" s="147"/>
      <c r="B642" s="147"/>
      <c r="C642" s="169"/>
      <c r="D642" s="154" t="s">
        <v>244</v>
      </c>
      <c r="E642" s="165"/>
      <c r="F642" s="150"/>
      <c r="G642" s="147"/>
      <c r="H642" s="161">
        <v>3976</v>
      </c>
      <c r="I642" s="152">
        <f>H642/$H$643</f>
        <v>4.1451209341117595E-2</v>
      </c>
      <c r="J642" s="153"/>
      <c r="K642" s="139"/>
    </row>
    <row r="643" spans="1:11" ht="12.75" x14ac:dyDescent="0.2">
      <c r="A643" s="147"/>
      <c r="B643" s="147"/>
      <c r="C643" s="169"/>
      <c r="D643" s="148" t="s">
        <v>33</v>
      </c>
      <c r="E643" s="165"/>
      <c r="F643" s="150"/>
      <c r="G643" s="147"/>
      <c r="H643" s="155">
        <f>SUM(H639:H642)</f>
        <v>95920</v>
      </c>
      <c r="I643" s="156">
        <f>SUM(I639:I642)</f>
        <v>1.0000000000000002</v>
      </c>
      <c r="J643" s="147"/>
      <c r="K643" s="139"/>
    </row>
    <row r="644" spans="1:11" ht="12.75" x14ac:dyDescent="0.2">
      <c r="A644" s="147"/>
      <c r="B644" s="147"/>
      <c r="C644" s="169"/>
      <c r="D644" s="148"/>
      <c r="E644" s="165"/>
      <c r="F644" s="150"/>
      <c r="G644" s="147"/>
      <c r="H644" s="147"/>
      <c r="I644" s="152"/>
      <c r="J644" s="147"/>
      <c r="K644" s="139"/>
    </row>
    <row r="645" spans="1:11" ht="12.75" x14ac:dyDescent="0.2">
      <c r="A645" s="148" t="s">
        <v>19</v>
      </c>
      <c r="B645" s="160">
        <v>280</v>
      </c>
      <c r="C645" s="148" t="s">
        <v>289</v>
      </c>
      <c r="D645" s="37" t="s">
        <v>524</v>
      </c>
      <c r="E645" s="165">
        <v>38596</v>
      </c>
      <c r="F645" s="180">
        <v>16951052</v>
      </c>
      <c r="G645" s="147">
        <v>88712</v>
      </c>
      <c r="H645" s="147"/>
      <c r="I645" s="152"/>
      <c r="J645" s="147"/>
      <c r="K645" s="139"/>
    </row>
    <row r="646" spans="1:11" ht="12.75" x14ac:dyDescent="0.2">
      <c r="A646" s="147"/>
      <c r="B646" s="147"/>
      <c r="C646" s="169"/>
      <c r="D646" s="149" t="s">
        <v>261</v>
      </c>
      <c r="E646" s="165"/>
      <c r="F646" s="150"/>
      <c r="G646" s="147"/>
      <c r="H646" s="161">
        <v>32925</v>
      </c>
      <c r="I646" s="152">
        <f>H646/$H$650</f>
        <v>0.6188677117401602</v>
      </c>
      <c r="J646" s="153" t="s">
        <v>261</v>
      </c>
      <c r="K646" s="139"/>
    </row>
    <row r="647" spans="1:11" ht="12.75" x14ac:dyDescent="0.2">
      <c r="A647" s="147"/>
      <c r="B647" s="147"/>
      <c r="C647" s="169"/>
      <c r="D647" s="149" t="s">
        <v>262</v>
      </c>
      <c r="E647" s="165"/>
      <c r="F647" s="150"/>
      <c r="G647" s="147"/>
      <c r="H647" s="161">
        <v>15652</v>
      </c>
      <c r="I647" s="152">
        <f>H647/$H$650</f>
        <v>0.29419946618548176</v>
      </c>
      <c r="J647" s="153"/>
      <c r="K647" s="139"/>
    </row>
    <row r="648" spans="1:11" ht="12.75" x14ac:dyDescent="0.2">
      <c r="A648" s="147"/>
      <c r="B648" s="147"/>
      <c r="C648" s="169"/>
      <c r="D648" s="149" t="s">
        <v>468</v>
      </c>
      <c r="E648" s="165"/>
      <c r="F648" s="150"/>
      <c r="G648" s="147"/>
      <c r="H648" s="161">
        <v>411</v>
      </c>
      <c r="I648" s="152">
        <f>H648/$H$650</f>
        <v>7.7252734859591743E-3</v>
      </c>
      <c r="J648" s="153"/>
      <c r="K648" s="139"/>
    </row>
    <row r="649" spans="1:11" ht="12.75" x14ac:dyDescent="0.2">
      <c r="A649" s="147"/>
      <c r="B649" s="147"/>
      <c r="C649" s="169"/>
      <c r="D649" s="149" t="s">
        <v>288</v>
      </c>
      <c r="E649" s="165"/>
      <c r="F649" s="150"/>
      <c r="G649" s="147"/>
      <c r="H649" s="161">
        <v>4214</v>
      </c>
      <c r="I649" s="152">
        <f>H649/$H$650</f>
        <v>7.9207548588398929E-2</v>
      </c>
      <c r="J649" s="153"/>
      <c r="K649" s="139"/>
    </row>
    <row r="650" spans="1:11" ht="12.75" x14ac:dyDescent="0.2">
      <c r="A650" s="147"/>
      <c r="B650" s="147"/>
      <c r="C650" s="169"/>
      <c r="D650" s="148" t="s">
        <v>33</v>
      </c>
      <c r="E650" s="165"/>
      <c r="F650" s="150"/>
      <c r="G650" s="147"/>
      <c r="H650" s="155">
        <f>SUM(H646:H649)</f>
        <v>53202</v>
      </c>
      <c r="I650" s="156">
        <f>SUM(I646:I649)</f>
        <v>1</v>
      </c>
      <c r="J650" s="147"/>
      <c r="K650" s="139"/>
    </row>
    <row r="651" spans="1:11" ht="12.75" x14ac:dyDescent="0.2">
      <c r="A651" s="147"/>
      <c r="B651" s="147"/>
      <c r="C651" s="169"/>
      <c r="D651" s="148"/>
      <c r="E651" s="165"/>
      <c r="F651" s="150"/>
      <c r="G651" s="147"/>
      <c r="H651" s="147"/>
      <c r="I651" s="152"/>
      <c r="J651" s="147"/>
      <c r="K651" s="139"/>
    </row>
    <row r="652" spans="1:11" ht="12.75" x14ac:dyDescent="0.2">
      <c r="A652" s="148" t="s">
        <v>19</v>
      </c>
      <c r="B652" s="160">
        <v>207</v>
      </c>
      <c r="C652" s="148" t="s">
        <v>289</v>
      </c>
      <c r="D652" s="147" t="s">
        <v>530</v>
      </c>
      <c r="E652" s="165">
        <v>39052</v>
      </c>
      <c r="F652" s="150">
        <v>27434757</v>
      </c>
      <c r="G652" s="147">
        <v>101183</v>
      </c>
      <c r="H652" s="147"/>
      <c r="I652" s="152"/>
      <c r="J652" s="147"/>
      <c r="K652" s="139"/>
    </row>
    <row r="653" spans="1:11" ht="12.75" x14ac:dyDescent="0.2">
      <c r="A653" s="147"/>
      <c r="B653" s="147"/>
      <c r="C653" s="169"/>
      <c r="D653" s="149" t="s">
        <v>238</v>
      </c>
      <c r="E653" s="165"/>
      <c r="F653" s="150"/>
      <c r="G653" s="147"/>
      <c r="H653" s="147">
        <v>9988</v>
      </c>
      <c r="I653" s="152">
        <f>H653/$H$657</f>
        <v>0.18275969332674608</v>
      </c>
      <c r="J653" s="153"/>
      <c r="K653" s="139"/>
    </row>
    <row r="654" spans="1:11" ht="12.75" x14ac:dyDescent="0.2">
      <c r="A654" s="147"/>
      <c r="B654" s="147"/>
      <c r="C654" s="169"/>
      <c r="D654" s="149" t="s">
        <v>239</v>
      </c>
      <c r="E654" s="165"/>
      <c r="F654" s="150"/>
      <c r="G654" s="147"/>
      <c r="H654" s="147">
        <v>25622</v>
      </c>
      <c r="I654" s="152">
        <f>H654/$H$657</f>
        <v>0.46882948161973248</v>
      </c>
      <c r="J654" s="153" t="s">
        <v>239</v>
      </c>
      <c r="K654" s="139"/>
    </row>
    <row r="655" spans="1:11" ht="12.75" x14ac:dyDescent="0.2">
      <c r="A655" s="147"/>
      <c r="B655" s="147"/>
      <c r="C655" s="169"/>
      <c r="D655" s="149" t="s">
        <v>288</v>
      </c>
      <c r="E655" s="165"/>
      <c r="F655" s="150"/>
      <c r="G655" s="147"/>
      <c r="H655" s="147">
        <v>13001</v>
      </c>
      <c r="I655" s="152">
        <f>H655/$H$657</f>
        <v>0.23789134691039504</v>
      </c>
      <c r="J655" s="153"/>
      <c r="K655" s="139"/>
    </row>
    <row r="656" spans="1:11" ht="12.75" x14ac:dyDescent="0.2">
      <c r="A656" s="147"/>
      <c r="B656" s="147"/>
      <c r="C656" s="169"/>
      <c r="D656" s="154" t="s">
        <v>244</v>
      </c>
      <c r="E656" s="165"/>
      <c r="F656" s="150"/>
      <c r="G656" s="147"/>
      <c r="H656" s="147">
        <v>6040</v>
      </c>
      <c r="I656" s="152">
        <f>H656/$H$657</f>
        <v>0.11051947814312639</v>
      </c>
      <c r="J656" s="153"/>
      <c r="K656" s="139"/>
    </row>
    <row r="657" spans="1:11" ht="12.75" x14ac:dyDescent="0.2">
      <c r="A657" s="147"/>
      <c r="B657" s="147"/>
      <c r="C657" s="169"/>
      <c r="D657" s="148" t="s">
        <v>33</v>
      </c>
      <c r="E657" s="165"/>
      <c r="F657" s="150"/>
      <c r="G657" s="147"/>
      <c r="H657" s="155">
        <f>SUM(H653:H656)</f>
        <v>54651</v>
      </c>
      <c r="I657" s="156">
        <f>SUM(I653:I656)</f>
        <v>1</v>
      </c>
      <c r="J657" s="147"/>
      <c r="K657" s="139"/>
    </row>
    <row r="658" spans="1:11" ht="12.75" x14ac:dyDescent="0.2">
      <c r="A658" s="147"/>
      <c r="B658" s="147"/>
      <c r="C658" s="169"/>
      <c r="D658" s="148"/>
      <c r="E658" s="165"/>
      <c r="F658" s="150"/>
      <c r="G658" s="147"/>
      <c r="H658" s="147"/>
      <c r="I658" s="152"/>
      <c r="J658" s="147"/>
      <c r="K658" s="139"/>
    </row>
    <row r="659" spans="1:11" ht="12.75" x14ac:dyDescent="0.2">
      <c r="A659" s="148" t="s">
        <v>19</v>
      </c>
      <c r="B659" s="160">
        <v>257</v>
      </c>
      <c r="C659" s="148" t="s">
        <v>289</v>
      </c>
      <c r="D659" s="147" t="s">
        <v>531</v>
      </c>
      <c r="E659" s="165">
        <v>39052</v>
      </c>
      <c r="F659" s="150">
        <v>47158114</v>
      </c>
      <c r="G659" s="147">
        <v>180126</v>
      </c>
      <c r="H659" s="147"/>
      <c r="I659" s="152"/>
      <c r="J659" s="147"/>
      <c r="K659" s="139"/>
    </row>
    <row r="660" spans="1:11" ht="12.75" x14ac:dyDescent="0.2">
      <c r="A660" s="147"/>
      <c r="B660" s="147"/>
      <c r="C660" s="169"/>
      <c r="D660" s="149" t="s">
        <v>238</v>
      </c>
      <c r="E660" s="165"/>
      <c r="F660" s="150"/>
      <c r="G660" s="147"/>
      <c r="H660" s="147">
        <v>14589</v>
      </c>
      <c r="I660" s="152">
        <f>H660/$H$665</f>
        <v>0.16186439737715103</v>
      </c>
      <c r="J660" s="153"/>
      <c r="K660" s="139"/>
    </row>
    <row r="661" spans="1:11" ht="12.75" x14ac:dyDescent="0.2">
      <c r="A661" s="147"/>
      <c r="B661" s="147"/>
      <c r="C661" s="169"/>
      <c r="D661" s="149" t="s">
        <v>239</v>
      </c>
      <c r="E661" s="165"/>
      <c r="F661" s="150"/>
      <c r="G661" s="147"/>
      <c r="H661" s="147">
        <v>47872</v>
      </c>
      <c r="I661" s="152">
        <f>H661/$H$665</f>
        <v>0.53113801022955476</v>
      </c>
      <c r="J661" s="153" t="s">
        <v>239</v>
      </c>
      <c r="K661" s="139"/>
    </row>
    <row r="662" spans="1:11" ht="12.75" x14ac:dyDescent="0.2">
      <c r="A662" s="147"/>
      <c r="B662" s="147"/>
      <c r="C662" s="169"/>
      <c r="D662" s="149" t="s">
        <v>262</v>
      </c>
      <c r="E662" s="165"/>
      <c r="F662" s="150"/>
      <c r="G662" s="147"/>
      <c r="H662" s="147">
        <v>2828</v>
      </c>
      <c r="I662" s="152">
        <f>H662/$H$665</f>
        <v>3.1376551907778681E-2</v>
      </c>
      <c r="J662" s="153"/>
      <c r="K662" s="139"/>
    </row>
    <row r="663" spans="1:11" ht="12.75" x14ac:dyDescent="0.2">
      <c r="A663" s="147"/>
      <c r="B663" s="147"/>
      <c r="C663" s="169"/>
      <c r="D663" s="149" t="s">
        <v>288</v>
      </c>
      <c r="E663" s="165"/>
      <c r="F663" s="150"/>
      <c r="G663" s="147"/>
      <c r="H663" s="147">
        <v>22187</v>
      </c>
      <c r="I663" s="152">
        <f>H663/$H$665</f>
        <v>0.24616391696530607</v>
      </c>
      <c r="J663" s="153"/>
      <c r="K663" s="139"/>
    </row>
    <row r="664" spans="1:11" ht="12.75" x14ac:dyDescent="0.2">
      <c r="A664" s="147"/>
      <c r="B664" s="147"/>
      <c r="C664" s="169"/>
      <c r="D664" s="154" t="s">
        <v>244</v>
      </c>
      <c r="E664" s="165"/>
      <c r="F664" s="150"/>
      <c r="G664" s="147"/>
      <c r="H664" s="147">
        <v>2655</v>
      </c>
      <c r="I664" s="152">
        <f>H664/$H$665</f>
        <v>2.9457123520209474E-2</v>
      </c>
      <c r="J664" s="153"/>
      <c r="K664" s="139"/>
    </row>
    <row r="665" spans="1:11" ht="12.75" x14ac:dyDescent="0.2">
      <c r="A665" s="147"/>
      <c r="B665" s="147"/>
      <c r="C665" s="169"/>
      <c r="D665" s="148" t="s">
        <v>33</v>
      </c>
      <c r="E665" s="165"/>
      <c r="F665" s="150"/>
      <c r="G665" s="147"/>
      <c r="H665" s="155">
        <f>SUM(H660:H664)</f>
        <v>90131</v>
      </c>
      <c r="I665" s="156">
        <f>SUM(I660:I664)</f>
        <v>1</v>
      </c>
      <c r="J665" s="147"/>
      <c r="K665" s="139"/>
    </row>
    <row r="666" spans="1:11" ht="12.75" x14ac:dyDescent="0.2">
      <c r="A666" s="147"/>
      <c r="B666" s="147"/>
      <c r="C666" s="169"/>
      <c r="D666" s="148"/>
      <c r="E666" s="165"/>
      <c r="F666" s="150"/>
      <c r="G666" s="147"/>
      <c r="H666" s="147"/>
      <c r="I666" s="152"/>
      <c r="J666" s="147"/>
      <c r="K666" s="139"/>
    </row>
    <row r="667" spans="1:11" ht="12.75" x14ac:dyDescent="0.2">
      <c r="A667" s="148" t="s">
        <v>19</v>
      </c>
      <c r="B667" s="160">
        <v>296</v>
      </c>
      <c r="C667" s="148" t="s">
        <v>289</v>
      </c>
      <c r="D667" s="147" t="s">
        <v>532</v>
      </c>
      <c r="E667" s="165">
        <v>39052</v>
      </c>
      <c r="F667" s="150">
        <v>23815183</v>
      </c>
      <c r="G667" s="181">
        <v>226.52433584126771</v>
      </c>
      <c r="H667" s="147"/>
      <c r="I667" s="152"/>
      <c r="J667" s="147"/>
      <c r="K667" s="139"/>
    </row>
    <row r="668" spans="1:11" ht="12.75" x14ac:dyDescent="0.2">
      <c r="A668" s="147"/>
      <c r="B668" s="147"/>
      <c r="C668" s="169"/>
      <c r="D668" s="149" t="s">
        <v>261</v>
      </c>
      <c r="E668" s="165"/>
      <c r="F668" s="150"/>
      <c r="G668" s="147"/>
      <c r="H668" s="147">
        <v>20297</v>
      </c>
      <c r="I668" s="152">
        <f>H668/$H$675</f>
        <v>0.33077474658583489</v>
      </c>
      <c r="J668" s="151" t="s">
        <v>261</v>
      </c>
      <c r="K668" s="139"/>
    </row>
    <row r="669" spans="1:11" ht="12.75" x14ac:dyDescent="0.2">
      <c r="A669" s="147"/>
      <c r="B669" s="147"/>
      <c r="C669" s="169"/>
      <c r="D669" s="149" t="s">
        <v>238</v>
      </c>
      <c r="E669" s="165"/>
      <c r="F669" s="150"/>
      <c r="G669" s="147"/>
      <c r="H669" s="147">
        <v>1960</v>
      </c>
      <c r="I669" s="152">
        <f t="shared" ref="I669:I674" si="10">H669/$H$675</f>
        <v>3.1941592516541183E-2</v>
      </c>
      <c r="J669" s="153"/>
      <c r="K669" s="139"/>
    </row>
    <row r="670" spans="1:11" ht="12.75" x14ac:dyDescent="0.2">
      <c r="A670" s="147"/>
      <c r="B670" s="147"/>
      <c r="C670" s="169"/>
      <c r="D670" s="149" t="s">
        <v>239</v>
      </c>
      <c r="E670" s="165"/>
      <c r="F670" s="150"/>
      <c r="G670" s="147"/>
      <c r="H670" s="147">
        <v>9035</v>
      </c>
      <c r="I670" s="152">
        <f t="shared" si="10"/>
        <v>0.14724096346272939</v>
      </c>
      <c r="J670" s="153"/>
      <c r="K670" s="139"/>
    </row>
    <row r="671" spans="1:11" ht="12.75" x14ac:dyDescent="0.2">
      <c r="A671" s="147"/>
      <c r="B671" s="147"/>
      <c r="C671" s="169"/>
      <c r="D671" s="149" t="s">
        <v>284</v>
      </c>
      <c r="E671" s="165"/>
      <c r="F671" s="150"/>
      <c r="G671" s="147"/>
      <c r="H671" s="147">
        <v>1555</v>
      </c>
      <c r="I671" s="152">
        <f t="shared" si="10"/>
        <v>2.5341416511847722E-2</v>
      </c>
      <c r="J671" s="153"/>
      <c r="K671" s="139"/>
    </row>
    <row r="672" spans="1:11" ht="12.75" x14ac:dyDescent="0.2">
      <c r="A672" s="147"/>
      <c r="B672" s="147"/>
      <c r="C672" s="169"/>
      <c r="D672" s="149" t="s">
        <v>242</v>
      </c>
      <c r="E672" s="165"/>
      <c r="F672" s="150"/>
      <c r="G672" s="147"/>
      <c r="H672" s="147">
        <v>4604</v>
      </c>
      <c r="I672" s="152">
        <f t="shared" si="10"/>
        <v>7.5030148952120207E-2</v>
      </c>
      <c r="J672" s="153"/>
      <c r="K672" s="139"/>
    </row>
    <row r="673" spans="1:11" ht="12.75" x14ac:dyDescent="0.2">
      <c r="A673" s="147"/>
      <c r="B673" s="147"/>
      <c r="C673" s="169"/>
      <c r="D673" s="149" t="s">
        <v>262</v>
      </c>
      <c r="E673" s="165"/>
      <c r="F673" s="150"/>
      <c r="G673" s="147"/>
      <c r="H673" s="147">
        <v>6594</v>
      </c>
      <c r="I673" s="152">
        <f t="shared" si="10"/>
        <v>0.10746064339493498</v>
      </c>
      <c r="J673" s="153"/>
      <c r="K673" s="139"/>
    </row>
    <row r="674" spans="1:11" ht="12.75" x14ac:dyDescent="0.2">
      <c r="A674" s="147"/>
      <c r="B674" s="147"/>
      <c r="C674" s="169"/>
      <c r="D674" s="149" t="s">
        <v>288</v>
      </c>
      <c r="E674" s="165"/>
      <c r="F674" s="150"/>
      <c r="G674" s="147"/>
      <c r="H674" s="147">
        <v>17317</v>
      </c>
      <c r="I674" s="152">
        <f t="shared" si="10"/>
        <v>0.28221048857599168</v>
      </c>
      <c r="J674" s="153" t="s">
        <v>288</v>
      </c>
      <c r="K674" s="139"/>
    </row>
    <row r="675" spans="1:11" ht="12.75" x14ac:dyDescent="0.2">
      <c r="A675" s="147"/>
      <c r="B675" s="147"/>
      <c r="C675" s="169"/>
      <c r="D675" s="148" t="s">
        <v>33</v>
      </c>
      <c r="E675" s="165"/>
      <c r="F675" s="150"/>
      <c r="G675" s="147"/>
      <c r="H675" s="155">
        <f>SUM(H668:H674)</f>
        <v>61362</v>
      </c>
      <c r="I675" s="156">
        <f>SUM(I668:I674)</f>
        <v>1</v>
      </c>
      <c r="J675" s="147"/>
      <c r="K675" s="139"/>
    </row>
    <row r="676" spans="1:11" ht="12.75" x14ac:dyDescent="0.2">
      <c r="A676" s="147"/>
      <c r="B676" s="147"/>
      <c r="C676" s="169"/>
      <c r="D676" s="148"/>
      <c r="E676" s="165"/>
      <c r="F676" s="150"/>
      <c r="G676" s="147"/>
      <c r="H676" s="147"/>
      <c r="I676" s="152"/>
      <c r="J676" s="147"/>
      <c r="K676" s="139"/>
    </row>
    <row r="677" spans="1:11" ht="12.75" x14ac:dyDescent="0.2">
      <c r="A677" s="148" t="s">
        <v>19</v>
      </c>
      <c r="B677" s="160">
        <v>288</v>
      </c>
      <c r="C677" s="148" t="s">
        <v>289</v>
      </c>
      <c r="D677" s="147" t="s">
        <v>533</v>
      </c>
      <c r="E677" s="165">
        <v>38718</v>
      </c>
      <c r="F677" s="150">
        <v>6606630</v>
      </c>
      <c r="G677" s="181">
        <f>6606630/18195</f>
        <v>363.10140148392418</v>
      </c>
      <c r="H677" s="147"/>
      <c r="I677" s="152"/>
      <c r="J677" s="147"/>
      <c r="K677" s="139"/>
    </row>
    <row r="678" spans="1:11" ht="12.75" x14ac:dyDescent="0.2">
      <c r="A678" s="147"/>
      <c r="B678" s="147"/>
      <c r="C678" s="169"/>
      <c r="D678" s="149" t="s">
        <v>314</v>
      </c>
      <c r="E678" s="165"/>
      <c r="F678" s="150"/>
      <c r="G678" s="147"/>
      <c r="H678" s="147">
        <v>1113</v>
      </c>
      <c r="I678" s="152">
        <f>H678/$H$681</f>
        <v>7.9642218246869415E-2</v>
      </c>
      <c r="J678" s="153"/>
      <c r="K678" s="139"/>
    </row>
    <row r="679" spans="1:11" ht="12.75" x14ac:dyDescent="0.2">
      <c r="A679" s="147"/>
      <c r="B679" s="147"/>
      <c r="C679" s="169"/>
      <c r="D679" s="149" t="s">
        <v>288</v>
      </c>
      <c r="E679" s="165"/>
      <c r="F679" s="150"/>
      <c r="G679" s="147"/>
      <c r="H679" s="147">
        <v>5107</v>
      </c>
      <c r="I679" s="152">
        <f>H679/$H$681</f>
        <v>0.36543828264758499</v>
      </c>
      <c r="J679" s="153"/>
      <c r="K679" s="139"/>
    </row>
    <row r="680" spans="1:11" ht="12.75" x14ac:dyDescent="0.2">
      <c r="A680" s="147"/>
      <c r="B680" s="147"/>
      <c r="C680" s="169"/>
      <c r="D680" s="154" t="s">
        <v>244</v>
      </c>
      <c r="E680" s="165"/>
      <c r="F680" s="150"/>
      <c r="G680" s="147"/>
      <c r="H680" s="147">
        <v>7755</v>
      </c>
      <c r="I680" s="152">
        <f>H680/$H$681</f>
        <v>0.55491949910554561</v>
      </c>
      <c r="J680" s="153" t="s">
        <v>534</v>
      </c>
      <c r="K680" s="139"/>
    </row>
    <row r="681" spans="1:11" ht="12.75" x14ac:dyDescent="0.2">
      <c r="A681" s="147"/>
      <c r="B681" s="147"/>
      <c r="C681" s="169"/>
      <c r="D681" s="148" t="s">
        <v>33</v>
      </c>
      <c r="E681" s="165"/>
      <c r="F681" s="150"/>
      <c r="G681" s="147"/>
      <c r="H681" s="155">
        <f>SUM(H678:H680)</f>
        <v>13975</v>
      </c>
      <c r="I681" s="156">
        <f>SUM(I678:I680)</f>
        <v>1</v>
      </c>
      <c r="J681" s="147"/>
      <c r="K681" s="139"/>
    </row>
    <row r="682" spans="1:11" ht="12.75" x14ac:dyDescent="0.2">
      <c r="A682" s="147"/>
      <c r="B682" s="147"/>
      <c r="C682" s="169"/>
      <c r="D682" s="148"/>
      <c r="E682" s="165"/>
      <c r="F682" s="150"/>
      <c r="G682" s="147"/>
      <c r="H682" s="147"/>
      <c r="I682" s="152"/>
      <c r="J682" s="147"/>
      <c r="K682" s="139"/>
    </row>
    <row r="683" spans="1:11" ht="12.75" x14ac:dyDescent="0.2">
      <c r="A683" s="148" t="s">
        <v>19</v>
      </c>
      <c r="B683" s="160">
        <v>274</v>
      </c>
      <c r="C683" s="148" t="s">
        <v>289</v>
      </c>
      <c r="D683" s="147" t="s">
        <v>539</v>
      </c>
      <c r="E683" s="165">
        <v>39234</v>
      </c>
      <c r="F683" s="150">
        <v>14730822</v>
      </c>
      <c r="G683" s="147">
        <v>46245</v>
      </c>
      <c r="H683" s="147"/>
      <c r="I683" s="152"/>
      <c r="J683" s="147"/>
      <c r="K683" s="139"/>
    </row>
    <row r="684" spans="1:11" ht="12.75" x14ac:dyDescent="0.2">
      <c r="A684" s="147"/>
      <c r="B684" s="147"/>
      <c r="C684" s="169"/>
      <c r="D684" s="149" t="s">
        <v>239</v>
      </c>
      <c r="E684" s="165"/>
      <c r="F684" s="150"/>
      <c r="G684" s="147"/>
      <c r="H684" s="147">
        <v>19572</v>
      </c>
      <c r="I684" s="152">
        <f>H684/$H$687</f>
        <v>0.62267752608806315</v>
      </c>
      <c r="J684" s="153" t="s">
        <v>239</v>
      </c>
      <c r="K684" s="139"/>
    </row>
    <row r="685" spans="1:11" ht="12.75" x14ac:dyDescent="0.2">
      <c r="A685" s="147"/>
      <c r="B685" s="147"/>
      <c r="C685" s="169"/>
      <c r="D685" s="149" t="s">
        <v>262</v>
      </c>
      <c r="E685" s="165"/>
      <c r="F685" s="150"/>
      <c r="G685" s="147"/>
      <c r="H685" s="147">
        <v>4418</v>
      </c>
      <c r="I685" s="152">
        <f>H685/$H$687</f>
        <v>0.14055739373886486</v>
      </c>
      <c r="J685" s="153"/>
      <c r="K685" s="139"/>
    </row>
    <row r="686" spans="1:11" ht="12.75" x14ac:dyDescent="0.2">
      <c r="A686" s="147"/>
      <c r="B686" s="147"/>
      <c r="C686" s="169"/>
      <c r="D686" s="149" t="s">
        <v>288</v>
      </c>
      <c r="E686" s="165"/>
      <c r="F686" s="150"/>
      <c r="G686" s="147"/>
      <c r="H686" s="147">
        <v>7442</v>
      </c>
      <c r="I686" s="152">
        <f>H686/$H$687</f>
        <v>0.23676508017307202</v>
      </c>
      <c r="J686" s="153"/>
      <c r="K686" s="139"/>
    </row>
    <row r="687" spans="1:11" ht="12.75" x14ac:dyDescent="0.2">
      <c r="A687" s="147"/>
      <c r="B687" s="147"/>
      <c r="C687" s="169"/>
      <c r="D687" s="148" t="s">
        <v>33</v>
      </c>
      <c r="E687" s="165"/>
      <c r="F687" s="150"/>
      <c r="G687" s="147"/>
      <c r="H687" s="155">
        <f>SUM(H684:H686)</f>
        <v>31432</v>
      </c>
      <c r="I687" s="156">
        <f>SUM(I684:I686)</f>
        <v>1</v>
      </c>
      <c r="J687" s="147"/>
      <c r="K687" s="139"/>
    </row>
    <row r="688" spans="1:11" ht="12.75" x14ac:dyDescent="0.2">
      <c r="A688" s="147"/>
      <c r="B688" s="147"/>
      <c r="C688" s="169"/>
      <c r="D688" s="148"/>
      <c r="E688" s="165"/>
      <c r="F688" s="150"/>
      <c r="G688" s="147"/>
      <c r="H688" s="147"/>
      <c r="I688" s="152"/>
      <c r="J688" s="147"/>
      <c r="K688" s="139"/>
    </row>
    <row r="689" spans="1:11" ht="12.75" x14ac:dyDescent="0.2">
      <c r="A689" s="148" t="s">
        <v>19</v>
      </c>
      <c r="B689" s="160">
        <v>284</v>
      </c>
      <c r="C689" s="148" t="s">
        <v>289</v>
      </c>
      <c r="D689" s="147" t="s">
        <v>540</v>
      </c>
      <c r="E689" s="165">
        <v>39173</v>
      </c>
      <c r="F689" s="150">
        <v>10928770</v>
      </c>
      <c r="G689" s="147">
        <v>47756</v>
      </c>
      <c r="H689" s="147"/>
      <c r="I689" s="152"/>
      <c r="J689" s="147"/>
      <c r="K689" s="139"/>
    </row>
    <row r="690" spans="1:11" ht="12.75" x14ac:dyDescent="0.2">
      <c r="A690" s="147"/>
      <c r="B690" s="147"/>
      <c r="C690" s="169"/>
      <c r="D690" s="149" t="s">
        <v>261</v>
      </c>
      <c r="E690" s="165"/>
      <c r="F690" s="150"/>
      <c r="G690" s="147"/>
      <c r="H690" s="147">
        <v>950</v>
      </c>
      <c r="I690" s="152">
        <f>H690/$H$694</f>
        <v>3.5708915952488346E-2</v>
      </c>
      <c r="J690" s="153"/>
      <c r="K690" s="139"/>
    </row>
    <row r="691" spans="1:11" ht="12.75" x14ac:dyDescent="0.2">
      <c r="A691" s="147"/>
      <c r="B691" s="147"/>
      <c r="C691" s="169"/>
      <c r="D691" s="149" t="s">
        <v>284</v>
      </c>
      <c r="E691" s="165"/>
      <c r="F691" s="150"/>
      <c r="G691" s="147"/>
      <c r="H691" s="147">
        <v>2900</v>
      </c>
      <c r="I691" s="152">
        <f>H691/$H$694</f>
        <v>0.10900616448654338</v>
      </c>
      <c r="J691" s="153"/>
      <c r="K691" s="139"/>
    </row>
    <row r="692" spans="1:11" ht="12.75" x14ac:dyDescent="0.2">
      <c r="A692" s="147"/>
      <c r="B692" s="147"/>
      <c r="C692" s="169"/>
      <c r="D692" s="149" t="s">
        <v>288</v>
      </c>
      <c r="E692" s="165"/>
      <c r="F692" s="150"/>
      <c r="G692" s="147"/>
      <c r="H692" s="147">
        <v>15324</v>
      </c>
      <c r="I692" s="152">
        <f>H692/$H$694</f>
        <v>0.57600360847992782</v>
      </c>
      <c r="J692" s="153" t="s">
        <v>288</v>
      </c>
      <c r="K692" s="139"/>
    </row>
    <row r="693" spans="1:11" ht="12.75" x14ac:dyDescent="0.2">
      <c r="A693" s="147"/>
      <c r="B693" s="147"/>
      <c r="C693" s="169"/>
      <c r="D693" s="149" t="s">
        <v>473</v>
      </c>
      <c r="E693" s="165"/>
      <c r="F693" s="150"/>
      <c r="G693" s="147"/>
      <c r="H693" s="147">
        <v>7430</v>
      </c>
      <c r="I693" s="152">
        <f>H693/$H$694</f>
        <v>0.27928131108104043</v>
      </c>
      <c r="J693" s="153"/>
      <c r="K693" s="139"/>
    </row>
    <row r="694" spans="1:11" ht="12.75" x14ac:dyDescent="0.2">
      <c r="A694" s="147"/>
      <c r="B694" s="147"/>
      <c r="C694" s="169"/>
      <c r="D694" s="148" t="s">
        <v>33</v>
      </c>
      <c r="E694" s="165"/>
      <c r="F694" s="150"/>
      <c r="G694" s="147"/>
      <c r="H694" s="155">
        <f>SUM(H690:H693)</f>
        <v>26604</v>
      </c>
      <c r="I694" s="182">
        <f>SUM(I690:I693)</f>
        <v>1</v>
      </c>
      <c r="J694" s="147"/>
      <c r="K694" s="139"/>
    </row>
    <row r="695" spans="1:11" ht="12.75" x14ac:dyDescent="0.2">
      <c r="A695" s="147"/>
      <c r="B695" s="147"/>
      <c r="C695" s="169"/>
      <c r="D695" s="148"/>
      <c r="E695" s="165"/>
      <c r="F695" s="150"/>
      <c r="G695" s="147"/>
      <c r="H695" s="147"/>
      <c r="I695" s="183"/>
      <c r="J695" s="147"/>
      <c r="K695" s="139"/>
    </row>
    <row r="696" spans="1:11" ht="12.75" x14ac:dyDescent="0.2">
      <c r="A696" s="148" t="s">
        <v>19</v>
      </c>
      <c r="B696" s="160" t="s">
        <v>555</v>
      </c>
      <c r="C696" s="148" t="s">
        <v>289</v>
      </c>
      <c r="D696" s="147" t="s">
        <v>556</v>
      </c>
      <c r="E696" s="165">
        <v>39722</v>
      </c>
      <c r="F696" s="150">
        <v>9698771</v>
      </c>
      <c r="G696" s="147">
        <v>42755</v>
      </c>
      <c r="H696" s="147"/>
      <c r="I696" s="183"/>
      <c r="J696" s="147"/>
      <c r="K696" s="139"/>
    </row>
    <row r="697" spans="1:11" ht="12.75" x14ac:dyDescent="0.2">
      <c r="A697" s="147"/>
      <c r="B697" s="147"/>
      <c r="C697" s="169"/>
      <c r="D697" s="149" t="s">
        <v>238</v>
      </c>
      <c r="E697" s="165"/>
      <c r="F697" s="150"/>
      <c r="G697" s="147"/>
      <c r="H697" s="147">
        <v>4290</v>
      </c>
      <c r="I697" s="152">
        <f>H697/$H$700</f>
        <v>0.18393860138061141</v>
      </c>
      <c r="J697" s="147"/>
      <c r="K697" s="139"/>
    </row>
    <row r="698" spans="1:11" s="7" customFormat="1" x14ac:dyDescent="0.2">
      <c r="A698" s="147"/>
      <c r="B698" s="147"/>
      <c r="C698" s="169"/>
      <c r="D698" s="149" t="s">
        <v>262</v>
      </c>
      <c r="E698" s="165"/>
      <c r="F698" s="150"/>
      <c r="G698" s="147"/>
      <c r="H698" s="147">
        <v>4724</v>
      </c>
      <c r="I698" s="152">
        <f>H698/$H$700</f>
        <v>0.20254684217296232</v>
      </c>
      <c r="J698" s="147"/>
      <c r="K698" s="87"/>
    </row>
    <row r="699" spans="1:11" s="7" customFormat="1" x14ac:dyDescent="0.2">
      <c r="A699" s="147"/>
      <c r="B699" s="147"/>
      <c r="C699" s="169"/>
      <c r="D699" s="149" t="s">
        <v>288</v>
      </c>
      <c r="E699" s="165"/>
      <c r="F699" s="150"/>
      <c r="G699" s="147"/>
      <c r="H699" s="147">
        <v>14309</v>
      </c>
      <c r="I699" s="152">
        <f>H699/$H$700</f>
        <v>0.61351455644642627</v>
      </c>
      <c r="J699" s="153" t="s">
        <v>288</v>
      </c>
      <c r="K699" s="87"/>
    </row>
    <row r="700" spans="1:11" s="7" customFormat="1" x14ac:dyDescent="0.2">
      <c r="A700" s="147"/>
      <c r="B700" s="147"/>
      <c r="C700" s="169"/>
      <c r="D700" s="148" t="s">
        <v>33</v>
      </c>
      <c r="E700" s="165"/>
      <c r="F700" s="150"/>
      <c r="G700" s="147"/>
      <c r="H700" s="155">
        <f>SUM(H697:H699)</f>
        <v>23323</v>
      </c>
      <c r="I700" s="182">
        <f>SUM(I697:I699)</f>
        <v>1</v>
      </c>
      <c r="J700" s="147"/>
      <c r="K700" s="87"/>
    </row>
    <row r="701" spans="1:11" s="7" customFormat="1" x14ac:dyDescent="0.2">
      <c r="A701" s="147"/>
      <c r="B701" s="147"/>
      <c r="C701" s="169"/>
      <c r="D701" s="148"/>
      <c r="E701" s="165"/>
      <c r="F701" s="150"/>
      <c r="G701" s="147"/>
      <c r="H701" s="147"/>
      <c r="I701" s="183"/>
      <c r="J701" s="147"/>
      <c r="K701" s="87"/>
    </row>
    <row r="702" spans="1:11" s="7" customFormat="1" x14ac:dyDescent="0.2">
      <c r="A702" s="148" t="s">
        <v>19</v>
      </c>
      <c r="B702" s="147"/>
      <c r="C702" s="148" t="s">
        <v>289</v>
      </c>
      <c r="D702" s="149" t="s">
        <v>591</v>
      </c>
      <c r="E702" s="165">
        <v>40210</v>
      </c>
      <c r="F702" s="150">
        <v>4897677</v>
      </c>
      <c r="G702" s="147">
        <v>24220</v>
      </c>
      <c r="H702" s="147"/>
      <c r="I702" s="183"/>
      <c r="J702" s="147"/>
      <c r="K702" s="87"/>
    </row>
    <row r="703" spans="1:11" ht="12.75" x14ac:dyDescent="0.2">
      <c r="A703" s="147"/>
      <c r="B703" s="147"/>
      <c r="C703" s="169"/>
      <c r="D703" s="147" t="s">
        <v>581</v>
      </c>
      <c r="E703" s="165"/>
      <c r="F703" s="150"/>
      <c r="G703" s="147"/>
      <c r="H703" s="147">
        <v>200</v>
      </c>
      <c r="I703" s="152">
        <f>H703/$H$706</f>
        <v>1.0554089709762533E-2</v>
      </c>
      <c r="J703" s="147"/>
      <c r="K703" s="139"/>
    </row>
    <row r="704" spans="1:11" s="7" customFormat="1" x14ac:dyDescent="0.2">
      <c r="A704" s="147"/>
      <c r="B704" s="147"/>
      <c r="C704" s="169"/>
      <c r="D704" s="147" t="s">
        <v>583</v>
      </c>
      <c r="E704" s="165"/>
      <c r="F704" s="150"/>
      <c r="G704" s="147"/>
      <c r="H704" s="147">
        <v>8972</v>
      </c>
      <c r="I704" s="152">
        <f>H704/$H$706</f>
        <v>0.47345646437994721</v>
      </c>
      <c r="J704" s="153" t="s">
        <v>42</v>
      </c>
      <c r="K704" s="87"/>
    </row>
    <row r="705" spans="1:11" s="7" customFormat="1" x14ac:dyDescent="0.2">
      <c r="A705" s="147"/>
      <c r="B705" s="147"/>
      <c r="C705" s="169"/>
      <c r="D705" s="147" t="s">
        <v>584</v>
      </c>
      <c r="E705" s="165"/>
      <c r="F705" s="150"/>
      <c r="G705" s="147"/>
      <c r="H705" s="147">
        <v>9778</v>
      </c>
      <c r="I705" s="152">
        <f>H705/$H$706</f>
        <v>0.51598944591029028</v>
      </c>
      <c r="J705" s="153" t="s">
        <v>74</v>
      </c>
      <c r="K705" s="87"/>
    </row>
    <row r="706" spans="1:11" s="7" customFormat="1" x14ac:dyDescent="0.2">
      <c r="A706" s="147"/>
      <c r="B706" s="147"/>
      <c r="C706" s="169"/>
      <c r="D706" s="148" t="s">
        <v>33</v>
      </c>
      <c r="E706" s="165"/>
      <c r="F706" s="150"/>
      <c r="G706" s="147"/>
      <c r="H706" s="167">
        <f>SUM(H703:H705)</f>
        <v>18950</v>
      </c>
      <c r="I706" s="184">
        <f>SUM(I703:I705)</f>
        <v>1</v>
      </c>
      <c r="J706" s="147"/>
      <c r="K706" s="87"/>
    </row>
    <row r="707" spans="1:11" s="7" customFormat="1" x14ac:dyDescent="0.2">
      <c r="A707" s="147"/>
      <c r="B707" s="147"/>
      <c r="C707" s="169"/>
      <c r="D707" s="148"/>
      <c r="E707" s="165"/>
      <c r="F707" s="150"/>
      <c r="G707" s="147"/>
      <c r="H707" s="147"/>
      <c r="I707" s="183"/>
      <c r="J707" s="147"/>
      <c r="K707" s="87"/>
    </row>
    <row r="708" spans="1:11" s="7" customFormat="1" x14ac:dyDescent="0.2">
      <c r="A708" s="148" t="s">
        <v>19</v>
      </c>
      <c r="B708" s="169"/>
      <c r="C708" s="148" t="s">
        <v>289</v>
      </c>
      <c r="D708" s="149" t="s">
        <v>592</v>
      </c>
      <c r="E708" s="165">
        <v>40330</v>
      </c>
      <c r="F708" s="150">
        <v>24880488</v>
      </c>
      <c r="G708" s="147">
        <v>60337</v>
      </c>
      <c r="H708" s="147"/>
      <c r="I708" s="183"/>
      <c r="J708" s="147"/>
      <c r="K708" s="87"/>
    </row>
    <row r="709" spans="1:11" s="7" customFormat="1" x14ac:dyDescent="0.2">
      <c r="A709" s="147"/>
      <c r="B709" s="147"/>
      <c r="C709" s="169"/>
      <c r="D709" s="147" t="s">
        <v>581</v>
      </c>
      <c r="E709" s="165"/>
      <c r="F709" s="150"/>
      <c r="G709" s="147"/>
      <c r="H709" s="147">
        <v>2878</v>
      </c>
      <c r="I709" s="183">
        <f t="shared" ref="I709:I714" si="11">H709/$H$715</f>
        <v>7.6075176442599979E-2</v>
      </c>
      <c r="J709" s="147"/>
      <c r="K709" s="87"/>
    </row>
    <row r="710" spans="1:11" s="7" customFormat="1" x14ac:dyDescent="0.2">
      <c r="A710" s="147"/>
      <c r="B710" s="147"/>
      <c r="C710" s="169"/>
      <c r="D710" s="147" t="s">
        <v>593</v>
      </c>
      <c r="E710" s="165"/>
      <c r="F710" s="150"/>
      <c r="G710" s="147"/>
      <c r="H710" s="147">
        <v>23534</v>
      </c>
      <c r="I710" s="183">
        <f t="shared" si="11"/>
        <v>0.62208241918003748</v>
      </c>
      <c r="J710" s="151" t="s">
        <v>108</v>
      </c>
      <c r="K710" s="87"/>
    </row>
    <row r="711" spans="1:11" ht="12.75" x14ac:dyDescent="0.2">
      <c r="A711" s="147"/>
      <c r="B711" s="147"/>
      <c r="C711" s="169"/>
      <c r="D711" s="147" t="s">
        <v>594</v>
      </c>
      <c r="E711" s="165"/>
      <c r="F711" s="150"/>
      <c r="G711" s="147"/>
      <c r="H711" s="147">
        <v>0</v>
      </c>
      <c r="I711" s="183">
        <f t="shared" si="11"/>
        <v>0</v>
      </c>
      <c r="J711" s="151"/>
      <c r="K711" s="139"/>
    </row>
    <row r="712" spans="1:11" ht="12.75" x14ac:dyDescent="0.2">
      <c r="A712" s="147"/>
      <c r="B712" s="147"/>
      <c r="C712" s="169"/>
      <c r="D712" s="147" t="s">
        <v>589</v>
      </c>
      <c r="E712" s="165"/>
      <c r="F712" s="150"/>
      <c r="G712" s="147"/>
      <c r="H712" s="147">
        <v>10664</v>
      </c>
      <c r="I712" s="183">
        <f t="shared" si="11"/>
        <v>0.28188522640162827</v>
      </c>
      <c r="J712" s="151"/>
      <c r="K712" s="139"/>
    </row>
    <row r="713" spans="1:11" s="7" customFormat="1" x14ac:dyDescent="0.2">
      <c r="A713" s="147"/>
      <c r="B713" s="147"/>
      <c r="C713" s="169"/>
      <c r="D713" s="147" t="s">
        <v>595</v>
      </c>
      <c r="E713" s="165"/>
      <c r="F713" s="150"/>
      <c r="G713" s="147"/>
      <c r="H713" s="147">
        <v>0</v>
      </c>
      <c r="I713" s="183">
        <f t="shared" si="11"/>
        <v>0</v>
      </c>
      <c r="J713" s="147"/>
      <c r="K713" s="87"/>
    </row>
    <row r="714" spans="1:11" s="7" customFormat="1" x14ac:dyDescent="0.2">
      <c r="A714" s="147"/>
      <c r="B714" s="147"/>
      <c r="C714" s="169"/>
      <c r="D714" s="147" t="s">
        <v>590</v>
      </c>
      <c r="E714" s="165"/>
      <c r="F714" s="150"/>
      <c r="G714" s="147"/>
      <c r="H714" s="147">
        <v>755</v>
      </c>
      <c r="I714" s="183">
        <f t="shared" si="11"/>
        <v>1.9957177975734187E-2</v>
      </c>
      <c r="J714" s="147"/>
      <c r="K714" s="87"/>
    </row>
    <row r="715" spans="1:11" s="7" customFormat="1" x14ac:dyDescent="0.2">
      <c r="A715" s="147"/>
      <c r="B715" s="147"/>
      <c r="C715" s="169"/>
      <c r="D715" s="148" t="s">
        <v>33</v>
      </c>
      <c r="E715" s="165"/>
      <c r="F715" s="150"/>
      <c r="G715" s="147"/>
      <c r="H715" s="167">
        <f>SUM(H709:H714)</f>
        <v>37831</v>
      </c>
      <c r="I715" s="184">
        <f>SUM(I709:I714)</f>
        <v>0.99999999999999989</v>
      </c>
      <c r="J715" s="147"/>
      <c r="K715" s="87"/>
    </row>
    <row r="716" spans="1:11" s="7" customFormat="1" x14ac:dyDescent="0.2">
      <c r="A716" s="147"/>
      <c r="B716" s="147"/>
      <c r="C716" s="169"/>
      <c r="D716" s="148"/>
      <c r="E716" s="165"/>
      <c r="F716" s="150"/>
      <c r="G716" s="147"/>
      <c r="H716" s="147"/>
      <c r="I716" s="183"/>
      <c r="J716" s="147"/>
      <c r="K716" s="87"/>
    </row>
    <row r="717" spans="1:11" s="7" customFormat="1" x14ac:dyDescent="0.2">
      <c r="A717" s="148" t="s">
        <v>19</v>
      </c>
      <c r="B717" s="148"/>
      <c r="C717" s="148" t="s">
        <v>289</v>
      </c>
      <c r="D717" s="147" t="s">
        <v>598</v>
      </c>
      <c r="E717" s="165">
        <v>40238</v>
      </c>
      <c r="F717" s="150">
        <v>3096011</v>
      </c>
      <c r="G717" s="147">
        <v>45440</v>
      </c>
      <c r="H717" s="147"/>
      <c r="I717" s="183"/>
      <c r="J717" s="147"/>
      <c r="K717" s="87"/>
    </row>
    <row r="718" spans="1:11" s="7" customFormat="1" x14ac:dyDescent="0.2">
      <c r="A718" s="147"/>
      <c r="B718" s="147"/>
      <c r="C718" s="169"/>
      <c r="D718" s="149" t="s">
        <v>599</v>
      </c>
      <c r="E718" s="165"/>
      <c r="F718" s="150"/>
      <c r="G718" s="147"/>
      <c r="H718" s="147">
        <v>42433</v>
      </c>
      <c r="I718" s="183">
        <f>H718/H719</f>
        <v>1</v>
      </c>
      <c r="J718" s="151" t="s">
        <v>92</v>
      </c>
      <c r="K718" s="87"/>
    </row>
    <row r="719" spans="1:11" s="7" customFormat="1" x14ac:dyDescent="0.2">
      <c r="A719" s="147"/>
      <c r="B719" s="147"/>
      <c r="C719" s="169"/>
      <c r="D719" s="148" t="s">
        <v>33</v>
      </c>
      <c r="E719" s="165"/>
      <c r="F719" s="150"/>
      <c r="G719" s="147"/>
      <c r="H719" s="167">
        <f>SUM(H718)</f>
        <v>42433</v>
      </c>
      <c r="I719" s="184">
        <f>SUM(I718)</f>
        <v>1</v>
      </c>
      <c r="J719" s="147"/>
      <c r="K719" s="87"/>
    </row>
    <row r="720" spans="1:11" s="7" customFormat="1" x14ac:dyDescent="0.2">
      <c r="A720" s="147"/>
      <c r="B720" s="147"/>
      <c r="C720" s="169"/>
      <c r="D720" s="148"/>
      <c r="E720" s="165"/>
      <c r="F720" s="150"/>
      <c r="G720" s="147"/>
      <c r="H720" s="147"/>
      <c r="I720" s="183"/>
      <c r="J720" s="147"/>
      <c r="K720" s="87"/>
    </row>
    <row r="721" spans="1:11" s="7" customFormat="1" x14ac:dyDescent="0.2">
      <c r="A721" s="148" t="s">
        <v>19</v>
      </c>
      <c r="B721" s="148"/>
      <c r="C721" s="148" t="s">
        <v>289</v>
      </c>
      <c r="D721" s="147" t="s">
        <v>618</v>
      </c>
      <c r="E721" s="165">
        <v>41091</v>
      </c>
      <c r="F721" s="150">
        <v>48774476</v>
      </c>
      <c r="G721" s="147">
        <v>170632</v>
      </c>
      <c r="H721" s="147"/>
      <c r="I721" s="183"/>
      <c r="J721" s="147"/>
      <c r="K721" s="87"/>
    </row>
    <row r="722" spans="1:11" s="7" customFormat="1" x14ac:dyDescent="0.2">
      <c r="A722" s="147"/>
      <c r="B722" s="147"/>
      <c r="C722" s="169"/>
      <c r="D722" s="149" t="s">
        <v>261</v>
      </c>
      <c r="E722" s="165"/>
      <c r="F722" s="150"/>
      <c r="G722" s="147"/>
      <c r="H722" s="147">
        <v>14291</v>
      </c>
      <c r="I722" s="183">
        <f>H722/$H$727</f>
        <v>0.12877791194333807</v>
      </c>
      <c r="J722" s="147"/>
      <c r="K722" s="87"/>
    </row>
    <row r="723" spans="1:11" s="7" customFormat="1" x14ac:dyDescent="0.2">
      <c r="A723" s="147"/>
      <c r="B723" s="147"/>
      <c r="C723" s="169"/>
      <c r="D723" s="149" t="s">
        <v>262</v>
      </c>
      <c r="E723" s="165"/>
      <c r="F723" s="150"/>
      <c r="G723" s="147"/>
      <c r="H723" s="147">
        <v>3790</v>
      </c>
      <c r="I723" s="183">
        <f>H723/$H$727</f>
        <v>3.4152143745381801E-2</v>
      </c>
      <c r="J723" s="147"/>
      <c r="K723" s="87"/>
    </row>
    <row r="724" spans="1:11" s="7" customFormat="1" x14ac:dyDescent="0.2">
      <c r="A724" s="147"/>
      <c r="B724" s="147"/>
      <c r="C724" s="169"/>
      <c r="D724" s="147" t="s">
        <v>288</v>
      </c>
      <c r="E724" s="165"/>
      <c r="F724" s="150"/>
      <c r="G724" s="147"/>
      <c r="H724" s="147">
        <v>15512</v>
      </c>
      <c r="I724" s="183">
        <f>H724/$H$727</f>
        <v>0.13978048912357849</v>
      </c>
      <c r="J724" s="147"/>
      <c r="K724" s="87"/>
    </row>
    <row r="725" spans="1:11" s="7" customFormat="1" x14ac:dyDescent="0.2">
      <c r="A725" s="147"/>
      <c r="B725" s="147"/>
      <c r="C725" s="169"/>
      <c r="D725" s="154" t="s">
        <v>244</v>
      </c>
      <c r="E725" s="165"/>
      <c r="F725" s="150"/>
      <c r="G725" s="147"/>
      <c r="H725" s="147">
        <v>60192</v>
      </c>
      <c r="I725" s="183">
        <f>H725/$H$727</f>
        <v>0.54239731829077076</v>
      </c>
      <c r="J725" s="153" t="s">
        <v>244</v>
      </c>
      <c r="K725" s="87"/>
    </row>
    <row r="726" spans="1:11" s="7" customFormat="1" x14ac:dyDescent="0.2">
      <c r="A726" s="147"/>
      <c r="B726" s="147"/>
      <c r="C726" s="169"/>
      <c r="D726" s="147" t="s">
        <v>473</v>
      </c>
      <c r="E726" s="165"/>
      <c r="F726" s="150"/>
      <c r="G726" s="147"/>
      <c r="H726" s="147">
        <v>17189</v>
      </c>
      <c r="I726" s="183">
        <f>H726/$H$727</f>
        <v>0.15489213689693082</v>
      </c>
      <c r="J726" s="147"/>
      <c r="K726" s="87"/>
    </row>
    <row r="727" spans="1:11" s="7" customFormat="1" x14ac:dyDescent="0.2">
      <c r="A727" s="147"/>
      <c r="B727" s="147"/>
      <c r="C727" s="169"/>
      <c r="D727" s="148" t="s">
        <v>33</v>
      </c>
      <c r="E727" s="165"/>
      <c r="F727" s="150"/>
      <c r="G727" s="147"/>
      <c r="H727" s="167">
        <f>SUM(H722:H726)</f>
        <v>110974</v>
      </c>
      <c r="I727" s="185">
        <f>SUM(I722:I726)</f>
        <v>0.99999999999999989</v>
      </c>
      <c r="J727" s="147"/>
      <c r="K727" s="87"/>
    </row>
    <row r="728" spans="1:11" s="7" customFormat="1" x14ac:dyDescent="0.2">
      <c r="A728" s="147"/>
      <c r="B728" s="147"/>
      <c r="C728" s="169"/>
      <c r="D728" s="148"/>
      <c r="E728" s="165"/>
      <c r="F728" s="150"/>
      <c r="G728" s="147"/>
      <c r="H728" s="147"/>
      <c r="I728" s="183"/>
      <c r="J728" s="147"/>
      <c r="K728" s="87"/>
    </row>
    <row r="729" spans="1:11" s="7" customFormat="1" x14ac:dyDescent="0.2">
      <c r="A729" s="148" t="s">
        <v>19</v>
      </c>
      <c r="B729" s="147"/>
      <c r="C729" s="148" t="s">
        <v>289</v>
      </c>
      <c r="D729" s="149" t="s">
        <v>629</v>
      </c>
      <c r="E729" s="165">
        <v>40940</v>
      </c>
      <c r="F729" s="150">
        <v>15395753</v>
      </c>
      <c r="G729" s="147">
        <v>33400</v>
      </c>
      <c r="H729" s="147"/>
      <c r="I729" s="183"/>
      <c r="J729" s="147"/>
      <c r="K729" s="87"/>
    </row>
    <row r="730" spans="1:11" s="7" customFormat="1" x14ac:dyDescent="0.2">
      <c r="A730" s="147"/>
      <c r="B730" s="147"/>
      <c r="C730" s="169"/>
      <c r="D730" s="149" t="s">
        <v>581</v>
      </c>
      <c r="E730" s="165"/>
      <c r="F730" s="150"/>
      <c r="G730" s="147"/>
      <c r="H730" s="147">
        <v>3400</v>
      </c>
      <c r="I730" s="183">
        <f>(H730/$H$741)</f>
        <v>0.12611275964391691</v>
      </c>
      <c r="J730" s="147"/>
      <c r="K730" s="87"/>
    </row>
    <row r="731" spans="1:11" s="7" customFormat="1" x14ac:dyDescent="0.2">
      <c r="A731" s="147"/>
      <c r="B731" s="147"/>
      <c r="C731" s="169"/>
      <c r="D731" s="149" t="s">
        <v>627</v>
      </c>
      <c r="E731" s="165"/>
      <c r="F731" s="150"/>
      <c r="G731" s="147"/>
      <c r="H731" s="147">
        <v>0</v>
      </c>
      <c r="I731" s="183">
        <f t="shared" ref="I731:I740" si="12">(H731/$H$741)</f>
        <v>0</v>
      </c>
      <c r="J731" s="147"/>
      <c r="K731" s="87"/>
    </row>
    <row r="732" spans="1:11" s="7" customFormat="1" x14ac:dyDescent="0.2">
      <c r="A732" s="147"/>
      <c r="B732" s="147"/>
      <c r="C732" s="169"/>
      <c r="D732" s="149" t="s">
        <v>603</v>
      </c>
      <c r="E732" s="165"/>
      <c r="F732" s="150"/>
      <c r="G732" s="147"/>
      <c r="H732" s="147">
        <v>0</v>
      </c>
      <c r="I732" s="183">
        <f t="shared" si="12"/>
        <v>0</v>
      </c>
      <c r="J732" s="147"/>
      <c r="K732" s="87"/>
    </row>
    <row r="733" spans="1:11" s="7" customFormat="1" x14ac:dyDescent="0.2">
      <c r="A733" s="147"/>
      <c r="B733" s="147"/>
      <c r="C733" s="169"/>
      <c r="D733" s="149" t="s">
        <v>583</v>
      </c>
      <c r="E733" s="165"/>
      <c r="F733" s="150"/>
      <c r="G733" s="147"/>
      <c r="H733" s="147">
        <v>3940</v>
      </c>
      <c r="I733" s="183">
        <f t="shared" si="12"/>
        <v>0.14614243323442136</v>
      </c>
      <c r="J733" s="147"/>
      <c r="K733" s="87"/>
    </row>
    <row r="734" spans="1:11" s="7" customFormat="1" x14ac:dyDescent="0.2">
      <c r="A734" s="147"/>
      <c r="B734" s="147"/>
      <c r="C734" s="169"/>
      <c r="D734" s="149" t="s">
        <v>594</v>
      </c>
      <c r="E734" s="165"/>
      <c r="F734" s="150"/>
      <c r="G734" s="147"/>
      <c r="H734" s="147">
        <v>0</v>
      </c>
      <c r="I734" s="183">
        <f t="shared" si="12"/>
        <v>0</v>
      </c>
      <c r="J734" s="147"/>
      <c r="K734" s="87"/>
    </row>
    <row r="735" spans="1:11" s="7" customFormat="1" x14ac:dyDescent="0.2">
      <c r="A735" s="147"/>
      <c r="B735" s="147"/>
      <c r="C735" s="169"/>
      <c r="D735" s="149" t="s">
        <v>584</v>
      </c>
      <c r="E735" s="165"/>
      <c r="F735" s="150"/>
      <c r="G735" s="147"/>
      <c r="H735" s="147">
        <v>1900</v>
      </c>
      <c r="I735" s="183">
        <f t="shared" si="12"/>
        <v>7.0474777448071221E-2</v>
      </c>
      <c r="J735" s="147"/>
      <c r="K735" s="87"/>
    </row>
    <row r="736" spans="1:11" s="7" customFormat="1" x14ac:dyDescent="0.2">
      <c r="A736" s="147"/>
      <c r="B736" s="147"/>
      <c r="C736" s="169"/>
      <c r="D736" s="149" t="s">
        <v>599</v>
      </c>
      <c r="E736" s="165"/>
      <c r="F736" s="150"/>
      <c r="G736" s="147"/>
      <c r="H736" s="147">
        <v>0</v>
      </c>
      <c r="I736" s="183">
        <f t="shared" si="12"/>
        <v>0</v>
      </c>
      <c r="J736" s="147"/>
      <c r="K736" s="87"/>
    </row>
    <row r="737" spans="1:11" s="7" customFormat="1" x14ac:dyDescent="0.2">
      <c r="A737" s="147"/>
      <c r="B737" s="147"/>
      <c r="C737" s="169"/>
      <c r="D737" s="149" t="s">
        <v>628</v>
      </c>
      <c r="E737" s="165"/>
      <c r="F737" s="150"/>
      <c r="G737" s="147"/>
      <c r="H737" s="147">
        <v>0</v>
      </c>
      <c r="I737" s="183">
        <f t="shared" si="12"/>
        <v>0</v>
      </c>
      <c r="J737" s="147"/>
      <c r="K737" s="87"/>
    </row>
    <row r="738" spans="1:11" s="7" customFormat="1" x14ac:dyDescent="0.2">
      <c r="A738" s="147"/>
      <c r="B738" s="147"/>
      <c r="C738" s="169"/>
      <c r="D738" s="149" t="s">
        <v>589</v>
      </c>
      <c r="E738" s="165"/>
      <c r="F738" s="150"/>
      <c r="G738" s="147"/>
      <c r="H738" s="147">
        <v>9360</v>
      </c>
      <c r="I738" s="183">
        <f t="shared" si="12"/>
        <v>0.34718100890207715</v>
      </c>
      <c r="J738" s="151" t="s">
        <v>288</v>
      </c>
      <c r="K738" s="87"/>
    </row>
    <row r="739" spans="1:11" s="7" customFormat="1" x14ac:dyDescent="0.2">
      <c r="A739" s="147"/>
      <c r="B739" s="147"/>
      <c r="C739" s="169"/>
      <c r="D739" s="149" t="s">
        <v>595</v>
      </c>
      <c r="E739" s="165"/>
      <c r="F739" s="150"/>
      <c r="G739" s="147"/>
      <c r="H739" s="147">
        <v>505</v>
      </c>
      <c r="I739" s="183">
        <f t="shared" si="12"/>
        <v>1.873145400593472E-2</v>
      </c>
      <c r="J739" s="147"/>
      <c r="K739" s="87"/>
    </row>
    <row r="740" spans="1:11" s="7" customFormat="1" x14ac:dyDescent="0.2">
      <c r="A740" s="147"/>
      <c r="B740" s="147"/>
      <c r="C740" s="169"/>
      <c r="D740" s="149" t="s">
        <v>615</v>
      </c>
      <c r="E740" s="165"/>
      <c r="F740" s="150"/>
      <c r="G740" s="147"/>
      <c r="H740" s="147">
        <v>7855</v>
      </c>
      <c r="I740" s="183">
        <f t="shared" si="12"/>
        <v>0.29135756676557861</v>
      </c>
      <c r="J740" s="147"/>
      <c r="K740" s="87"/>
    </row>
    <row r="741" spans="1:11" s="7" customFormat="1" x14ac:dyDescent="0.2">
      <c r="A741" s="147"/>
      <c r="B741" s="147"/>
      <c r="C741" s="169"/>
      <c r="D741" s="148" t="s">
        <v>33</v>
      </c>
      <c r="E741" s="165"/>
      <c r="F741" s="150"/>
      <c r="G741" s="147"/>
      <c r="H741" s="167">
        <f>SUM(H730:H740)</f>
        <v>26960</v>
      </c>
      <c r="I741" s="184">
        <f>SUM(I730:I740)</f>
        <v>1</v>
      </c>
      <c r="J741" s="147"/>
      <c r="K741" s="87"/>
    </row>
    <row r="742" spans="1:11" s="7" customFormat="1" x14ac:dyDescent="0.2">
      <c r="A742" s="147"/>
      <c r="B742" s="147"/>
      <c r="C742" s="169"/>
      <c r="D742" s="148"/>
      <c r="E742" s="165"/>
      <c r="F742" s="150"/>
      <c r="G742" s="147"/>
      <c r="H742" s="147"/>
      <c r="I742" s="183"/>
      <c r="J742" s="147"/>
      <c r="K742" s="87"/>
    </row>
    <row r="743" spans="1:11" s="7" customFormat="1" x14ac:dyDescent="0.2">
      <c r="A743" s="148" t="s">
        <v>19</v>
      </c>
      <c r="B743" s="169"/>
      <c r="C743" s="148" t="s">
        <v>289</v>
      </c>
      <c r="D743" s="149" t="s">
        <v>650</v>
      </c>
      <c r="E743" s="165" t="s">
        <v>651</v>
      </c>
      <c r="F743" s="186">
        <v>10905409</v>
      </c>
      <c r="G743" s="147">
        <v>24763</v>
      </c>
      <c r="H743" s="183"/>
      <c r="I743" s="147"/>
      <c r="J743" s="147"/>
      <c r="K743" s="87"/>
    </row>
    <row r="744" spans="1:11" s="7" customFormat="1" x14ac:dyDescent="0.2">
      <c r="A744" s="169"/>
      <c r="B744" s="169"/>
      <c r="C744" s="169"/>
      <c r="D744" s="149" t="s">
        <v>581</v>
      </c>
      <c r="E744" s="165" t="s">
        <v>236</v>
      </c>
      <c r="F744" s="150"/>
      <c r="G744" s="147"/>
      <c r="H744" s="147">
        <v>2800</v>
      </c>
      <c r="I744" s="183">
        <f t="shared" ref="I744:I749" si="13">H744/$H$749</f>
        <v>0.14526588845654995</v>
      </c>
      <c r="J744" s="147"/>
      <c r="K744" s="87"/>
    </row>
    <row r="745" spans="1:11" s="7" customFormat="1" x14ac:dyDescent="0.2">
      <c r="A745" s="147"/>
      <c r="B745" s="147"/>
      <c r="C745" s="169"/>
      <c r="D745" s="149" t="s">
        <v>627</v>
      </c>
      <c r="E745" s="165"/>
      <c r="F745" s="150"/>
      <c r="G745" s="147"/>
      <c r="H745" s="147">
        <v>1125</v>
      </c>
      <c r="I745" s="183">
        <f t="shared" si="13"/>
        <v>5.8365758754863814E-2</v>
      </c>
      <c r="J745" s="147"/>
      <c r="K745" s="87"/>
    </row>
    <row r="746" spans="1:11" s="7" customFormat="1" x14ac:dyDescent="0.2">
      <c r="A746" s="147"/>
      <c r="B746" s="147"/>
      <c r="C746" s="169"/>
      <c r="D746" s="153" t="s">
        <v>709</v>
      </c>
      <c r="E746" s="165"/>
      <c r="F746" s="150"/>
      <c r="G746" s="147"/>
      <c r="H746" s="147">
        <v>4250</v>
      </c>
      <c r="I746" s="183">
        <f t="shared" si="13"/>
        <v>0.22049286640726329</v>
      </c>
      <c r="J746" s="147"/>
      <c r="K746" s="87"/>
    </row>
    <row r="747" spans="1:11" s="7" customFormat="1" x14ac:dyDescent="0.2">
      <c r="A747" s="147"/>
      <c r="B747" s="147"/>
      <c r="C747" s="169"/>
      <c r="D747" s="153" t="s">
        <v>710</v>
      </c>
      <c r="E747" s="165"/>
      <c r="F747" s="150"/>
      <c r="G747" s="147"/>
      <c r="H747" s="147">
        <v>9500</v>
      </c>
      <c r="I747" s="183">
        <f t="shared" si="13"/>
        <v>0.49286640726329445</v>
      </c>
      <c r="J747" s="151" t="s">
        <v>74</v>
      </c>
      <c r="K747" s="87"/>
    </row>
    <row r="748" spans="1:11" s="7" customFormat="1" x14ac:dyDescent="0.2">
      <c r="A748" s="147"/>
      <c r="B748" s="147"/>
      <c r="C748" s="169"/>
      <c r="D748" s="153" t="s">
        <v>711</v>
      </c>
      <c r="E748" s="165"/>
      <c r="F748" s="150"/>
      <c r="G748" s="147"/>
      <c r="H748" s="147">
        <v>1600</v>
      </c>
      <c r="I748" s="183">
        <f t="shared" si="13"/>
        <v>8.3009079118028531E-2</v>
      </c>
      <c r="J748" s="147"/>
      <c r="K748" s="87"/>
    </row>
    <row r="749" spans="1:11" s="7" customFormat="1" x14ac:dyDescent="0.2">
      <c r="A749" s="147"/>
      <c r="B749" s="147"/>
      <c r="C749" s="169"/>
      <c r="D749" s="148" t="s">
        <v>33</v>
      </c>
      <c r="E749" s="165"/>
      <c r="F749" s="150"/>
      <c r="G749" s="147"/>
      <c r="H749" s="167">
        <v>19275</v>
      </c>
      <c r="I749" s="184">
        <f t="shared" si="13"/>
        <v>1</v>
      </c>
      <c r="J749" s="147"/>
      <c r="K749" s="87"/>
    </row>
    <row r="750" spans="1:11" s="7" customFormat="1" x14ac:dyDescent="0.2">
      <c r="A750" s="147"/>
      <c r="B750" s="147"/>
      <c r="C750" s="169"/>
      <c r="D750" s="148"/>
      <c r="E750" s="165"/>
      <c r="F750" s="150"/>
      <c r="G750" s="147"/>
      <c r="H750" s="147"/>
      <c r="I750" s="183"/>
      <c r="J750" s="147"/>
      <c r="K750" s="87"/>
    </row>
    <row r="751" spans="1:11" s="7" customFormat="1" x14ac:dyDescent="0.2">
      <c r="A751" s="173" t="s">
        <v>19</v>
      </c>
      <c r="B751" s="187"/>
      <c r="C751" s="173" t="s">
        <v>506</v>
      </c>
      <c r="D751" s="188" t="s">
        <v>676</v>
      </c>
      <c r="E751" s="175" t="s">
        <v>678</v>
      </c>
      <c r="F751" s="189">
        <v>7315757</v>
      </c>
      <c r="G751" s="177">
        <v>23852</v>
      </c>
      <c r="H751" s="190"/>
      <c r="I751" s="177"/>
      <c r="J751" s="177"/>
      <c r="K751" s="87"/>
    </row>
    <row r="752" spans="1:11" s="7" customFormat="1" x14ac:dyDescent="0.2">
      <c r="A752" s="147"/>
      <c r="B752" s="147"/>
      <c r="C752" s="169"/>
      <c r="D752" s="149" t="s">
        <v>627</v>
      </c>
      <c r="E752" s="165"/>
      <c r="F752" s="150"/>
      <c r="G752" s="147"/>
      <c r="H752" s="147">
        <v>2606</v>
      </c>
      <c r="I752" s="183">
        <f>H752/$H$756</f>
        <v>0.2436652641421225</v>
      </c>
      <c r="J752" s="147"/>
      <c r="K752" s="87"/>
    </row>
    <row r="753" spans="1:11" s="7" customFormat="1" x14ac:dyDescent="0.2">
      <c r="A753" s="147"/>
      <c r="B753" s="147"/>
      <c r="C753" s="169"/>
      <c r="D753" s="153" t="s">
        <v>712</v>
      </c>
      <c r="E753" s="165"/>
      <c r="F753" s="150"/>
      <c r="G753" s="147"/>
      <c r="H753" s="147">
        <v>740</v>
      </c>
      <c r="I753" s="183">
        <f>H753/$H$756</f>
        <v>6.9191210846189802E-2</v>
      </c>
      <c r="J753" s="147"/>
      <c r="K753" s="87"/>
    </row>
    <row r="754" spans="1:11" s="7" customFormat="1" x14ac:dyDescent="0.2">
      <c r="A754" s="147"/>
      <c r="B754" s="147"/>
      <c r="C754" s="169"/>
      <c r="D754" s="153" t="s">
        <v>713</v>
      </c>
      <c r="E754" s="165"/>
      <c r="F754" s="150"/>
      <c r="G754" s="147"/>
      <c r="H754" s="147">
        <v>3387</v>
      </c>
      <c r="I754" s="183">
        <f>H754/$H$756</f>
        <v>0.31669004207573631</v>
      </c>
      <c r="J754" s="151" t="s">
        <v>74</v>
      </c>
      <c r="K754" s="87"/>
    </row>
    <row r="755" spans="1:11" ht="12.75" x14ac:dyDescent="0.2">
      <c r="A755" s="147"/>
      <c r="B755" s="147"/>
      <c r="C755" s="169"/>
      <c r="D755" s="191" t="s">
        <v>679</v>
      </c>
      <c r="E755" s="165"/>
      <c r="F755" s="150"/>
      <c r="G755" s="147"/>
      <c r="H755" s="147">
        <v>3962</v>
      </c>
      <c r="I755" s="183">
        <f>H755/$H$756</f>
        <v>0.37045348293595137</v>
      </c>
      <c r="J755" s="151" t="s">
        <v>679</v>
      </c>
      <c r="K755" s="139"/>
    </row>
    <row r="756" spans="1:11" ht="12.75" x14ac:dyDescent="0.2">
      <c r="A756" s="147"/>
      <c r="B756" s="147"/>
      <c r="C756" s="169"/>
      <c r="D756" s="148" t="s">
        <v>33</v>
      </c>
      <c r="E756" s="165"/>
      <c r="F756" s="150"/>
      <c r="G756" s="147"/>
      <c r="H756" s="167">
        <v>10695</v>
      </c>
      <c r="I756" s="184">
        <f>SUM(I752:I755)</f>
        <v>1</v>
      </c>
      <c r="J756" s="147"/>
      <c r="K756" s="139"/>
    </row>
    <row r="757" spans="1:11" ht="12.75" x14ac:dyDescent="0.2">
      <c r="A757" s="147"/>
      <c r="B757" s="147"/>
      <c r="C757" s="169"/>
      <c r="D757" s="148"/>
      <c r="E757" s="165"/>
      <c r="F757" s="150"/>
      <c r="G757" s="147"/>
      <c r="H757" s="147"/>
      <c r="I757" s="183"/>
      <c r="J757" s="147"/>
      <c r="K757" s="139"/>
    </row>
    <row r="758" spans="1:11" ht="12.75" x14ac:dyDescent="0.2">
      <c r="A758" s="173" t="s">
        <v>19</v>
      </c>
      <c r="B758" s="187"/>
      <c r="C758" s="173" t="s">
        <v>289</v>
      </c>
      <c r="D758" s="188" t="s">
        <v>685</v>
      </c>
      <c r="E758" s="175" t="s">
        <v>686</v>
      </c>
      <c r="F758" s="189">
        <v>56225483</v>
      </c>
      <c r="G758" s="177">
        <v>143038</v>
      </c>
      <c r="H758" s="190"/>
      <c r="I758" s="177"/>
      <c r="J758" s="177"/>
      <c r="K758" s="139"/>
    </row>
    <row r="759" spans="1:11" ht="12.75" x14ac:dyDescent="0.2">
      <c r="A759" s="147"/>
      <c r="B759" s="147"/>
      <c r="C759" s="169"/>
      <c r="D759" s="149" t="s">
        <v>627</v>
      </c>
      <c r="E759" s="165"/>
      <c r="F759" s="150"/>
      <c r="G759" s="147"/>
      <c r="H759" s="147">
        <v>10468</v>
      </c>
      <c r="I759" s="183">
        <f>H759/$H$766</f>
        <v>0.14964119278382937</v>
      </c>
      <c r="J759" s="147"/>
      <c r="K759" s="139"/>
    </row>
    <row r="760" spans="1:11" ht="12.75" x14ac:dyDescent="0.2">
      <c r="A760" s="147"/>
      <c r="B760" s="147"/>
      <c r="C760" s="169"/>
      <c r="D760" s="191" t="s">
        <v>687</v>
      </c>
      <c r="E760" s="165"/>
      <c r="F760" s="150"/>
      <c r="G760" s="147"/>
      <c r="H760" s="147">
        <v>22642</v>
      </c>
      <c r="I760" s="183">
        <f t="shared" ref="I760:I766" si="14">H760/$H$766</f>
        <v>0.32366984018069017</v>
      </c>
      <c r="J760" s="151" t="s">
        <v>687</v>
      </c>
      <c r="K760" s="139"/>
    </row>
    <row r="761" spans="1:11" ht="12.75" x14ac:dyDescent="0.2">
      <c r="A761" s="147"/>
      <c r="B761" s="147"/>
      <c r="C761" s="169"/>
      <c r="D761" s="153" t="s">
        <v>712</v>
      </c>
      <c r="E761" s="165"/>
      <c r="F761" s="150"/>
      <c r="G761" s="147"/>
      <c r="H761" s="147">
        <v>1260</v>
      </c>
      <c r="I761" s="183">
        <f t="shared" si="14"/>
        <v>1.8011836349601167E-2</v>
      </c>
      <c r="J761" s="147"/>
      <c r="K761" s="139"/>
    </row>
    <row r="762" spans="1:11" ht="12.75" x14ac:dyDescent="0.2">
      <c r="A762" s="147"/>
      <c r="B762" s="147"/>
      <c r="C762" s="169"/>
      <c r="D762" s="191" t="s">
        <v>78</v>
      </c>
      <c r="E762" s="165"/>
      <c r="F762" s="150"/>
      <c r="G762" s="147"/>
      <c r="H762" s="147">
        <v>1433</v>
      </c>
      <c r="I762" s="183">
        <f t="shared" si="14"/>
        <v>2.0484890070617833E-2</v>
      </c>
      <c r="J762" s="147"/>
      <c r="K762" s="139"/>
    </row>
    <row r="763" spans="1:11" ht="12.75" x14ac:dyDescent="0.2">
      <c r="A763" s="147"/>
      <c r="B763" s="147"/>
      <c r="C763" s="169"/>
      <c r="D763" s="153" t="s">
        <v>713</v>
      </c>
      <c r="E763" s="165"/>
      <c r="F763" s="150"/>
      <c r="G763" s="147"/>
      <c r="H763" s="147">
        <v>7644</v>
      </c>
      <c r="I763" s="183">
        <f t="shared" si="14"/>
        <v>0.10927180718758041</v>
      </c>
      <c r="J763" s="151"/>
      <c r="K763" s="139"/>
    </row>
    <row r="764" spans="1:11" s="7" customFormat="1" x14ac:dyDescent="0.2">
      <c r="A764" s="147"/>
      <c r="B764" s="147"/>
      <c r="C764" s="169"/>
      <c r="D764" s="191" t="s">
        <v>679</v>
      </c>
      <c r="E764" s="165"/>
      <c r="F764" s="150"/>
      <c r="G764" s="147"/>
      <c r="H764" s="147">
        <v>25390</v>
      </c>
      <c r="I764" s="183">
        <f t="shared" si="14"/>
        <v>0.36295279755267745</v>
      </c>
      <c r="J764" s="151" t="s">
        <v>679</v>
      </c>
      <c r="K764" s="87"/>
    </row>
    <row r="765" spans="1:11" ht="12.75" x14ac:dyDescent="0.2">
      <c r="A765" s="147"/>
      <c r="B765" s="147"/>
      <c r="C765" s="169"/>
      <c r="D765" s="191" t="s">
        <v>669</v>
      </c>
      <c r="E765" s="165"/>
      <c r="F765" s="150"/>
      <c r="G765" s="147"/>
      <c r="H765" s="147">
        <v>1117</v>
      </c>
      <c r="I765" s="183">
        <f t="shared" si="14"/>
        <v>1.5967635875003574E-2</v>
      </c>
      <c r="J765" s="151"/>
      <c r="K765" s="139"/>
    </row>
    <row r="766" spans="1:11" ht="12.75" x14ac:dyDescent="0.2">
      <c r="A766" s="147"/>
      <c r="B766" s="147"/>
      <c r="C766" s="169"/>
      <c r="D766" s="148" t="s">
        <v>33</v>
      </c>
      <c r="E766" s="165"/>
      <c r="F766" s="150"/>
      <c r="G766" s="147"/>
      <c r="H766" s="167">
        <f>SUM(H759:H765)</f>
        <v>69954</v>
      </c>
      <c r="I766" s="184">
        <f t="shared" si="14"/>
        <v>1</v>
      </c>
      <c r="J766" s="147"/>
      <c r="K766" s="139"/>
    </row>
    <row r="767" spans="1:11" ht="12.75" x14ac:dyDescent="0.2">
      <c r="A767" s="147"/>
      <c r="B767" s="147"/>
      <c r="C767" s="169"/>
      <c r="D767" s="148"/>
      <c r="E767" s="165"/>
      <c r="F767" s="150"/>
      <c r="G767" s="147"/>
      <c r="H767" s="147"/>
      <c r="I767" s="183"/>
      <c r="J767" s="147"/>
      <c r="K767" s="139"/>
    </row>
    <row r="768" spans="1:11" ht="12.75" x14ac:dyDescent="0.2">
      <c r="A768" s="173" t="s">
        <v>19</v>
      </c>
      <c r="B768" s="187"/>
      <c r="C768" s="173" t="s">
        <v>506</v>
      </c>
      <c r="D768" s="188" t="s">
        <v>688</v>
      </c>
      <c r="E768" s="175" t="s">
        <v>689</v>
      </c>
      <c r="F768" s="189">
        <v>7947340</v>
      </c>
      <c r="G768" s="177">
        <v>36000</v>
      </c>
      <c r="H768" s="190"/>
      <c r="I768" s="177"/>
      <c r="J768" s="177"/>
      <c r="K768" s="139"/>
    </row>
    <row r="769" spans="1:11" ht="12.75" x14ac:dyDescent="0.2">
      <c r="A769" s="147"/>
      <c r="B769" s="147"/>
      <c r="C769" s="169"/>
      <c r="D769" s="191" t="s">
        <v>679</v>
      </c>
      <c r="E769" s="165"/>
      <c r="F769" s="150"/>
      <c r="G769" s="147"/>
      <c r="H769" s="147">
        <v>12077</v>
      </c>
      <c r="I769" s="183">
        <f>H769/$H$771</f>
        <v>0.87737014166363969</v>
      </c>
      <c r="J769" s="151" t="s">
        <v>679</v>
      </c>
      <c r="K769" s="139"/>
    </row>
    <row r="770" spans="1:11" ht="12.75" x14ac:dyDescent="0.2">
      <c r="A770" s="147"/>
      <c r="B770" s="147"/>
      <c r="C770" s="169"/>
      <c r="D770" s="191" t="s">
        <v>690</v>
      </c>
      <c r="E770" s="165"/>
      <c r="F770" s="150"/>
      <c r="G770" s="147"/>
      <c r="H770" s="147">
        <v>1688</v>
      </c>
      <c r="I770" s="183">
        <f>H770/$H$771</f>
        <v>0.12262985833636034</v>
      </c>
      <c r="J770" s="151"/>
      <c r="K770" s="139"/>
    </row>
    <row r="771" spans="1:11" ht="12.75" x14ac:dyDescent="0.2">
      <c r="A771" s="147"/>
      <c r="B771" s="147"/>
      <c r="C771" s="169"/>
      <c r="D771" s="148" t="s">
        <v>33</v>
      </c>
      <c r="E771" s="165"/>
      <c r="F771" s="150"/>
      <c r="G771" s="147"/>
      <c r="H771" s="167">
        <f>SUM(H769:H770)</f>
        <v>13765</v>
      </c>
      <c r="I771" s="183">
        <f>H771/$H$771</f>
        <v>1</v>
      </c>
      <c r="J771" s="147"/>
      <c r="K771" s="139"/>
    </row>
    <row r="772" spans="1:11" ht="12.75" x14ac:dyDescent="0.2">
      <c r="A772" s="147"/>
      <c r="B772" s="147"/>
      <c r="C772" s="169"/>
      <c r="D772" s="148"/>
      <c r="E772" s="165"/>
      <c r="F772" s="150"/>
      <c r="G772" s="147"/>
      <c r="H772" s="147"/>
      <c r="I772" s="183"/>
      <c r="J772" s="147"/>
      <c r="K772" s="139"/>
    </row>
    <row r="773" spans="1:11" ht="12.75" x14ac:dyDescent="0.2">
      <c r="A773" s="148" t="s">
        <v>18</v>
      </c>
      <c r="B773" s="148" t="s">
        <v>315</v>
      </c>
      <c r="C773" s="148" t="s">
        <v>234</v>
      </c>
      <c r="D773" s="149" t="s">
        <v>192</v>
      </c>
      <c r="E773" s="165" t="s">
        <v>316</v>
      </c>
      <c r="F773" s="150">
        <v>2364613</v>
      </c>
      <c r="G773" s="147">
        <v>33636</v>
      </c>
      <c r="H773" s="147"/>
      <c r="I773" s="152"/>
      <c r="J773" s="151"/>
      <c r="K773" s="139"/>
    </row>
    <row r="774" spans="1:11" ht="12.75" x14ac:dyDescent="0.2">
      <c r="A774" s="151"/>
      <c r="B774" s="151"/>
      <c r="C774" s="148"/>
      <c r="D774" s="149" t="s">
        <v>261</v>
      </c>
      <c r="E774" s="165"/>
      <c r="F774" s="150"/>
      <c r="G774" s="147"/>
      <c r="H774" s="147">
        <v>1797</v>
      </c>
      <c r="I774" s="152">
        <f>ROUND(H774/$H$780,4)</f>
        <v>0.1033</v>
      </c>
      <c r="J774" s="151"/>
      <c r="K774" s="139"/>
    </row>
    <row r="775" spans="1:11" ht="12.75" x14ac:dyDescent="0.2">
      <c r="A775" s="151"/>
      <c r="B775" s="151"/>
      <c r="C775" s="148"/>
      <c r="D775" s="149" t="s">
        <v>238</v>
      </c>
      <c r="E775" s="165"/>
      <c r="F775" s="150"/>
      <c r="G775" s="147"/>
      <c r="H775" s="147">
        <v>5679</v>
      </c>
      <c r="I775" s="152">
        <f>ROUND(H775/$H$780,4)</f>
        <v>0.32640000000000002</v>
      </c>
      <c r="J775" s="153" t="s">
        <v>238</v>
      </c>
      <c r="K775" s="139"/>
    </row>
    <row r="776" spans="1:11" ht="12.75" x14ac:dyDescent="0.2">
      <c r="A776" s="151"/>
      <c r="B776" s="151"/>
      <c r="C776" s="148"/>
      <c r="D776" s="149" t="s">
        <v>241</v>
      </c>
      <c r="E776" s="165"/>
      <c r="F776" s="150"/>
      <c r="G776" s="147"/>
      <c r="H776" s="147">
        <v>1335</v>
      </c>
      <c r="I776" s="152">
        <f>ROUND(H776/$H$780,4)</f>
        <v>7.6700000000000004E-2</v>
      </c>
      <c r="J776" s="151"/>
      <c r="K776" s="139"/>
    </row>
    <row r="777" spans="1:11" ht="12.75" x14ac:dyDescent="0.2">
      <c r="A777" s="151"/>
      <c r="B777" s="151"/>
      <c r="C777" s="148"/>
      <c r="D777" s="149" t="s">
        <v>240</v>
      </c>
      <c r="E777" s="165"/>
      <c r="F777" s="150"/>
      <c r="G777" s="147"/>
      <c r="H777" s="147">
        <v>6739</v>
      </c>
      <c r="I777" s="152">
        <f>ROUND(H777/$H$780,4)+0.0001</f>
        <v>0.38739999999999997</v>
      </c>
      <c r="J777" s="153" t="s">
        <v>288</v>
      </c>
      <c r="K777" s="139"/>
    </row>
    <row r="778" spans="1:11" ht="12.75" x14ac:dyDescent="0.2">
      <c r="A778" s="151"/>
      <c r="B778" s="151"/>
      <c r="C778" s="148"/>
      <c r="D778" s="149" t="s">
        <v>242</v>
      </c>
      <c r="E778" s="165"/>
      <c r="F778" s="150"/>
      <c r="G778" s="147"/>
      <c r="H778" s="147">
        <v>240</v>
      </c>
      <c r="I778" s="152">
        <f>ROUND(H778/$H$780,4)</f>
        <v>1.38E-2</v>
      </c>
      <c r="J778" s="151"/>
      <c r="K778" s="139"/>
    </row>
    <row r="779" spans="1:11" ht="12.75" x14ac:dyDescent="0.2">
      <c r="A779" s="151"/>
      <c r="B779" s="151"/>
      <c r="C779" s="148"/>
      <c r="D779" s="149" t="s">
        <v>243</v>
      </c>
      <c r="E779" s="165"/>
      <c r="F779" s="150"/>
      <c r="G779" s="147"/>
      <c r="H779" s="147">
        <v>1608</v>
      </c>
      <c r="I779" s="152">
        <f>ROUND(H779/$H$780,4)</f>
        <v>9.2399999999999996E-2</v>
      </c>
      <c r="J779" s="151"/>
      <c r="K779" s="139"/>
    </row>
    <row r="780" spans="1:11" ht="12.75" x14ac:dyDescent="0.2">
      <c r="A780" s="151"/>
      <c r="B780" s="151"/>
      <c r="C780" s="148"/>
      <c r="D780" s="148" t="s">
        <v>33</v>
      </c>
      <c r="E780" s="165"/>
      <c r="F780" s="150"/>
      <c r="G780" s="147"/>
      <c r="H780" s="155">
        <f>SUM(H774:H779)</f>
        <v>17398</v>
      </c>
      <c r="I780" s="156">
        <f>SUM(I774:I779)</f>
        <v>1</v>
      </c>
      <c r="J780" s="151"/>
      <c r="K780" s="139"/>
    </row>
    <row r="781" spans="1:11" ht="12.75" x14ac:dyDescent="0.2">
      <c r="A781" s="151"/>
      <c r="B781" s="151"/>
      <c r="C781" s="148"/>
      <c r="D781" s="147"/>
      <c r="E781" s="165"/>
      <c r="F781" s="150"/>
      <c r="G781" s="147"/>
      <c r="H781" s="147"/>
      <c r="I781" s="147"/>
      <c r="J781" s="151"/>
      <c r="K781" s="139"/>
    </row>
    <row r="782" spans="1:11" ht="12.75" x14ac:dyDescent="0.2">
      <c r="A782" s="148" t="s">
        <v>18</v>
      </c>
      <c r="B782" s="148" t="s">
        <v>317</v>
      </c>
      <c r="C782" s="148" t="s">
        <v>234</v>
      </c>
      <c r="D782" s="149" t="s">
        <v>157</v>
      </c>
      <c r="E782" s="165" t="s">
        <v>318</v>
      </c>
      <c r="F782" s="150">
        <v>3241000</v>
      </c>
      <c r="G782" s="147">
        <v>52000</v>
      </c>
      <c r="H782" s="147"/>
      <c r="I782" s="152"/>
      <c r="J782" s="151"/>
      <c r="K782" s="139"/>
    </row>
    <row r="783" spans="1:11" ht="12.75" x14ac:dyDescent="0.2">
      <c r="A783" s="151"/>
      <c r="B783" s="151"/>
      <c r="C783" s="148"/>
      <c r="D783" s="149" t="s">
        <v>261</v>
      </c>
      <c r="E783" s="165"/>
      <c r="F783" s="150"/>
      <c r="G783" s="147"/>
      <c r="H783" s="147">
        <v>15000</v>
      </c>
      <c r="I783" s="152">
        <f t="shared" ref="I783:I788" si="15">H783/$H$789</f>
        <v>0.36496350364963503</v>
      </c>
      <c r="J783" s="153" t="s">
        <v>261</v>
      </c>
      <c r="K783" s="139"/>
    </row>
    <row r="784" spans="1:11" ht="12.75" x14ac:dyDescent="0.2">
      <c r="A784" s="151"/>
      <c r="B784" s="151"/>
      <c r="C784" s="148"/>
      <c r="D784" s="149" t="s">
        <v>238</v>
      </c>
      <c r="E784" s="165"/>
      <c r="F784" s="150"/>
      <c r="G784" s="147"/>
      <c r="H784" s="147">
        <v>4730</v>
      </c>
      <c r="I784" s="152">
        <f t="shared" si="15"/>
        <v>0.11508515815085159</v>
      </c>
      <c r="J784" s="151"/>
      <c r="K784" s="139"/>
    </row>
    <row r="785" spans="1:11" ht="12.75" x14ac:dyDescent="0.2">
      <c r="A785" s="151"/>
      <c r="B785" s="151"/>
      <c r="C785" s="148"/>
      <c r="D785" s="149" t="s">
        <v>241</v>
      </c>
      <c r="E785" s="165"/>
      <c r="F785" s="150"/>
      <c r="G785" s="147"/>
      <c r="H785" s="147">
        <v>3720</v>
      </c>
      <c r="I785" s="152">
        <f t="shared" si="15"/>
        <v>9.0510948905109495E-2</v>
      </c>
      <c r="J785" s="151"/>
      <c r="K785" s="139"/>
    </row>
    <row r="786" spans="1:11" ht="12.75" x14ac:dyDescent="0.2">
      <c r="A786" s="151"/>
      <c r="B786" s="151"/>
      <c r="C786" s="148"/>
      <c r="D786" s="149" t="s">
        <v>240</v>
      </c>
      <c r="E786" s="165"/>
      <c r="F786" s="150"/>
      <c r="G786" s="147"/>
      <c r="H786" s="147">
        <v>14450</v>
      </c>
      <c r="I786" s="152">
        <f t="shared" si="15"/>
        <v>0.3515815085158151</v>
      </c>
      <c r="J786" s="153" t="s">
        <v>288</v>
      </c>
      <c r="K786" s="139"/>
    </row>
    <row r="787" spans="1:11" ht="12.75" x14ac:dyDescent="0.2">
      <c r="A787" s="151"/>
      <c r="B787" s="151"/>
      <c r="C787" s="148"/>
      <c r="D787" s="149" t="s">
        <v>243</v>
      </c>
      <c r="E787" s="165"/>
      <c r="F787" s="150"/>
      <c r="G787" s="147"/>
      <c r="H787" s="147">
        <v>1500</v>
      </c>
      <c r="I787" s="152">
        <f t="shared" si="15"/>
        <v>3.6496350364963501E-2</v>
      </c>
      <c r="J787" s="151"/>
      <c r="K787" s="139"/>
    </row>
    <row r="788" spans="1:11" ht="12.75" x14ac:dyDescent="0.2">
      <c r="A788" s="151"/>
      <c r="B788" s="151"/>
      <c r="C788" s="148"/>
      <c r="D788" s="154" t="s">
        <v>244</v>
      </c>
      <c r="E788" s="165"/>
      <c r="F788" s="150"/>
      <c r="G788" s="147"/>
      <c r="H788" s="147">
        <v>1700</v>
      </c>
      <c r="I788" s="152">
        <f t="shared" si="15"/>
        <v>4.1362530413625302E-2</v>
      </c>
      <c r="J788" s="151"/>
      <c r="K788" s="139"/>
    </row>
    <row r="789" spans="1:11" ht="12.75" x14ac:dyDescent="0.2">
      <c r="A789" s="151"/>
      <c r="B789" s="151"/>
      <c r="C789" s="148"/>
      <c r="D789" s="148" t="s">
        <v>33</v>
      </c>
      <c r="E789" s="165"/>
      <c r="F789" s="150"/>
      <c r="G789" s="147"/>
      <c r="H789" s="155">
        <f>SUM(H783:H788)</f>
        <v>41100</v>
      </c>
      <c r="I789" s="156">
        <f>SUM(I783:I788)</f>
        <v>1</v>
      </c>
      <c r="J789" s="151"/>
      <c r="K789" s="139"/>
    </row>
    <row r="790" spans="1:11" ht="12.75" x14ac:dyDescent="0.2">
      <c r="A790" s="151"/>
      <c r="B790" s="151"/>
      <c r="C790" s="148"/>
      <c r="D790" s="147"/>
      <c r="E790" s="165"/>
      <c r="F790" s="150"/>
      <c r="G790" s="147"/>
      <c r="H790" s="147"/>
      <c r="I790" s="152"/>
      <c r="J790" s="151"/>
      <c r="K790" s="139"/>
    </row>
    <row r="791" spans="1:11" ht="12.75" x14ac:dyDescent="0.2">
      <c r="A791" s="148" t="s">
        <v>18</v>
      </c>
      <c r="B791" s="148" t="s">
        <v>319</v>
      </c>
      <c r="C791" s="148" t="s">
        <v>234</v>
      </c>
      <c r="D791" s="149" t="s">
        <v>47</v>
      </c>
      <c r="E791" s="165" t="s">
        <v>260</v>
      </c>
      <c r="F791" s="150">
        <v>2050711</v>
      </c>
      <c r="G791" s="147">
        <v>32672</v>
      </c>
      <c r="H791" s="147"/>
      <c r="I791" s="147"/>
      <c r="J791" s="151"/>
      <c r="K791" s="139"/>
    </row>
    <row r="792" spans="1:11" ht="12.75" x14ac:dyDescent="0.2">
      <c r="A792" s="151"/>
      <c r="B792" s="151"/>
      <c r="C792" s="148"/>
      <c r="D792" s="149" t="s">
        <v>241</v>
      </c>
      <c r="E792" s="165"/>
      <c r="F792" s="150"/>
      <c r="G792" s="147"/>
      <c r="H792" s="155">
        <v>23300</v>
      </c>
      <c r="I792" s="156">
        <f>ROUND(H792/$H$792,4)</f>
        <v>1</v>
      </c>
      <c r="J792" s="153" t="s">
        <v>241</v>
      </c>
      <c r="K792" s="139"/>
    </row>
    <row r="793" spans="1:11" ht="12.75" x14ac:dyDescent="0.2">
      <c r="A793" s="151"/>
      <c r="B793" s="151"/>
      <c r="C793" s="148"/>
      <c r="D793" s="147"/>
      <c r="E793" s="165"/>
      <c r="F793" s="150"/>
      <c r="G793" s="147"/>
      <c r="H793" s="147"/>
      <c r="I793" s="147"/>
      <c r="J793" s="151"/>
      <c r="K793" s="139"/>
    </row>
    <row r="794" spans="1:11" ht="12.75" x14ac:dyDescent="0.2">
      <c r="A794" s="148" t="s">
        <v>18</v>
      </c>
      <c r="B794" s="148" t="s">
        <v>320</v>
      </c>
      <c r="C794" s="148" t="s">
        <v>234</v>
      </c>
      <c r="D794" s="154" t="s">
        <v>176</v>
      </c>
      <c r="E794" s="165" t="s">
        <v>321</v>
      </c>
      <c r="F794" s="150">
        <v>2887600</v>
      </c>
      <c r="G794" s="147">
        <v>37832</v>
      </c>
      <c r="H794" s="147"/>
      <c r="I794" s="147"/>
      <c r="J794" s="151"/>
      <c r="K794" s="139"/>
    </row>
    <row r="795" spans="1:11" ht="12.75" x14ac:dyDescent="0.2">
      <c r="A795" s="151"/>
      <c r="B795" s="151"/>
      <c r="C795" s="148"/>
      <c r="D795" s="149" t="s">
        <v>261</v>
      </c>
      <c r="E795" s="165"/>
      <c r="F795" s="150"/>
      <c r="G795" s="147"/>
      <c r="H795" s="147">
        <v>763</v>
      </c>
      <c r="I795" s="152">
        <f>ROUND(H795/$H$801,4)</f>
        <v>4.24E-2</v>
      </c>
      <c r="J795" s="151"/>
      <c r="K795" s="139"/>
    </row>
    <row r="796" spans="1:11" ht="12.75" x14ac:dyDescent="0.2">
      <c r="A796" s="151"/>
      <c r="B796" s="151"/>
      <c r="C796" s="148"/>
      <c r="D796" s="149" t="s">
        <v>238</v>
      </c>
      <c r="E796" s="165"/>
      <c r="F796" s="150"/>
      <c r="G796" s="147"/>
      <c r="H796" s="147">
        <v>8550</v>
      </c>
      <c r="I796" s="152">
        <f>ROUND(H796/$H$801,4)-0.0001</f>
        <v>0.47450000000000003</v>
      </c>
      <c r="J796" s="153" t="s">
        <v>238</v>
      </c>
      <c r="K796" s="139"/>
    </row>
    <row r="797" spans="1:11" ht="12.75" x14ac:dyDescent="0.2">
      <c r="A797" s="151"/>
      <c r="B797" s="151"/>
      <c r="C797" s="148"/>
      <c r="D797" s="149" t="s">
        <v>241</v>
      </c>
      <c r="E797" s="165"/>
      <c r="F797" s="150"/>
      <c r="G797" s="147"/>
      <c r="H797" s="147">
        <v>500</v>
      </c>
      <c r="I797" s="152">
        <f>ROUND(H797/$H$801,4)</f>
        <v>2.7799999999999998E-2</v>
      </c>
      <c r="J797" s="151"/>
      <c r="K797" s="139"/>
    </row>
    <row r="798" spans="1:11" ht="12.75" x14ac:dyDescent="0.2">
      <c r="A798" s="151"/>
      <c r="B798" s="151"/>
      <c r="C798" s="148"/>
      <c r="D798" s="149" t="s">
        <v>240</v>
      </c>
      <c r="E798" s="165"/>
      <c r="F798" s="150"/>
      <c r="G798" s="147"/>
      <c r="H798" s="147">
        <v>6827</v>
      </c>
      <c r="I798" s="152">
        <f>ROUND(H798/$H$801,4)</f>
        <v>0.379</v>
      </c>
      <c r="J798" s="153" t="s">
        <v>288</v>
      </c>
      <c r="K798" s="139"/>
    </row>
    <row r="799" spans="1:11" ht="12.75" x14ac:dyDescent="0.2">
      <c r="A799" s="151"/>
      <c r="B799" s="151"/>
      <c r="C799" s="148"/>
      <c r="D799" s="149" t="s">
        <v>243</v>
      </c>
      <c r="E799" s="165"/>
      <c r="F799" s="150"/>
      <c r="G799" s="147"/>
      <c r="H799" s="147">
        <v>50</v>
      </c>
      <c r="I799" s="152">
        <f>ROUND(H799/$H$801,4)</f>
        <v>2.8E-3</v>
      </c>
      <c r="J799" s="151"/>
      <c r="K799" s="139"/>
    </row>
    <row r="800" spans="1:11" ht="12.75" x14ac:dyDescent="0.2">
      <c r="A800" s="151"/>
      <c r="B800" s="151"/>
      <c r="C800" s="148"/>
      <c r="D800" s="154" t="s">
        <v>244</v>
      </c>
      <c r="E800" s="165"/>
      <c r="F800" s="150"/>
      <c r="G800" s="147"/>
      <c r="H800" s="147">
        <v>1325</v>
      </c>
      <c r="I800" s="152">
        <f>ROUND(H800/$H$801,4)</f>
        <v>7.3499999999999996E-2</v>
      </c>
      <c r="J800" s="151"/>
      <c r="K800" s="139"/>
    </row>
    <row r="801" spans="1:11" ht="12.75" x14ac:dyDescent="0.2">
      <c r="A801" s="151"/>
      <c r="B801" s="151"/>
      <c r="C801" s="148"/>
      <c r="D801" s="148" t="s">
        <v>33</v>
      </c>
      <c r="E801" s="165"/>
      <c r="F801" s="150"/>
      <c r="G801" s="147"/>
      <c r="H801" s="155">
        <f>SUM(H795:H800)</f>
        <v>18015</v>
      </c>
      <c r="I801" s="156">
        <f>SUM(I795:I800)</f>
        <v>1</v>
      </c>
      <c r="J801" s="151"/>
      <c r="K801" s="139"/>
    </row>
    <row r="802" spans="1:11" ht="12.75" x14ac:dyDescent="0.2">
      <c r="A802" s="151"/>
      <c r="B802" s="151"/>
      <c r="C802" s="148"/>
      <c r="D802" s="147"/>
      <c r="E802" s="165"/>
      <c r="F802" s="150"/>
      <c r="G802" s="147"/>
      <c r="H802" s="147"/>
      <c r="I802" s="152"/>
      <c r="J802" s="151"/>
      <c r="K802" s="139"/>
    </row>
    <row r="803" spans="1:11" ht="12.75" x14ac:dyDescent="0.2">
      <c r="A803" s="148" t="s">
        <v>18</v>
      </c>
      <c r="B803" s="148">
        <v>380</v>
      </c>
      <c r="C803" s="148" t="s">
        <v>234</v>
      </c>
      <c r="D803" s="149" t="s">
        <v>222</v>
      </c>
      <c r="E803" s="165" t="s">
        <v>322</v>
      </c>
      <c r="F803" s="150">
        <v>6966764</v>
      </c>
      <c r="G803" s="147">
        <v>79709</v>
      </c>
      <c r="H803" s="147"/>
      <c r="I803" s="152"/>
      <c r="J803" s="151"/>
      <c r="K803" s="139"/>
    </row>
    <row r="804" spans="1:11" ht="12.75" x14ac:dyDescent="0.2">
      <c r="A804" s="151"/>
      <c r="B804" s="151"/>
      <c r="C804" s="148"/>
      <c r="D804" s="149" t="s">
        <v>240</v>
      </c>
      <c r="E804" s="165"/>
      <c r="F804" s="150"/>
      <c r="G804" s="147"/>
      <c r="H804" s="147">
        <v>14700</v>
      </c>
      <c r="I804" s="152">
        <f>ROUND(H804/$H$806,4)</f>
        <v>0.27289999999999998</v>
      </c>
      <c r="J804" s="151"/>
      <c r="K804" s="139"/>
    </row>
    <row r="805" spans="1:11" ht="12.75" x14ac:dyDescent="0.2">
      <c r="A805" s="151"/>
      <c r="B805" s="151"/>
      <c r="C805" s="148"/>
      <c r="D805" s="154" t="s">
        <v>244</v>
      </c>
      <c r="E805" s="165"/>
      <c r="F805" s="150"/>
      <c r="G805" s="147"/>
      <c r="H805" s="147">
        <v>39159</v>
      </c>
      <c r="I805" s="152">
        <f>ROUND(H805/$H$806,4)</f>
        <v>0.72709999999999997</v>
      </c>
      <c r="J805" s="153" t="s">
        <v>244</v>
      </c>
      <c r="K805" s="139"/>
    </row>
    <row r="806" spans="1:11" ht="12.75" x14ac:dyDescent="0.2">
      <c r="A806" s="151"/>
      <c r="B806" s="151"/>
      <c r="C806" s="148"/>
      <c r="D806" s="148" t="s">
        <v>33</v>
      </c>
      <c r="E806" s="165"/>
      <c r="F806" s="150"/>
      <c r="G806" s="147"/>
      <c r="H806" s="155">
        <f>SUM(H804:H805)</f>
        <v>53859</v>
      </c>
      <c r="I806" s="156">
        <f>SUM(I804:I805)</f>
        <v>1</v>
      </c>
      <c r="J806" s="151"/>
      <c r="K806" s="139"/>
    </row>
    <row r="807" spans="1:11" ht="12.75" x14ac:dyDescent="0.2">
      <c r="A807" s="151"/>
      <c r="B807" s="151"/>
      <c r="C807" s="148"/>
      <c r="D807" s="147"/>
      <c r="E807" s="165"/>
      <c r="F807" s="150"/>
      <c r="G807" s="147"/>
      <c r="H807" s="147"/>
      <c r="I807" s="152"/>
      <c r="J807" s="151"/>
      <c r="K807" s="139"/>
    </row>
    <row r="808" spans="1:11" ht="12.75" x14ac:dyDescent="0.2">
      <c r="A808" s="148" t="s">
        <v>18</v>
      </c>
      <c r="B808" s="148">
        <v>371</v>
      </c>
      <c r="C808" s="148" t="s">
        <v>289</v>
      </c>
      <c r="D808" s="149" t="s">
        <v>60</v>
      </c>
      <c r="E808" s="165" t="s">
        <v>310</v>
      </c>
      <c r="F808" s="150">
        <v>10596300</v>
      </c>
      <c r="G808" s="147">
        <v>81980</v>
      </c>
      <c r="H808" s="147"/>
      <c r="I808" s="152"/>
      <c r="J808" s="151"/>
      <c r="K808" s="139"/>
    </row>
    <row r="809" spans="1:11" ht="12.75" x14ac:dyDescent="0.2">
      <c r="A809" s="151"/>
      <c r="B809" s="151"/>
      <c r="C809" s="148"/>
      <c r="D809" s="149" t="s">
        <v>261</v>
      </c>
      <c r="E809" s="165"/>
      <c r="F809" s="150"/>
      <c r="G809" s="147"/>
      <c r="H809" s="147">
        <v>4290</v>
      </c>
      <c r="I809" s="152">
        <f>ROUND(H809/$H$814,4)</f>
        <v>7.8100000000000003E-2</v>
      </c>
      <c r="J809" s="151"/>
      <c r="K809" s="139"/>
    </row>
    <row r="810" spans="1:11" ht="12.75" x14ac:dyDescent="0.2">
      <c r="A810" s="151"/>
      <c r="B810" s="151"/>
      <c r="C810" s="148"/>
      <c r="D810" s="149" t="s">
        <v>284</v>
      </c>
      <c r="E810" s="165"/>
      <c r="F810" s="150"/>
      <c r="G810" s="147"/>
      <c r="H810" s="147">
        <v>9790</v>
      </c>
      <c r="I810" s="152">
        <f>ROUND(H810/$H$814,4)</f>
        <v>0.17829999999999999</v>
      </c>
      <c r="J810" s="151"/>
      <c r="K810" s="139"/>
    </row>
    <row r="811" spans="1:11" ht="12.75" x14ac:dyDescent="0.2">
      <c r="A811" s="151"/>
      <c r="B811" s="151"/>
      <c r="C811" s="148"/>
      <c r="D811" s="149" t="s">
        <v>239</v>
      </c>
      <c r="E811" s="165"/>
      <c r="F811" s="150"/>
      <c r="G811" s="147"/>
      <c r="H811" s="147">
        <v>25349</v>
      </c>
      <c r="I811" s="152">
        <f>ROUND(H811/$H$814,4)</f>
        <v>0.4617</v>
      </c>
      <c r="J811" s="153" t="s">
        <v>239</v>
      </c>
      <c r="K811" s="139"/>
    </row>
    <row r="812" spans="1:11" ht="12.75" x14ac:dyDescent="0.2">
      <c r="A812" s="151"/>
      <c r="B812" s="151"/>
      <c r="C812" s="148"/>
      <c r="D812" s="149" t="s">
        <v>240</v>
      </c>
      <c r="E812" s="165"/>
      <c r="F812" s="150"/>
      <c r="G812" s="147"/>
      <c r="H812" s="147">
        <v>11196</v>
      </c>
      <c r="I812" s="152">
        <f>ROUND(H812/$H$814,4)</f>
        <v>0.2039</v>
      </c>
      <c r="J812" s="151" t="s">
        <v>240</v>
      </c>
      <c r="K812" s="139"/>
    </row>
    <row r="813" spans="1:11" ht="12.75" x14ac:dyDescent="0.2">
      <c r="A813" s="151"/>
      <c r="B813" s="151"/>
      <c r="C813" s="148"/>
      <c r="D813" s="149" t="s">
        <v>285</v>
      </c>
      <c r="E813" s="165"/>
      <c r="F813" s="150"/>
      <c r="G813" s="147"/>
      <c r="H813" s="147">
        <v>4280</v>
      </c>
      <c r="I813" s="152">
        <f>ROUND(H813/$H$814,4)</f>
        <v>7.8E-2</v>
      </c>
      <c r="J813" s="151"/>
      <c r="K813" s="139"/>
    </row>
    <row r="814" spans="1:11" ht="12.75" x14ac:dyDescent="0.2">
      <c r="A814" s="151"/>
      <c r="B814" s="151"/>
      <c r="C814" s="148"/>
      <c r="D814" s="148" t="s">
        <v>33</v>
      </c>
      <c r="E814" s="165"/>
      <c r="F814" s="150"/>
      <c r="G814" s="147"/>
      <c r="H814" s="155">
        <f>SUM(H809:H813)</f>
        <v>54905</v>
      </c>
      <c r="I814" s="156">
        <f>SUM(I809:I813)</f>
        <v>0.99999999999999989</v>
      </c>
      <c r="J814" s="151"/>
      <c r="K814" s="139"/>
    </row>
    <row r="815" spans="1:11" ht="12.75" x14ac:dyDescent="0.2">
      <c r="A815" s="151"/>
      <c r="B815" s="151"/>
      <c r="C815" s="148"/>
      <c r="D815" s="147"/>
      <c r="E815" s="165"/>
      <c r="F815" s="150"/>
      <c r="G815" s="147"/>
      <c r="H815" s="147"/>
      <c r="I815" s="152"/>
      <c r="J815" s="151"/>
      <c r="K815" s="139"/>
    </row>
    <row r="816" spans="1:11" ht="12.75" x14ac:dyDescent="0.2">
      <c r="A816" s="148" t="s">
        <v>18</v>
      </c>
      <c r="B816" s="160">
        <v>395</v>
      </c>
      <c r="C816" s="148" t="s">
        <v>289</v>
      </c>
      <c r="D816" s="147" t="s">
        <v>120</v>
      </c>
      <c r="E816" s="204">
        <v>35400</v>
      </c>
      <c r="F816" s="150">
        <v>4828428</v>
      </c>
      <c r="G816" s="147">
        <v>45409</v>
      </c>
      <c r="H816" s="147"/>
      <c r="I816" s="152"/>
      <c r="J816" s="147"/>
      <c r="K816" s="139"/>
    </row>
    <row r="817" spans="1:11" ht="12.75" x14ac:dyDescent="0.2">
      <c r="A817" s="147"/>
      <c r="B817" s="147"/>
      <c r="C817" s="169"/>
      <c r="D817" s="149" t="s">
        <v>261</v>
      </c>
      <c r="E817" s="165"/>
      <c r="F817" s="150"/>
      <c r="G817" s="147"/>
      <c r="H817" s="147">
        <v>52980</v>
      </c>
      <c r="I817" s="152">
        <f>H817/H819</f>
        <v>0.96135002721829066</v>
      </c>
      <c r="J817" s="151" t="s">
        <v>261</v>
      </c>
      <c r="K817" s="139"/>
    </row>
    <row r="818" spans="1:11" ht="12.75" x14ac:dyDescent="0.2">
      <c r="A818" s="147"/>
      <c r="B818" s="147"/>
      <c r="C818" s="169"/>
      <c r="D818" s="149" t="s">
        <v>292</v>
      </c>
      <c r="E818" s="165"/>
      <c r="F818" s="150"/>
      <c r="G818" s="147"/>
      <c r="H818" s="147">
        <v>2130</v>
      </c>
      <c r="I818" s="152">
        <f>H818/H819</f>
        <v>3.8649972781709306E-2</v>
      </c>
      <c r="J818" s="153"/>
      <c r="K818" s="139"/>
    </row>
    <row r="819" spans="1:11" ht="12.75" x14ac:dyDescent="0.2">
      <c r="A819" s="147"/>
      <c r="B819" s="147"/>
      <c r="C819" s="169"/>
      <c r="D819" s="148" t="s">
        <v>33</v>
      </c>
      <c r="E819" s="165"/>
      <c r="F819" s="150"/>
      <c r="G819" s="147"/>
      <c r="H819" s="155">
        <f>SUM(H817:H818)</f>
        <v>55110</v>
      </c>
      <c r="I819" s="156">
        <f>SUM(I817:I818)</f>
        <v>1</v>
      </c>
      <c r="J819" s="147"/>
      <c r="K819" s="139"/>
    </row>
    <row r="820" spans="1:11" ht="12.75" x14ac:dyDescent="0.2">
      <c r="A820" s="147"/>
      <c r="B820" s="147"/>
      <c r="C820" s="169"/>
      <c r="D820" s="148"/>
      <c r="E820" s="165"/>
      <c r="F820" s="150"/>
      <c r="G820" s="147"/>
      <c r="H820" s="147"/>
      <c r="I820" s="152"/>
      <c r="J820" s="147"/>
      <c r="K820" s="139"/>
    </row>
    <row r="821" spans="1:11" ht="12.75" x14ac:dyDescent="0.2">
      <c r="A821" s="148" t="s">
        <v>18</v>
      </c>
      <c r="B821" s="148">
        <v>306</v>
      </c>
      <c r="C821" s="148" t="s">
        <v>289</v>
      </c>
      <c r="D821" s="149" t="s">
        <v>418</v>
      </c>
      <c r="E821" s="165">
        <v>36800</v>
      </c>
      <c r="F821" s="150">
        <v>7927400</v>
      </c>
      <c r="G821" s="147">
        <v>50386</v>
      </c>
      <c r="H821" s="147"/>
      <c r="I821" s="152"/>
      <c r="J821" s="151"/>
      <c r="K821" s="139"/>
    </row>
    <row r="822" spans="1:11" ht="12.75" x14ac:dyDescent="0.2">
      <c r="A822" s="151"/>
      <c r="B822" s="151"/>
      <c r="C822" s="148"/>
      <c r="D822" s="149" t="s">
        <v>261</v>
      </c>
      <c r="E822" s="165"/>
      <c r="F822" s="150"/>
      <c r="G822" s="147"/>
      <c r="H822" s="147">
        <v>4200</v>
      </c>
      <c r="I822" s="152">
        <f>ROUND(H822/$H$829,4)</f>
        <v>0.1167</v>
      </c>
      <c r="J822" s="151"/>
      <c r="K822" s="139"/>
    </row>
    <row r="823" spans="1:11" ht="12.75" x14ac:dyDescent="0.2">
      <c r="A823" s="151"/>
      <c r="B823" s="151"/>
      <c r="C823" s="148"/>
      <c r="D823" s="149" t="s">
        <v>290</v>
      </c>
      <c r="E823" s="165"/>
      <c r="F823" s="150"/>
      <c r="G823" s="147"/>
      <c r="H823" s="147">
        <v>17205</v>
      </c>
      <c r="I823" s="152">
        <f t="shared" ref="I823:I828" si="16">ROUND(H823/$H$829,4)</f>
        <v>0.47799999999999998</v>
      </c>
      <c r="J823" s="153" t="s">
        <v>290</v>
      </c>
      <c r="K823" s="139"/>
    </row>
    <row r="824" spans="1:11" ht="12.75" x14ac:dyDescent="0.2">
      <c r="A824" s="151"/>
      <c r="B824" s="151"/>
      <c r="C824" s="148"/>
      <c r="D824" s="149" t="s">
        <v>284</v>
      </c>
      <c r="E824" s="165"/>
      <c r="F824" s="150"/>
      <c r="G824" s="147"/>
      <c r="H824" s="147">
        <v>1925</v>
      </c>
      <c r="I824" s="152">
        <f t="shared" si="16"/>
        <v>5.3499999999999999E-2</v>
      </c>
      <c r="J824" s="153"/>
      <c r="K824" s="139"/>
    </row>
    <row r="825" spans="1:11" ht="12.75" x14ac:dyDescent="0.2">
      <c r="A825" s="151"/>
      <c r="B825" s="151"/>
      <c r="C825" s="148"/>
      <c r="D825" s="149" t="s">
        <v>262</v>
      </c>
      <c r="E825" s="165"/>
      <c r="F825" s="150"/>
      <c r="G825" s="147"/>
      <c r="H825" s="147">
        <v>5660</v>
      </c>
      <c r="I825" s="152">
        <f t="shared" si="16"/>
        <v>0.1573</v>
      </c>
      <c r="J825" s="151"/>
      <c r="K825" s="139"/>
    </row>
    <row r="826" spans="1:11" ht="12.75" x14ac:dyDescent="0.2">
      <c r="A826" s="151"/>
      <c r="B826" s="151"/>
      <c r="C826" s="148"/>
      <c r="D826" s="149" t="s">
        <v>288</v>
      </c>
      <c r="E826" s="165"/>
      <c r="F826" s="150"/>
      <c r="G826" s="147"/>
      <c r="H826" s="147">
        <v>4065</v>
      </c>
      <c r="I826" s="152">
        <f t="shared" si="16"/>
        <v>0.1129</v>
      </c>
      <c r="J826" s="151"/>
      <c r="K826" s="139"/>
    </row>
    <row r="827" spans="1:11" ht="12.75" x14ac:dyDescent="0.2">
      <c r="A827" s="151"/>
      <c r="B827" s="151"/>
      <c r="C827" s="148"/>
      <c r="D827" s="149" t="s">
        <v>292</v>
      </c>
      <c r="E827" s="165"/>
      <c r="F827" s="150"/>
      <c r="G827" s="147"/>
      <c r="H827" s="147">
        <v>1050</v>
      </c>
      <c r="I827" s="152">
        <f t="shared" si="16"/>
        <v>2.92E-2</v>
      </c>
      <c r="J827" s="151"/>
      <c r="K827" s="139"/>
    </row>
    <row r="828" spans="1:11" ht="12.75" x14ac:dyDescent="0.2">
      <c r="A828" s="151"/>
      <c r="B828" s="151"/>
      <c r="C828" s="148"/>
      <c r="D828" s="149" t="s">
        <v>285</v>
      </c>
      <c r="E828" s="165"/>
      <c r="F828" s="150"/>
      <c r="G828" s="147"/>
      <c r="H828" s="147">
        <v>1885</v>
      </c>
      <c r="I828" s="152">
        <f t="shared" si="16"/>
        <v>5.2400000000000002E-2</v>
      </c>
      <c r="J828" s="151"/>
      <c r="K828" s="139"/>
    </row>
    <row r="829" spans="1:11" ht="12.75" x14ac:dyDescent="0.2">
      <c r="A829" s="151"/>
      <c r="B829" s="151"/>
      <c r="C829" s="148"/>
      <c r="D829" s="148" t="s">
        <v>33</v>
      </c>
      <c r="E829" s="165"/>
      <c r="F829" s="150"/>
      <c r="G829" s="147"/>
      <c r="H829" s="155">
        <f>SUM(H822:H828)</f>
        <v>35990</v>
      </c>
      <c r="I829" s="156">
        <f>SUM(I822:I828)</f>
        <v>1</v>
      </c>
      <c r="J829" s="151"/>
      <c r="K829" s="139"/>
    </row>
    <row r="830" spans="1:11" ht="12.75" x14ac:dyDescent="0.2">
      <c r="A830" s="151"/>
      <c r="B830" s="151"/>
      <c r="C830" s="148"/>
      <c r="D830" s="147"/>
      <c r="E830" s="165"/>
      <c r="F830" s="150"/>
      <c r="G830" s="147"/>
      <c r="H830" s="147"/>
      <c r="I830" s="152"/>
      <c r="J830" s="151"/>
      <c r="K830" s="139"/>
    </row>
    <row r="831" spans="1:11" ht="12.75" x14ac:dyDescent="0.2">
      <c r="A831" s="148" t="s">
        <v>18</v>
      </c>
      <c r="B831" s="148">
        <v>330</v>
      </c>
      <c r="C831" s="148" t="s">
        <v>289</v>
      </c>
      <c r="D831" s="149" t="s">
        <v>419</v>
      </c>
      <c r="E831" s="165">
        <v>36800</v>
      </c>
      <c r="F831" s="150">
        <v>9683554</v>
      </c>
      <c r="G831" s="147">
        <v>59258</v>
      </c>
      <c r="H831" s="147"/>
      <c r="I831" s="152"/>
      <c r="J831" s="151"/>
      <c r="K831" s="139"/>
    </row>
    <row r="832" spans="1:11" ht="12.75" x14ac:dyDescent="0.2">
      <c r="A832" s="151"/>
      <c r="B832" s="151"/>
      <c r="C832" s="148"/>
      <c r="D832" s="149" t="s">
        <v>261</v>
      </c>
      <c r="E832" s="165"/>
      <c r="F832" s="150"/>
      <c r="G832" s="147"/>
      <c r="H832" s="147">
        <v>7875</v>
      </c>
      <c r="I832" s="152">
        <f t="shared" ref="I832:I837" si="17">(H832/$H$838)</f>
        <v>0.1987281399046105</v>
      </c>
      <c r="J832" s="151"/>
      <c r="K832" s="139"/>
    </row>
    <row r="833" spans="1:11" ht="12.75" x14ac:dyDescent="0.2">
      <c r="A833" s="151"/>
      <c r="B833" s="151"/>
      <c r="C833" s="148"/>
      <c r="D833" s="149" t="s">
        <v>290</v>
      </c>
      <c r="E833" s="165"/>
      <c r="F833" s="150"/>
      <c r="G833" s="147"/>
      <c r="H833" s="147">
        <v>18510</v>
      </c>
      <c r="I833" s="152">
        <f t="shared" si="17"/>
        <v>0.4671057612234083</v>
      </c>
      <c r="J833" s="153" t="s">
        <v>290</v>
      </c>
      <c r="K833" s="139"/>
    </row>
    <row r="834" spans="1:11" ht="12.75" x14ac:dyDescent="0.2">
      <c r="A834" s="151"/>
      <c r="B834" s="151"/>
      <c r="C834" s="148"/>
      <c r="D834" s="149" t="s">
        <v>291</v>
      </c>
      <c r="E834" s="165"/>
      <c r="F834" s="150"/>
      <c r="G834" s="147"/>
      <c r="H834" s="147">
        <v>250</v>
      </c>
      <c r="I834" s="152">
        <f t="shared" si="17"/>
        <v>6.308829838241603E-3</v>
      </c>
      <c r="J834" s="153"/>
      <c r="K834" s="139"/>
    </row>
    <row r="835" spans="1:11" ht="12.75" x14ac:dyDescent="0.2">
      <c r="A835" s="151"/>
      <c r="B835" s="151"/>
      <c r="C835" s="148"/>
      <c r="D835" s="149" t="s">
        <v>284</v>
      </c>
      <c r="E835" s="165"/>
      <c r="F835" s="150"/>
      <c r="G835" s="147"/>
      <c r="H835" s="147">
        <v>750</v>
      </c>
      <c r="I835" s="152">
        <f t="shared" si="17"/>
        <v>1.8926489514724809E-2</v>
      </c>
      <c r="J835" s="153"/>
      <c r="K835" s="139"/>
    </row>
    <row r="836" spans="1:11" ht="12.75" x14ac:dyDescent="0.2">
      <c r="A836" s="151"/>
      <c r="B836" s="151"/>
      <c r="C836" s="148"/>
      <c r="D836" s="149" t="s">
        <v>314</v>
      </c>
      <c r="E836" s="165"/>
      <c r="F836" s="150"/>
      <c r="G836" s="147"/>
      <c r="H836" s="147">
        <v>1600</v>
      </c>
      <c r="I836" s="152">
        <f t="shared" si="17"/>
        <v>4.0376510964746259E-2</v>
      </c>
      <c r="J836" s="151"/>
      <c r="K836" s="139"/>
    </row>
    <row r="837" spans="1:11" ht="12.75" x14ac:dyDescent="0.2">
      <c r="A837" s="151"/>
      <c r="B837" s="151"/>
      <c r="C837" s="148"/>
      <c r="D837" s="149" t="s">
        <v>288</v>
      </c>
      <c r="E837" s="165"/>
      <c r="F837" s="150"/>
      <c r="G837" s="147"/>
      <c r="H837" s="147">
        <v>10642</v>
      </c>
      <c r="I837" s="152">
        <f t="shared" si="17"/>
        <v>0.26855426855426856</v>
      </c>
      <c r="J837" s="151"/>
      <c r="K837" s="139"/>
    </row>
    <row r="838" spans="1:11" ht="12.75" x14ac:dyDescent="0.2">
      <c r="A838" s="151"/>
      <c r="B838" s="151"/>
      <c r="C838" s="148"/>
      <c r="D838" s="148" t="s">
        <v>33</v>
      </c>
      <c r="E838" s="165"/>
      <c r="F838" s="150"/>
      <c r="G838" s="147"/>
      <c r="H838" s="155">
        <f>SUM(H832:H837)</f>
        <v>39627</v>
      </c>
      <c r="I838" s="156">
        <f>SUM(I832:I837)</f>
        <v>1</v>
      </c>
      <c r="J838" s="151"/>
      <c r="K838" s="139"/>
    </row>
    <row r="839" spans="1:11" ht="12.75" x14ac:dyDescent="0.2">
      <c r="A839" s="151"/>
      <c r="B839" s="151"/>
      <c r="C839" s="148"/>
      <c r="D839" s="148"/>
      <c r="E839" s="165"/>
      <c r="F839" s="150"/>
      <c r="G839" s="147"/>
      <c r="H839" s="147"/>
      <c r="I839" s="152"/>
      <c r="J839" s="151"/>
      <c r="K839" s="139"/>
    </row>
    <row r="840" spans="1:11" ht="12.75" x14ac:dyDescent="0.2">
      <c r="A840" s="148" t="s">
        <v>441</v>
      </c>
      <c r="B840" s="148">
        <v>57</v>
      </c>
      <c r="C840" s="148" t="s">
        <v>234</v>
      </c>
      <c r="D840" s="149" t="s">
        <v>442</v>
      </c>
      <c r="E840" s="165">
        <v>37196</v>
      </c>
      <c r="F840" s="150">
        <v>5381000</v>
      </c>
      <c r="G840" s="147">
        <v>31000</v>
      </c>
      <c r="H840" s="147"/>
      <c r="I840" s="152"/>
      <c r="J840" s="151"/>
      <c r="K840" s="139"/>
    </row>
    <row r="841" spans="1:11" ht="12.75" x14ac:dyDescent="0.2">
      <c r="A841" s="151" t="s">
        <v>19</v>
      </c>
      <c r="B841" s="151"/>
      <c r="C841" s="148"/>
      <c r="D841" s="149" t="s">
        <v>261</v>
      </c>
      <c r="E841" s="165"/>
      <c r="F841" s="150"/>
      <c r="G841" s="147"/>
      <c r="H841" s="147">
        <v>1225</v>
      </c>
      <c r="I841" s="152">
        <f t="shared" ref="I841:I846" si="18">(H841/$H$847)</f>
        <v>5.861244019138756E-2</v>
      </c>
      <c r="J841" s="151"/>
      <c r="K841" s="139"/>
    </row>
    <row r="842" spans="1:11" ht="12.75" x14ac:dyDescent="0.2">
      <c r="A842" s="151"/>
      <c r="B842" s="151"/>
      <c r="C842" s="148"/>
      <c r="D842" s="149" t="s">
        <v>290</v>
      </c>
      <c r="E842" s="165"/>
      <c r="F842" s="150"/>
      <c r="G842" s="147"/>
      <c r="H842" s="147">
        <v>2100</v>
      </c>
      <c r="I842" s="152">
        <f t="shared" si="18"/>
        <v>0.10047846889952153</v>
      </c>
      <c r="J842" s="147"/>
      <c r="K842" s="139"/>
    </row>
    <row r="843" spans="1:11" ht="12.75" x14ac:dyDescent="0.2">
      <c r="A843" s="151"/>
      <c r="B843" s="151"/>
      <c r="C843" s="148"/>
      <c r="D843" s="149" t="s">
        <v>262</v>
      </c>
      <c r="E843" s="165"/>
      <c r="F843" s="150"/>
      <c r="G843" s="147"/>
      <c r="H843" s="147">
        <v>12375</v>
      </c>
      <c r="I843" s="152">
        <f t="shared" si="18"/>
        <v>0.59210526315789469</v>
      </c>
      <c r="J843" s="153" t="s">
        <v>262</v>
      </c>
      <c r="K843" s="139"/>
    </row>
    <row r="844" spans="1:11" ht="12.75" x14ac:dyDescent="0.2">
      <c r="A844" s="151"/>
      <c r="B844" s="151"/>
      <c r="C844" s="148"/>
      <c r="D844" s="149" t="s">
        <v>288</v>
      </c>
      <c r="E844" s="214"/>
      <c r="F844" s="150"/>
      <c r="G844" s="147"/>
      <c r="H844" s="147">
        <v>2455</v>
      </c>
      <c r="I844" s="152">
        <f t="shared" si="18"/>
        <v>0.11746411483253588</v>
      </c>
      <c r="J844" s="151"/>
      <c r="K844" s="139"/>
    </row>
    <row r="845" spans="1:11" ht="12.75" x14ac:dyDescent="0.2">
      <c r="A845" s="151"/>
      <c r="B845" s="151"/>
      <c r="C845" s="148"/>
      <c r="D845" s="149" t="s">
        <v>292</v>
      </c>
      <c r="E845" s="214"/>
      <c r="F845" s="150"/>
      <c r="G845" s="147"/>
      <c r="H845" s="147">
        <v>1895</v>
      </c>
      <c r="I845" s="152">
        <f t="shared" si="18"/>
        <v>9.066985645933015E-2</v>
      </c>
      <c r="J845" s="151"/>
      <c r="K845" s="139"/>
    </row>
    <row r="846" spans="1:11" ht="12.75" x14ac:dyDescent="0.2">
      <c r="A846" s="151"/>
      <c r="B846" s="151"/>
      <c r="C846" s="148"/>
      <c r="D846" s="149" t="s">
        <v>285</v>
      </c>
      <c r="E846" s="165"/>
      <c r="F846" s="150"/>
      <c r="G846" s="147"/>
      <c r="H846" s="147">
        <v>850</v>
      </c>
      <c r="I846" s="152">
        <f t="shared" si="18"/>
        <v>4.0669856459330141E-2</v>
      </c>
      <c r="J846" s="151"/>
      <c r="K846" s="139"/>
    </row>
    <row r="847" spans="1:11" ht="12.75" x14ac:dyDescent="0.2">
      <c r="A847" s="151"/>
      <c r="B847" s="151"/>
      <c r="C847" s="148"/>
      <c r="D847" s="148" t="s">
        <v>33</v>
      </c>
      <c r="E847" s="165"/>
      <c r="F847" s="150"/>
      <c r="G847" s="147"/>
      <c r="H847" s="155">
        <f>SUM(H841:H846)</f>
        <v>20900</v>
      </c>
      <c r="I847" s="156">
        <f>SUM(I841:I846)</f>
        <v>0.99999999999999989</v>
      </c>
      <c r="J847" s="151"/>
      <c r="K847" s="139"/>
    </row>
    <row r="848" spans="1:11" ht="12.75" x14ac:dyDescent="0.2">
      <c r="A848" s="151"/>
      <c r="B848" s="151"/>
      <c r="C848" s="148"/>
      <c r="D848" s="147"/>
      <c r="E848" s="165"/>
      <c r="F848" s="150"/>
      <c r="G848" s="147"/>
      <c r="H848" s="147"/>
      <c r="I848" s="152"/>
      <c r="J848" s="151"/>
      <c r="K848" s="139"/>
    </row>
    <row r="849" spans="1:11" ht="12.75" x14ac:dyDescent="0.2">
      <c r="A849" s="148" t="s">
        <v>18</v>
      </c>
      <c r="B849" s="148">
        <v>306</v>
      </c>
      <c r="C849" s="148" t="s">
        <v>289</v>
      </c>
      <c r="D849" s="149" t="s">
        <v>443</v>
      </c>
      <c r="E849" s="165">
        <v>36892</v>
      </c>
      <c r="F849" s="150">
        <v>7927400</v>
      </c>
      <c r="G849" s="147">
        <v>58000</v>
      </c>
      <c r="H849" s="147"/>
      <c r="I849" s="152"/>
      <c r="J849" s="151"/>
      <c r="K849" s="139"/>
    </row>
    <row r="850" spans="1:11" ht="12.75" x14ac:dyDescent="0.2">
      <c r="A850" s="151"/>
      <c r="B850" s="151"/>
      <c r="C850" s="148"/>
      <c r="D850" s="149" t="s">
        <v>261</v>
      </c>
      <c r="E850" s="165"/>
      <c r="F850" s="150"/>
      <c r="G850" s="147"/>
      <c r="H850" s="147">
        <v>4200</v>
      </c>
      <c r="I850" s="152">
        <f>(H850/$H$858)</f>
        <v>0.10271460014673514</v>
      </c>
      <c r="J850" s="151"/>
      <c r="K850" s="139"/>
    </row>
    <row r="851" spans="1:11" ht="12.75" x14ac:dyDescent="0.2">
      <c r="A851" s="151"/>
      <c r="B851" s="151"/>
      <c r="C851" s="148"/>
      <c r="D851" s="149" t="s">
        <v>290</v>
      </c>
      <c r="E851" s="165"/>
      <c r="F851" s="150"/>
      <c r="G851" s="147"/>
      <c r="H851" s="147">
        <v>17205</v>
      </c>
      <c r="I851" s="152">
        <f t="shared" ref="I851:I857" si="19">(H851/$H$858)</f>
        <v>0.42076302274394717</v>
      </c>
      <c r="J851" s="153" t="s">
        <v>290</v>
      </c>
      <c r="K851" s="139"/>
    </row>
    <row r="852" spans="1:11" ht="12.75" x14ac:dyDescent="0.2">
      <c r="A852" s="151"/>
      <c r="B852" s="151"/>
      <c r="C852" s="148"/>
      <c r="D852" s="149" t="s">
        <v>291</v>
      </c>
      <c r="E852" s="165"/>
      <c r="F852" s="150"/>
      <c r="G852" s="147"/>
      <c r="H852" s="147">
        <v>4065</v>
      </c>
      <c r="I852" s="152">
        <f t="shared" si="19"/>
        <v>9.9413059427732944E-2</v>
      </c>
      <c r="J852" s="147"/>
      <c r="K852" s="139"/>
    </row>
    <row r="853" spans="1:11" ht="12.75" x14ac:dyDescent="0.2">
      <c r="A853" s="151"/>
      <c r="B853" s="151"/>
      <c r="C853" s="148"/>
      <c r="D853" s="149" t="s">
        <v>284</v>
      </c>
      <c r="E853" s="165"/>
      <c r="F853" s="150"/>
      <c r="G853" s="147"/>
      <c r="H853" s="147">
        <v>1925</v>
      </c>
      <c r="I853" s="152">
        <f t="shared" si="19"/>
        <v>4.7077525067253607E-2</v>
      </c>
      <c r="J853" s="147"/>
      <c r="K853" s="139"/>
    </row>
    <row r="854" spans="1:11" ht="12.75" x14ac:dyDescent="0.2">
      <c r="A854" s="151"/>
      <c r="B854" s="151"/>
      <c r="C854" s="148"/>
      <c r="D854" s="149" t="s">
        <v>242</v>
      </c>
      <c r="E854" s="165"/>
      <c r="F854" s="150"/>
      <c r="G854" s="147"/>
      <c r="H854" s="147">
        <v>1885</v>
      </c>
      <c r="I854" s="152">
        <f t="shared" si="19"/>
        <v>4.6099290780141841E-2</v>
      </c>
      <c r="J854" s="147"/>
      <c r="K854" s="139"/>
    </row>
    <row r="855" spans="1:11" ht="12.75" x14ac:dyDescent="0.2">
      <c r="A855" s="151"/>
      <c r="B855" s="151"/>
      <c r="C855" s="148"/>
      <c r="D855" s="149" t="s">
        <v>262</v>
      </c>
      <c r="E855" s="165"/>
      <c r="F855" s="150"/>
      <c r="G855" s="147"/>
      <c r="H855" s="147">
        <v>5660</v>
      </c>
      <c r="I855" s="152">
        <f t="shared" si="19"/>
        <v>0.13842015162631449</v>
      </c>
      <c r="J855" s="153"/>
      <c r="K855" s="139"/>
    </row>
    <row r="856" spans="1:11" ht="12.75" x14ac:dyDescent="0.2">
      <c r="A856" s="151"/>
      <c r="B856" s="151"/>
      <c r="C856" s="148"/>
      <c r="D856" s="149" t="s">
        <v>288</v>
      </c>
      <c r="E856" s="165"/>
      <c r="F856" s="150"/>
      <c r="G856" s="147"/>
      <c r="H856" s="147">
        <v>4065</v>
      </c>
      <c r="I856" s="152">
        <f t="shared" si="19"/>
        <v>9.9413059427732944E-2</v>
      </c>
      <c r="J856" s="151"/>
      <c r="K856" s="139"/>
    </row>
    <row r="857" spans="1:11" ht="12.75" x14ac:dyDescent="0.2">
      <c r="A857" s="151"/>
      <c r="B857" s="151"/>
      <c r="C857" s="148"/>
      <c r="D857" s="149" t="s">
        <v>292</v>
      </c>
      <c r="E857" s="165"/>
      <c r="F857" s="150"/>
      <c r="G857" s="147"/>
      <c r="H857" s="147">
        <v>1885</v>
      </c>
      <c r="I857" s="152">
        <f t="shared" si="19"/>
        <v>4.6099290780141841E-2</v>
      </c>
      <c r="J857" s="151"/>
      <c r="K857" s="139"/>
    </row>
    <row r="858" spans="1:11" ht="12.75" x14ac:dyDescent="0.2">
      <c r="A858" s="151"/>
      <c r="B858" s="151"/>
      <c r="C858" s="148"/>
      <c r="D858" s="148" t="s">
        <v>33</v>
      </c>
      <c r="E858" s="165"/>
      <c r="F858" s="150"/>
      <c r="G858" s="147"/>
      <c r="H858" s="155">
        <f>SUM(H850:H857)</f>
        <v>40890</v>
      </c>
      <c r="I858" s="156">
        <f>SUM(I850:I857)</f>
        <v>1</v>
      </c>
      <c r="J858" s="151"/>
      <c r="K858" s="139"/>
    </row>
    <row r="859" spans="1:11" ht="12.75" x14ac:dyDescent="0.2">
      <c r="A859" s="151"/>
      <c r="B859" s="151"/>
      <c r="C859" s="148"/>
      <c r="D859" s="148"/>
      <c r="E859" s="165"/>
      <c r="F859" s="150"/>
      <c r="G859" s="147"/>
      <c r="H859" s="147"/>
      <c r="I859" s="152"/>
      <c r="J859" s="151"/>
      <c r="K859" s="139"/>
    </row>
    <row r="860" spans="1:11" ht="12.75" x14ac:dyDescent="0.2">
      <c r="A860" s="148" t="s">
        <v>18</v>
      </c>
      <c r="B860" s="148">
        <v>314</v>
      </c>
      <c r="C860" s="148" t="s">
        <v>289</v>
      </c>
      <c r="D860" s="149" t="s">
        <v>444</v>
      </c>
      <c r="E860" s="165">
        <v>37165</v>
      </c>
      <c r="F860" s="150">
        <v>9733337</v>
      </c>
      <c r="G860" s="147">
        <v>65000</v>
      </c>
      <c r="H860" s="147"/>
      <c r="I860" s="152"/>
      <c r="J860" s="151"/>
      <c r="K860" s="139"/>
    </row>
    <row r="861" spans="1:11" ht="12.75" x14ac:dyDescent="0.2">
      <c r="A861" s="151"/>
      <c r="B861" s="151"/>
      <c r="C861" s="148"/>
      <c r="D861" s="149" t="s">
        <v>261</v>
      </c>
      <c r="E861" s="165"/>
      <c r="F861" s="150"/>
      <c r="G861" s="147"/>
      <c r="H861" s="147">
        <v>3400</v>
      </c>
      <c r="I861" s="152">
        <f t="shared" ref="I861:I867" si="20">(H861/$H$868)</f>
        <v>8.5170340681362727E-2</v>
      </c>
      <c r="J861" s="151"/>
      <c r="K861" s="139"/>
    </row>
    <row r="862" spans="1:11" ht="12.75" x14ac:dyDescent="0.2">
      <c r="A862" s="151"/>
      <c r="B862" s="151"/>
      <c r="C862" s="148"/>
      <c r="D862" s="149" t="s">
        <v>290</v>
      </c>
      <c r="E862" s="165"/>
      <c r="F862" s="150"/>
      <c r="G862" s="147"/>
      <c r="H862" s="147">
        <v>6440</v>
      </c>
      <c r="I862" s="152">
        <f t="shared" si="20"/>
        <v>0.16132264529058116</v>
      </c>
      <c r="J862" s="153"/>
      <c r="K862" s="139"/>
    </row>
    <row r="863" spans="1:11" ht="12.75" x14ac:dyDescent="0.2">
      <c r="A863" s="151"/>
      <c r="B863" s="151"/>
      <c r="C863" s="148"/>
      <c r="D863" s="149" t="s">
        <v>291</v>
      </c>
      <c r="E863" s="165"/>
      <c r="F863" s="150"/>
      <c r="G863" s="147"/>
      <c r="H863" s="147">
        <v>12000</v>
      </c>
      <c r="I863" s="152">
        <f t="shared" si="20"/>
        <v>0.30060120240480964</v>
      </c>
      <c r="J863" s="153" t="s">
        <v>291</v>
      </c>
      <c r="K863" s="139"/>
    </row>
    <row r="864" spans="1:11" ht="12.75" x14ac:dyDescent="0.2">
      <c r="A864" s="151"/>
      <c r="B864" s="151"/>
      <c r="C864" s="148"/>
      <c r="D864" s="149" t="s">
        <v>284</v>
      </c>
      <c r="E864" s="165"/>
      <c r="F864" s="150"/>
      <c r="G864" s="147"/>
      <c r="H864" s="147">
        <v>6400</v>
      </c>
      <c r="I864" s="152">
        <f t="shared" si="20"/>
        <v>0.16032064128256512</v>
      </c>
      <c r="J864" s="147"/>
      <c r="K864" s="139"/>
    </row>
    <row r="865" spans="1:68" ht="12.75" x14ac:dyDescent="0.2">
      <c r="A865" s="151"/>
      <c r="B865" s="151"/>
      <c r="C865" s="148"/>
      <c r="D865" s="149" t="s">
        <v>242</v>
      </c>
      <c r="E865" s="165"/>
      <c r="F865" s="150"/>
      <c r="G865" s="147"/>
      <c r="H865" s="147">
        <v>6400</v>
      </c>
      <c r="I865" s="152">
        <f t="shared" si="20"/>
        <v>0.16032064128256512</v>
      </c>
      <c r="J865" s="147"/>
      <c r="K865" s="139"/>
    </row>
    <row r="866" spans="1:68" ht="12.75" x14ac:dyDescent="0.2">
      <c r="A866" s="151"/>
      <c r="B866" s="151"/>
      <c r="C866" s="148"/>
      <c r="D866" s="149" t="s">
        <v>262</v>
      </c>
      <c r="E866" s="165"/>
      <c r="F866" s="150"/>
      <c r="G866" s="147"/>
      <c r="H866" s="147">
        <v>4400</v>
      </c>
      <c r="I866" s="152">
        <f t="shared" si="20"/>
        <v>0.11022044088176353</v>
      </c>
      <c r="J866" s="153"/>
      <c r="K866" s="139"/>
    </row>
    <row r="867" spans="1:68" ht="12.75" x14ac:dyDescent="0.2">
      <c r="A867" s="151"/>
      <c r="B867" s="151"/>
      <c r="C867" s="148"/>
      <c r="D867" s="149" t="s">
        <v>292</v>
      </c>
      <c r="E867" s="165"/>
      <c r="F867" s="150"/>
      <c r="G867" s="147"/>
      <c r="H867" s="147">
        <v>880</v>
      </c>
      <c r="I867" s="152">
        <f t="shared" si="20"/>
        <v>2.2044088176352707E-2</v>
      </c>
      <c r="J867" s="151"/>
      <c r="K867" s="139"/>
    </row>
    <row r="868" spans="1:68" s="10" customFormat="1" ht="12.75" x14ac:dyDescent="0.2">
      <c r="A868" s="151"/>
      <c r="B868" s="151"/>
      <c r="C868" s="148"/>
      <c r="D868" s="148" t="s">
        <v>33</v>
      </c>
      <c r="E868" s="165"/>
      <c r="F868" s="150"/>
      <c r="G868" s="147"/>
      <c r="H868" s="155">
        <f>SUM(H861:H867)</f>
        <v>39920</v>
      </c>
      <c r="I868" s="156">
        <f>SUM(I861:I867)</f>
        <v>0.99999999999999989</v>
      </c>
      <c r="J868" s="151"/>
      <c r="K868" s="139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</row>
    <row r="869" spans="1:68" s="10" customFormat="1" ht="12.75" x14ac:dyDescent="0.2">
      <c r="A869" s="151"/>
      <c r="B869" s="151"/>
      <c r="C869" s="148"/>
      <c r="D869" s="148"/>
      <c r="E869" s="165"/>
      <c r="F869" s="150"/>
      <c r="G869" s="147"/>
      <c r="H869" s="147"/>
      <c r="I869" s="152"/>
      <c r="J869" s="151"/>
      <c r="K869" s="139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</row>
    <row r="870" spans="1:68" ht="12.75" x14ac:dyDescent="0.2">
      <c r="A870" s="148" t="s">
        <v>18</v>
      </c>
      <c r="B870" s="148">
        <v>347</v>
      </c>
      <c r="C870" s="148" t="s">
        <v>289</v>
      </c>
      <c r="D870" s="149" t="s">
        <v>455</v>
      </c>
      <c r="E870" s="165">
        <v>37529</v>
      </c>
      <c r="F870" s="150">
        <v>13872710</v>
      </c>
      <c r="G870" s="147">
        <v>104500</v>
      </c>
      <c r="H870" s="147"/>
      <c r="I870" s="152"/>
      <c r="J870" s="151"/>
      <c r="K870" s="139"/>
    </row>
    <row r="871" spans="1:68" ht="12.75" x14ac:dyDescent="0.2">
      <c r="A871" s="151"/>
      <c r="B871" s="151"/>
      <c r="C871" s="148"/>
      <c r="D871" s="149" t="s">
        <v>261</v>
      </c>
      <c r="E871" s="165"/>
      <c r="F871" s="150"/>
      <c r="G871" s="147"/>
      <c r="H871" s="147">
        <v>5480</v>
      </c>
      <c r="I871" s="152">
        <f>(H871/$H$879)</f>
        <v>8.3195433360154239E-2</v>
      </c>
      <c r="J871" s="151"/>
      <c r="K871" s="139"/>
    </row>
    <row r="872" spans="1:68" ht="12.75" x14ac:dyDescent="0.2">
      <c r="A872" s="151"/>
      <c r="B872" s="151"/>
      <c r="C872" s="148"/>
      <c r="D872" s="149" t="s">
        <v>290</v>
      </c>
      <c r="E872" s="165"/>
      <c r="F872" s="150"/>
      <c r="G872" s="147"/>
      <c r="H872" s="147">
        <v>31720</v>
      </c>
      <c r="I872" s="152">
        <f t="shared" ref="I872:I878" si="21">(H872/$H$879)</f>
        <v>0.48156188798979793</v>
      </c>
      <c r="J872" s="153" t="s">
        <v>290</v>
      </c>
      <c r="K872" s="139"/>
    </row>
    <row r="873" spans="1:68" ht="12.75" x14ac:dyDescent="0.2">
      <c r="A873" s="151"/>
      <c r="B873" s="151"/>
      <c r="C873" s="148"/>
      <c r="D873" s="149" t="s">
        <v>291</v>
      </c>
      <c r="E873" s="165"/>
      <c r="F873" s="150"/>
      <c r="G873" s="147"/>
      <c r="H873" s="147">
        <v>1520</v>
      </c>
      <c r="I873" s="152">
        <f t="shared" si="21"/>
        <v>2.3076105603546435E-2</v>
      </c>
      <c r="J873" s="147"/>
      <c r="K873" s="139"/>
    </row>
    <row r="874" spans="1:68" ht="12.75" x14ac:dyDescent="0.2">
      <c r="A874" s="151"/>
      <c r="B874" s="151"/>
      <c r="C874" s="148"/>
      <c r="D874" s="149" t="s">
        <v>284</v>
      </c>
      <c r="E874" s="165"/>
      <c r="F874" s="150"/>
      <c r="G874" s="147"/>
      <c r="H874" s="147">
        <v>4510</v>
      </c>
      <c r="I874" s="152">
        <f t="shared" si="21"/>
        <v>6.8469234389470002E-2</v>
      </c>
      <c r="J874" s="147"/>
      <c r="K874" s="139"/>
    </row>
    <row r="875" spans="1:68" ht="12.75" x14ac:dyDescent="0.2">
      <c r="A875" s="151"/>
      <c r="B875" s="151"/>
      <c r="C875" s="148"/>
      <c r="D875" s="149" t="s">
        <v>242</v>
      </c>
      <c r="E875" s="165"/>
      <c r="F875" s="150"/>
      <c r="G875" s="147"/>
      <c r="H875" s="147">
        <v>2715</v>
      </c>
      <c r="I875" s="152">
        <f t="shared" si="21"/>
        <v>4.1218175469492475E-2</v>
      </c>
      <c r="J875" s="147"/>
      <c r="K875" s="139"/>
    </row>
    <row r="876" spans="1:68" ht="12.75" x14ac:dyDescent="0.2">
      <c r="A876" s="151"/>
      <c r="B876" s="151"/>
      <c r="C876" s="148"/>
      <c r="D876" s="149" t="s">
        <v>293</v>
      </c>
      <c r="E876" s="165"/>
      <c r="F876" s="150"/>
      <c r="G876" s="147"/>
      <c r="H876" s="147">
        <v>340</v>
      </c>
      <c r="I876" s="152">
        <f t="shared" si="21"/>
        <v>5.1617604639511757E-3</v>
      </c>
      <c r="J876" s="153"/>
      <c r="K876" s="139"/>
    </row>
    <row r="877" spans="1:68" ht="12.75" x14ac:dyDescent="0.2">
      <c r="A877" s="151"/>
      <c r="B877" s="151"/>
      <c r="C877" s="148"/>
      <c r="D877" s="149" t="s">
        <v>288</v>
      </c>
      <c r="E877" s="165"/>
      <c r="F877" s="150"/>
      <c r="G877" s="147"/>
      <c r="H877" s="147">
        <v>17434</v>
      </c>
      <c r="I877" s="152">
        <f t="shared" si="21"/>
        <v>0.26467685861330825</v>
      </c>
      <c r="J877" s="151"/>
      <c r="K877" s="139"/>
    </row>
    <row r="878" spans="1:68" ht="12.75" x14ac:dyDescent="0.2">
      <c r="A878" s="151"/>
      <c r="B878" s="151"/>
      <c r="C878" s="148"/>
      <c r="D878" s="149" t="s">
        <v>285</v>
      </c>
      <c r="E878" s="165"/>
      <c r="F878" s="150"/>
      <c r="G878" s="147"/>
      <c r="H878" s="147">
        <v>2150</v>
      </c>
      <c r="I878" s="152">
        <f t="shared" si="21"/>
        <v>3.2640544110279494E-2</v>
      </c>
      <c r="J878" s="151"/>
      <c r="K878" s="139"/>
    </row>
    <row r="879" spans="1:68" ht="12.75" x14ac:dyDescent="0.2">
      <c r="A879" s="151"/>
      <c r="B879" s="151"/>
      <c r="C879" s="148"/>
      <c r="D879" s="148" t="s">
        <v>33</v>
      </c>
      <c r="E879" s="165"/>
      <c r="F879" s="150"/>
      <c r="G879" s="147"/>
      <c r="H879" s="155">
        <f>SUM(H871:H878)</f>
        <v>65869</v>
      </c>
      <c r="I879" s="156">
        <f>SUM(I871:I878)</f>
        <v>1</v>
      </c>
      <c r="J879" s="151"/>
      <c r="K879" s="139"/>
    </row>
    <row r="880" spans="1:68" ht="12.75" x14ac:dyDescent="0.2">
      <c r="A880" s="151"/>
      <c r="B880" s="151"/>
      <c r="C880" s="148"/>
      <c r="D880" s="148"/>
      <c r="E880" s="165"/>
      <c r="F880" s="150"/>
      <c r="G880" s="147"/>
      <c r="H880" s="147"/>
      <c r="I880" s="152"/>
      <c r="J880" s="151"/>
      <c r="K880" s="139"/>
    </row>
    <row r="881" spans="1:11" ht="12.75" x14ac:dyDescent="0.2">
      <c r="A881" s="148" t="s">
        <v>18</v>
      </c>
      <c r="B881" s="148">
        <v>318</v>
      </c>
      <c r="C881" s="148" t="s">
        <v>289</v>
      </c>
      <c r="D881" s="149" t="s">
        <v>456</v>
      </c>
      <c r="E881" s="165">
        <v>37377</v>
      </c>
      <c r="F881" s="150">
        <v>6381888</v>
      </c>
      <c r="G881" s="147">
        <v>47100</v>
      </c>
      <c r="H881" s="147"/>
      <c r="I881" s="152"/>
      <c r="J881" s="151"/>
      <c r="K881" s="139"/>
    </row>
    <row r="882" spans="1:11" ht="12.75" x14ac:dyDescent="0.2">
      <c r="A882" s="151"/>
      <c r="B882" s="151"/>
      <c r="C882" s="148"/>
      <c r="D882" s="149" t="s">
        <v>284</v>
      </c>
      <c r="E882" s="165"/>
      <c r="F882" s="150"/>
      <c r="G882" s="147"/>
      <c r="H882" s="147">
        <v>29000</v>
      </c>
      <c r="I882" s="152">
        <f>(H882/$H$886)</f>
        <v>0.86309523809523814</v>
      </c>
      <c r="J882" s="153" t="s">
        <v>457</v>
      </c>
      <c r="K882" s="139"/>
    </row>
    <row r="883" spans="1:11" ht="12.75" x14ac:dyDescent="0.2">
      <c r="A883" s="151"/>
      <c r="B883" s="151"/>
      <c r="C883" s="148"/>
      <c r="D883" s="149" t="s">
        <v>242</v>
      </c>
      <c r="E883" s="165"/>
      <c r="F883" s="150"/>
      <c r="G883" s="147"/>
      <c r="H883" s="147">
        <v>2500</v>
      </c>
      <c r="I883" s="152">
        <f>(H883/$H$886)</f>
        <v>7.4404761904761904E-2</v>
      </c>
      <c r="J883" s="147"/>
      <c r="K883" s="139"/>
    </row>
    <row r="884" spans="1:11" ht="12.75" x14ac:dyDescent="0.2">
      <c r="A884" s="151"/>
      <c r="B884" s="151"/>
      <c r="C884" s="148"/>
      <c r="D884" s="149" t="s">
        <v>293</v>
      </c>
      <c r="E884" s="165"/>
      <c r="F884" s="150"/>
      <c r="G884" s="147"/>
      <c r="H884" s="147">
        <v>1100</v>
      </c>
      <c r="I884" s="152">
        <f>(H884/$H$886)</f>
        <v>3.273809523809524E-2</v>
      </c>
      <c r="J884" s="153"/>
      <c r="K884" s="139"/>
    </row>
    <row r="885" spans="1:11" ht="12.75" x14ac:dyDescent="0.2">
      <c r="A885" s="151"/>
      <c r="B885" s="151"/>
      <c r="C885" s="148"/>
      <c r="D885" s="149" t="s">
        <v>288</v>
      </c>
      <c r="E885" s="165"/>
      <c r="F885" s="150"/>
      <c r="G885" s="147"/>
      <c r="H885" s="147">
        <v>1000</v>
      </c>
      <c r="I885" s="152">
        <f>(H885/$H$886)</f>
        <v>2.976190476190476E-2</v>
      </c>
      <c r="J885" s="151"/>
      <c r="K885" s="139"/>
    </row>
    <row r="886" spans="1:11" ht="12.75" x14ac:dyDescent="0.2">
      <c r="A886" s="151"/>
      <c r="B886" s="151"/>
      <c r="C886" s="148"/>
      <c r="D886" s="148" t="s">
        <v>33</v>
      </c>
      <c r="E886" s="165"/>
      <c r="F886" s="150"/>
      <c r="G886" s="147"/>
      <c r="H886" s="155">
        <f>SUM(H882:H885)</f>
        <v>33600</v>
      </c>
      <c r="I886" s="156">
        <f>SUM(I882:I885)</f>
        <v>1</v>
      </c>
      <c r="J886" s="151"/>
      <c r="K886" s="139"/>
    </row>
    <row r="887" spans="1:11" ht="12.75" x14ac:dyDescent="0.2">
      <c r="A887" s="151"/>
      <c r="B887" s="151"/>
      <c r="C887" s="148"/>
      <c r="D887" s="148"/>
      <c r="E887" s="165"/>
      <c r="F887" s="150"/>
      <c r="G887" s="147"/>
      <c r="H887" s="147"/>
      <c r="I887" s="152"/>
      <c r="J887" s="151"/>
      <c r="K887" s="139"/>
    </row>
    <row r="888" spans="1:11" ht="12.75" x14ac:dyDescent="0.2">
      <c r="A888" s="148" t="s">
        <v>18</v>
      </c>
      <c r="B888" s="148">
        <v>314</v>
      </c>
      <c r="C888" s="148" t="s">
        <v>289</v>
      </c>
      <c r="D888" s="149" t="s">
        <v>458</v>
      </c>
      <c r="E888" s="165">
        <v>37494</v>
      </c>
      <c r="F888" s="150">
        <v>14494562</v>
      </c>
      <c r="G888" s="147">
        <v>86000</v>
      </c>
      <c r="H888" s="147"/>
      <c r="I888" s="152"/>
      <c r="J888" s="151"/>
      <c r="K888" s="139"/>
    </row>
    <row r="889" spans="1:11" ht="12.75" x14ac:dyDescent="0.2">
      <c r="A889" s="151"/>
      <c r="B889" s="151"/>
      <c r="C889" s="148"/>
      <c r="D889" s="149" t="s">
        <v>261</v>
      </c>
      <c r="E889" s="165"/>
      <c r="F889" s="150"/>
      <c r="G889" s="147"/>
      <c r="H889" s="147">
        <v>9370</v>
      </c>
      <c r="I889" s="152">
        <f>(H889/$H$896)</f>
        <v>0.1937952430196484</v>
      </c>
      <c r="J889" s="151"/>
      <c r="K889" s="139"/>
    </row>
    <row r="890" spans="1:11" ht="12.75" x14ac:dyDescent="0.2">
      <c r="A890" s="151"/>
      <c r="B890" s="151"/>
      <c r="C890" s="148"/>
      <c r="D890" s="149" t="s">
        <v>290</v>
      </c>
      <c r="E890" s="165"/>
      <c r="F890" s="150"/>
      <c r="G890" s="147"/>
      <c r="H890" s="147">
        <v>3575</v>
      </c>
      <c r="I890" s="152">
        <f t="shared" ref="I890:I895" si="22">(H890/$H$896)</f>
        <v>7.3940020682523269E-2</v>
      </c>
      <c r="J890" s="147"/>
      <c r="K890" s="139"/>
    </row>
    <row r="891" spans="1:11" ht="12.75" x14ac:dyDescent="0.2">
      <c r="A891" s="151"/>
      <c r="B891" s="151"/>
      <c r="C891" s="148"/>
      <c r="D891" s="149" t="s">
        <v>291</v>
      </c>
      <c r="E891" s="165"/>
      <c r="F891" s="150"/>
      <c r="G891" s="147"/>
      <c r="H891" s="147">
        <v>14571</v>
      </c>
      <c r="I891" s="152">
        <f t="shared" si="22"/>
        <v>0.30136504653567736</v>
      </c>
      <c r="J891" s="153" t="s">
        <v>291</v>
      </c>
      <c r="K891" s="139"/>
    </row>
    <row r="892" spans="1:11" ht="12.75" x14ac:dyDescent="0.2">
      <c r="A892" s="151"/>
      <c r="B892" s="151"/>
      <c r="C892" s="148"/>
      <c r="D892" s="149" t="s">
        <v>284</v>
      </c>
      <c r="E892" s="165"/>
      <c r="F892" s="150"/>
      <c r="G892" s="147"/>
      <c r="H892" s="147">
        <v>6824</v>
      </c>
      <c r="I892" s="152">
        <f t="shared" si="22"/>
        <v>0.14113753877973112</v>
      </c>
      <c r="J892" s="147"/>
      <c r="K892" s="139"/>
    </row>
    <row r="893" spans="1:11" ht="12.75" x14ac:dyDescent="0.2">
      <c r="A893" s="151"/>
      <c r="B893" s="151"/>
      <c r="C893" s="148"/>
      <c r="D893" s="149" t="s">
        <v>262</v>
      </c>
      <c r="E893" s="165"/>
      <c r="F893" s="150"/>
      <c r="G893" s="147"/>
      <c r="H893" s="147">
        <v>5040</v>
      </c>
      <c r="I893" s="152">
        <f t="shared" si="22"/>
        <v>0.10423991726990693</v>
      </c>
      <c r="J893" s="147"/>
      <c r="K893" s="139"/>
    </row>
    <row r="894" spans="1:11" ht="12.75" x14ac:dyDescent="0.2">
      <c r="A894" s="151"/>
      <c r="B894" s="151"/>
      <c r="C894" s="148"/>
      <c r="D894" s="149" t="s">
        <v>293</v>
      </c>
      <c r="E894" s="165"/>
      <c r="F894" s="150"/>
      <c r="G894" s="147"/>
      <c r="H894" s="147">
        <v>1475</v>
      </c>
      <c r="I894" s="152">
        <f t="shared" si="22"/>
        <v>3.0506721820062047E-2</v>
      </c>
      <c r="J894" s="153"/>
      <c r="K894" s="139"/>
    </row>
    <row r="895" spans="1:11" ht="12.75" x14ac:dyDescent="0.2">
      <c r="A895" s="151"/>
      <c r="B895" s="151"/>
      <c r="C895" s="148"/>
      <c r="D895" s="149" t="s">
        <v>288</v>
      </c>
      <c r="E895" s="165"/>
      <c r="F895" s="150"/>
      <c r="G895" s="147"/>
      <c r="H895" s="147">
        <v>7495</v>
      </c>
      <c r="I895" s="152">
        <f t="shared" si="22"/>
        <v>0.15501551189245089</v>
      </c>
      <c r="J895" s="151"/>
      <c r="K895" s="139"/>
    </row>
    <row r="896" spans="1:11" ht="12.75" x14ac:dyDescent="0.2">
      <c r="A896" s="151"/>
      <c r="B896" s="151"/>
      <c r="C896" s="148"/>
      <c r="D896" s="148" t="s">
        <v>33</v>
      </c>
      <c r="E896" s="165"/>
      <c r="F896" s="150"/>
      <c r="G896" s="147"/>
      <c r="H896" s="155">
        <f>SUM(H889:H895)</f>
        <v>48350</v>
      </c>
      <c r="I896" s="156">
        <f>SUM(I889:I895)</f>
        <v>1</v>
      </c>
      <c r="J896" s="151"/>
      <c r="K896" s="139"/>
    </row>
    <row r="897" spans="1:11" ht="12.75" x14ac:dyDescent="0.2">
      <c r="A897" s="151"/>
      <c r="B897" s="151"/>
      <c r="C897" s="148"/>
      <c r="D897" s="148"/>
      <c r="E897" s="165"/>
      <c r="F897" s="150"/>
      <c r="G897" s="147"/>
      <c r="H897" s="147"/>
      <c r="I897" s="152"/>
      <c r="J897" s="151"/>
      <c r="K897" s="139"/>
    </row>
    <row r="898" spans="1:11" ht="12.75" x14ac:dyDescent="0.2">
      <c r="A898" s="148" t="s">
        <v>18</v>
      </c>
      <c r="B898" s="148">
        <v>399</v>
      </c>
      <c r="C898" s="148" t="s">
        <v>289</v>
      </c>
      <c r="D898" s="149" t="s">
        <v>487</v>
      </c>
      <c r="E898" s="165">
        <v>38032</v>
      </c>
      <c r="F898" s="150">
        <v>21175050</v>
      </c>
      <c r="G898" s="147">
        <v>160385</v>
      </c>
      <c r="H898" s="147"/>
      <c r="I898" s="152"/>
      <c r="J898" s="151"/>
      <c r="K898" s="139"/>
    </row>
    <row r="899" spans="1:11" ht="12.75" x14ac:dyDescent="0.2">
      <c r="A899" s="151"/>
      <c r="B899" s="151"/>
      <c r="C899" s="148"/>
      <c r="D899" s="149" t="s">
        <v>261</v>
      </c>
      <c r="E899" s="165"/>
      <c r="F899" s="150"/>
      <c r="G899" s="147"/>
      <c r="H899" s="147">
        <v>39153</v>
      </c>
      <c r="I899" s="152">
        <f>(H899/$H$912)</f>
        <v>0.33551853565736028</v>
      </c>
      <c r="J899" s="153" t="s">
        <v>261</v>
      </c>
      <c r="K899" s="139"/>
    </row>
    <row r="900" spans="1:11" ht="12.75" x14ac:dyDescent="0.2">
      <c r="A900" s="151"/>
      <c r="B900" s="151"/>
      <c r="C900" s="148"/>
      <c r="D900" s="149" t="s">
        <v>242</v>
      </c>
      <c r="E900" s="165"/>
      <c r="F900" s="150"/>
      <c r="G900" s="147"/>
      <c r="H900" s="147">
        <v>42105</v>
      </c>
      <c r="I900" s="152">
        <f>(H900/$H$912)</f>
        <v>0.36081546609080156</v>
      </c>
      <c r="J900" s="153" t="s">
        <v>242</v>
      </c>
      <c r="K900" s="139"/>
    </row>
    <row r="901" spans="1:11" ht="12.75" x14ac:dyDescent="0.2">
      <c r="A901" s="151"/>
      <c r="B901" s="151"/>
      <c r="C901" s="148"/>
      <c r="D901" s="149" t="s">
        <v>293</v>
      </c>
      <c r="E901" s="165"/>
      <c r="F901" s="150"/>
      <c r="G901" s="147"/>
      <c r="H901" s="147">
        <v>7595</v>
      </c>
      <c r="I901" s="152">
        <f>(H901/$H$912)</f>
        <v>6.5084751572488733E-2</v>
      </c>
      <c r="J901" s="153"/>
      <c r="K901" s="139"/>
    </row>
    <row r="902" spans="1:11" ht="12.75" x14ac:dyDescent="0.2">
      <c r="A902" s="151"/>
      <c r="B902" s="151"/>
      <c r="C902" s="148"/>
      <c r="D902" s="149" t="s">
        <v>288</v>
      </c>
      <c r="E902" s="165"/>
      <c r="F902" s="150"/>
      <c r="G902" s="147"/>
      <c r="H902" s="147">
        <v>12991</v>
      </c>
      <c r="I902" s="152">
        <f>(H902/$H$912)</f>
        <v>0.11132534663307454</v>
      </c>
      <c r="J902" s="151"/>
      <c r="K902" s="139"/>
    </row>
    <row r="903" spans="1:11" ht="12.75" x14ac:dyDescent="0.2">
      <c r="A903" s="151"/>
      <c r="B903" s="151"/>
      <c r="C903" s="148"/>
      <c r="D903" s="149" t="s">
        <v>285</v>
      </c>
      <c r="E903" s="165"/>
      <c r="F903" s="150"/>
      <c r="G903" s="147"/>
      <c r="H903" s="147">
        <v>9180</v>
      </c>
      <c r="I903" s="152">
        <f>(H903/$H$912)</f>
        <v>7.8667283664969917E-2</v>
      </c>
      <c r="J903" s="151"/>
      <c r="K903" s="139"/>
    </row>
    <row r="904" spans="1:11" ht="12.75" x14ac:dyDescent="0.2">
      <c r="A904" s="151"/>
      <c r="B904" s="151"/>
      <c r="C904" s="148"/>
      <c r="D904" s="148" t="s">
        <v>33</v>
      </c>
      <c r="E904" s="165"/>
      <c r="F904" s="150"/>
      <c r="G904" s="147"/>
      <c r="H904" s="155">
        <f>SUM(H899:H903)</f>
        <v>111024</v>
      </c>
      <c r="I904" s="156">
        <f>SUM(I899:I903)</f>
        <v>0.95141138361869504</v>
      </c>
      <c r="J904" s="151"/>
      <c r="K904" s="139"/>
    </row>
    <row r="905" spans="1:11" ht="12.75" x14ac:dyDescent="0.2">
      <c r="A905" s="151"/>
      <c r="B905" s="151"/>
      <c r="C905" s="148"/>
      <c r="D905" s="148"/>
      <c r="E905" s="165"/>
      <c r="F905" s="150"/>
      <c r="G905" s="147"/>
      <c r="H905" s="147"/>
      <c r="I905" s="152"/>
      <c r="J905" s="151"/>
      <c r="K905" s="139"/>
    </row>
    <row r="906" spans="1:11" ht="12.75" x14ac:dyDescent="0.2">
      <c r="A906" s="148" t="s">
        <v>18</v>
      </c>
      <c r="B906" s="148">
        <v>304</v>
      </c>
      <c r="C906" s="148" t="s">
        <v>289</v>
      </c>
      <c r="D906" s="149" t="s">
        <v>551</v>
      </c>
      <c r="E906" s="165">
        <v>39295</v>
      </c>
      <c r="F906" s="150">
        <v>34200000</v>
      </c>
      <c r="G906" s="147">
        <v>138300</v>
      </c>
      <c r="H906" s="181"/>
      <c r="I906" s="152"/>
      <c r="J906" s="151"/>
      <c r="K906" s="139"/>
    </row>
    <row r="907" spans="1:11" ht="12.75" x14ac:dyDescent="0.2">
      <c r="A907" s="151"/>
      <c r="B907" s="151"/>
      <c r="C907" s="148"/>
      <c r="D907" s="149" t="s">
        <v>238</v>
      </c>
      <c r="E907" s="165"/>
      <c r="F907" s="150"/>
      <c r="G907" s="147"/>
      <c r="H907" s="147">
        <v>22150</v>
      </c>
      <c r="I907" s="152">
        <f>(H907/$H$912)</f>
        <v>0.18981267245959518</v>
      </c>
      <c r="J907" s="153"/>
      <c r="K907" s="139"/>
    </row>
    <row r="908" spans="1:11" ht="12.75" x14ac:dyDescent="0.2">
      <c r="A908" s="151"/>
      <c r="B908" s="151"/>
      <c r="C908" s="148"/>
      <c r="D908" s="149" t="s">
        <v>314</v>
      </c>
      <c r="E908" s="165"/>
      <c r="F908" s="150"/>
      <c r="G908" s="147"/>
      <c r="H908" s="147">
        <v>66991</v>
      </c>
      <c r="I908" s="152">
        <f>(H908/$H$912)</f>
        <v>0.57407407407407407</v>
      </c>
      <c r="J908" s="153" t="s">
        <v>314</v>
      </c>
      <c r="K908" s="139"/>
    </row>
    <row r="909" spans="1:11" ht="12.75" x14ac:dyDescent="0.2">
      <c r="A909" s="151"/>
      <c r="B909" s="151"/>
      <c r="C909" s="148"/>
      <c r="D909" s="149" t="s">
        <v>293</v>
      </c>
      <c r="E909" s="165"/>
      <c r="F909" s="150"/>
      <c r="G909" s="147"/>
      <c r="H909" s="147">
        <v>1816</v>
      </c>
      <c r="I909" s="152">
        <f>(H909/$H$912)</f>
        <v>1.5562068315423243E-2</v>
      </c>
      <c r="J909" s="153"/>
      <c r="K909" s="139"/>
    </row>
    <row r="910" spans="1:11" ht="12.75" x14ac:dyDescent="0.2">
      <c r="A910" s="151"/>
      <c r="B910" s="151"/>
      <c r="C910" s="148"/>
      <c r="D910" s="149" t="s">
        <v>288</v>
      </c>
      <c r="E910" s="165"/>
      <c r="F910" s="150"/>
      <c r="G910" s="147"/>
      <c r="H910" s="147">
        <v>6627</v>
      </c>
      <c r="I910" s="152">
        <f>(H910/$H$912)</f>
        <v>5.6789552162064889E-2</v>
      </c>
      <c r="J910" s="151"/>
      <c r="K910" s="139"/>
    </row>
    <row r="911" spans="1:11" ht="12.75" x14ac:dyDescent="0.2">
      <c r="A911" s="151"/>
      <c r="B911" s="151"/>
      <c r="C911" s="148"/>
      <c r="D911" s="154" t="s">
        <v>244</v>
      </c>
      <c r="E911" s="165"/>
      <c r="F911" s="150"/>
      <c r="G911" s="147"/>
      <c r="H911" s="147">
        <v>19110</v>
      </c>
      <c r="I911" s="152">
        <f>(H911/$H$912)</f>
        <v>0.16376163298884261</v>
      </c>
      <c r="J911" s="151"/>
      <c r="K911" s="139"/>
    </row>
    <row r="912" spans="1:11" ht="12.75" x14ac:dyDescent="0.2">
      <c r="A912" s="151"/>
      <c r="B912" s="151"/>
      <c r="C912" s="148"/>
      <c r="D912" s="148" t="s">
        <v>33</v>
      </c>
      <c r="E912" s="165"/>
      <c r="F912" s="150"/>
      <c r="G912" s="147"/>
      <c r="H912" s="147">
        <f>SUM(H907:H911)</f>
        <v>116694</v>
      </c>
      <c r="I912" s="152">
        <f>SUM(I907:I911)</f>
        <v>1</v>
      </c>
      <c r="J912" s="151"/>
      <c r="K912" s="139"/>
    </row>
    <row r="913" spans="1:14" ht="12.75" x14ac:dyDescent="0.2">
      <c r="A913" s="151"/>
      <c r="B913" s="151"/>
      <c r="C913" s="148"/>
      <c r="D913" s="148"/>
      <c r="E913" s="165"/>
      <c r="F913" s="150"/>
      <c r="G913" s="147"/>
      <c r="H913" s="147"/>
      <c r="I913" s="152"/>
      <c r="J913" s="151"/>
      <c r="K913" s="139"/>
    </row>
    <row r="914" spans="1:14" ht="12.75" x14ac:dyDescent="0.2">
      <c r="A914" s="221" t="s">
        <v>18</v>
      </c>
      <c r="B914" s="221"/>
      <c r="C914" s="222" t="s">
        <v>289</v>
      </c>
      <c r="D914" s="223" t="s">
        <v>652</v>
      </c>
      <c r="E914" s="224">
        <v>42644</v>
      </c>
      <c r="F914" s="225">
        <v>37551000</v>
      </c>
      <c r="G914" s="226">
        <v>89103</v>
      </c>
      <c r="H914" s="226"/>
      <c r="I914" s="227"/>
      <c r="J914" s="221"/>
      <c r="K914" s="228" t="s">
        <v>663</v>
      </c>
      <c r="L914" s="229"/>
      <c r="M914" s="229"/>
      <c r="N914" s="230"/>
    </row>
    <row r="915" spans="1:14" ht="12.75" x14ac:dyDescent="0.2">
      <c r="A915" s="151"/>
      <c r="B915" s="151"/>
      <c r="C915" s="148"/>
      <c r="D915" s="149" t="s">
        <v>581</v>
      </c>
      <c r="E915" s="165"/>
      <c r="F915" s="150"/>
      <c r="G915" s="147"/>
      <c r="H915" s="147">
        <v>1229</v>
      </c>
      <c r="I915" s="152">
        <f>H915/$H$923</f>
        <v>6.9932855354500972E-2</v>
      </c>
      <c r="J915" s="151"/>
      <c r="K915" s="139" t="s">
        <v>723</v>
      </c>
    </row>
    <row r="916" spans="1:14" ht="12.75" x14ac:dyDescent="0.2">
      <c r="A916" s="151"/>
      <c r="B916" s="151"/>
      <c r="C916" s="148"/>
      <c r="D916" s="149" t="s">
        <v>627</v>
      </c>
      <c r="E916" s="165"/>
      <c r="F916" s="150"/>
      <c r="G916" s="147"/>
      <c r="H916" s="147">
        <v>1745</v>
      </c>
      <c r="I916" s="152">
        <f t="shared" ref="I916:I923" si="23">H916/$H$923</f>
        <v>9.929441219984067E-2</v>
      </c>
      <c r="J916" s="151"/>
      <c r="K916" s="139"/>
    </row>
    <row r="917" spans="1:14" ht="12.75" x14ac:dyDescent="0.2">
      <c r="A917" s="151"/>
      <c r="B917" s="151"/>
      <c r="C917" s="148"/>
      <c r="D917" s="149" t="s">
        <v>603</v>
      </c>
      <c r="E917" s="165"/>
      <c r="F917" s="150"/>
      <c r="G917" s="147"/>
      <c r="H917" s="147">
        <v>11056</v>
      </c>
      <c r="I917" s="152">
        <f t="shared" si="23"/>
        <v>0.62911118698076707</v>
      </c>
      <c r="J917" s="151"/>
      <c r="K917" s="139"/>
    </row>
    <row r="918" spans="1:14" ht="12.75" x14ac:dyDescent="0.2">
      <c r="A918" s="151"/>
      <c r="B918" s="151"/>
      <c r="C918" s="148"/>
      <c r="D918" s="149" t="s">
        <v>583</v>
      </c>
      <c r="E918" s="165"/>
      <c r="F918" s="150"/>
      <c r="G918" s="147"/>
      <c r="H918" s="147">
        <v>1049</v>
      </c>
      <c r="I918" s="152">
        <f t="shared" si="23"/>
        <v>5.9690451803801073E-2</v>
      </c>
      <c r="J918" s="151"/>
      <c r="K918" s="139"/>
    </row>
    <row r="919" spans="1:14" ht="12.75" x14ac:dyDescent="0.2">
      <c r="A919" s="151"/>
      <c r="B919" s="151"/>
      <c r="C919" s="148"/>
      <c r="D919" s="149" t="s">
        <v>594</v>
      </c>
      <c r="E919" s="165"/>
      <c r="F919" s="150"/>
      <c r="G919" s="147"/>
      <c r="H919" s="147"/>
      <c r="I919" s="152">
        <f t="shared" si="23"/>
        <v>0</v>
      </c>
      <c r="J919" s="151"/>
      <c r="K919" s="139"/>
    </row>
    <row r="920" spans="1:14" ht="12.75" x14ac:dyDescent="0.2">
      <c r="A920" s="151"/>
      <c r="B920" s="151"/>
      <c r="C920" s="148"/>
      <c r="D920" s="149" t="s">
        <v>589</v>
      </c>
      <c r="E920" s="165"/>
      <c r="F920" s="150"/>
      <c r="G920" s="147"/>
      <c r="H920" s="147">
        <v>2495</v>
      </c>
      <c r="I920" s="152">
        <f t="shared" si="23"/>
        <v>0.14197109366109026</v>
      </c>
      <c r="J920" s="151"/>
      <c r="K920" s="139"/>
    </row>
    <row r="921" spans="1:14" ht="12.75" x14ac:dyDescent="0.2">
      <c r="A921" s="151"/>
      <c r="B921" s="151"/>
      <c r="C921" s="148"/>
      <c r="D921" s="149" t="s">
        <v>586</v>
      </c>
      <c r="E921" s="165"/>
      <c r="F921" s="150"/>
      <c r="G921" s="147"/>
      <c r="H921" s="147"/>
      <c r="I921" s="152">
        <f t="shared" si="23"/>
        <v>0</v>
      </c>
      <c r="J921" s="151"/>
      <c r="K921" s="139"/>
    </row>
    <row r="922" spans="1:14" ht="12.75" x14ac:dyDescent="0.2">
      <c r="A922" s="151"/>
      <c r="B922" s="151"/>
      <c r="C922" s="148"/>
      <c r="D922" s="149" t="s">
        <v>615</v>
      </c>
      <c r="E922" s="165"/>
      <c r="F922" s="150"/>
      <c r="G922" s="147"/>
      <c r="H922" s="147"/>
      <c r="I922" s="152">
        <f t="shared" si="23"/>
        <v>0</v>
      </c>
      <c r="J922" s="151"/>
      <c r="K922" s="139"/>
    </row>
    <row r="923" spans="1:14" ht="12.75" x14ac:dyDescent="0.2">
      <c r="A923" s="151"/>
      <c r="B923" s="151"/>
      <c r="C923" s="148"/>
      <c r="D923" s="148" t="s">
        <v>33</v>
      </c>
      <c r="E923" s="165"/>
      <c r="F923" s="150"/>
      <c r="G923" s="147"/>
      <c r="H923" s="167">
        <f>SUM(H915:H922)</f>
        <v>17574</v>
      </c>
      <c r="I923" s="168">
        <f t="shared" si="23"/>
        <v>1</v>
      </c>
      <c r="J923" s="151"/>
      <c r="K923" s="139"/>
    </row>
    <row r="924" spans="1:14" ht="12.75" x14ac:dyDescent="0.2">
      <c r="A924" s="151"/>
      <c r="B924" s="151"/>
      <c r="C924" s="148"/>
      <c r="D924" s="148"/>
      <c r="E924" s="165"/>
      <c r="F924" s="150"/>
      <c r="G924" s="147"/>
      <c r="H924" s="147"/>
      <c r="I924" s="152"/>
      <c r="J924" s="151"/>
      <c r="K924" s="139"/>
    </row>
    <row r="925" spans="1:14" ht="12.75" x14ac:dyDescent="0.2">
      <c r="A925" s="148" t="s">
        <v>18</v>
      </c>
      <c r="B925" s="148">
        <v>304</v>
      </c>
      <c r="C925" s="148" t="s">
        <v>234</v>
      </c>
      <c r="D925" s="149" t="s">
        <v>670</v>
      </c>
      <c r="E925" s="165">
        <v>42971</v>
      </c>
      <c r="F925" s="150">
        <v>2059940</v>
      </c>
      <c r="G925" s="147">
        <v>6980</v>
      </c>
      <c r="H925" s="181"/>
      <c r="I925" s="152"/>
      <c r="J925" s="151"/>
      <c r="K925" s="139"/>
    </row>
    <row r="926" spans="1:14" ht="12.75" x14ac:dyDescent="0.2">
      <c r="A926" s="151"/>
      <c r="B926" s="151"/>
      <c r="C926" s="148"/>
      <c r="D926" s="149" t="s">
        <v>288</v>
      </c>
      <c r="E926" s="165"/>
      <c r="F926" s="150"/>
      <c r="G926" s="147"/>
      <c r="H926" s="147">
        <v>1572</v>
      </c>
      <c r="I926" s="152">
        <f>(H926/$H$928)</f>
        <v>0.29965688143347313</v>
      </c>
      <c r="J926" s="151" t="s">
        <v>63</v>
      </c>
      <c r="K926" s="139"/>
    </row>
    <row r="927" spans="1:14" ht="12.75" x14ac:dyDescent="0.2">
      <c r="A927" s="151"/>
      <c r="B927" s="151"/>
      <c r="C927" s="148"/>
      <c r="D927" s="154" t="s">
        <v>285</v>
      </c>
      <c r="E927" s="165"/>
      <c r="F927" s="150"/>
      <c r="G927" s="147"/>
      <c r="H927" s="147">
        <v>3674</v>
      </c>
      <c r="I927" s="152">
        <f>(H927/$H$928)</f>
        <v>0.70034311856652687</v>
      </c>
      <c r="J927" s="151"/>
      <c r="K927" s="139"/>
    </row>
    <row r="928" spans="1:14" ht="12.75" x14ac:dyDescent="0.2">
      <c r="A928" s="151"/>
      <c r="B928" s="151"/>
      <c r="C928" s="148"/>
      <c r="D928" s="148" t="s">
        <v>33</v>
      </c>
      <c r="E928" s="165"/>
      <c r="F928" s="150"/>
      <c r="G928" s="147"/>
      <c r="H928" s="155">
        <f>SUM(H926:H927)</f>
        <v>5246</v>
      </c>
      <c r="I928" s="156">
        <f>SUM(I926:I927)</f>
        <v>1</v>
      </c>
      <c r="J928" s="151"/>
      <c r="K928" s="139"/>
    </row>
    <row r="929" spans="1:11" ht="12.75" x14ac:dyDescent="0.2">
      <c r="A929" s="151"/>
      <c r="B929" s="151"/>
      <c r="C929" s="148"/>
      <c r="D929" s="148"/>
      <c r="E929" s="165"/>
      <c r="F929" s="150"/>
      <c r="G929" s="147"/>
      <c r="I929" s="177"/>
      <c r="J929" s="151"/>
      <c r="K929" s="139"/>
    </row>
    <row r="930" spans="1:11" ht="12.75" x14ac:dyDescent="0.2">
      <c r="A930" s="148" t="s">
        <v>18</v>
      </c>
      <c r="B930" s="148">
        <v>304</v>
      </c>
      <c r="C930" s="148" t="s">
        <v>289</v>
      </c>
      <c r="D930" s="149" t="s">
        <v>714</v>
      </c>
      <c r="E930" s="165">
        <v>44305</v>
      </c>
      <c r="F930" s="150">
        <v>32228289</v>
      </c>
      <c r="G930" s="147">
        <v>89493</v>
      </c>
      <c r="H930" s="181"/>
      <c r="I930" s="152"/>
      <c r="J930" s="151"/>
      <c r="K930" s="139"/>
    </row>
    <row r="931" spans="1:11" ht="12.75" x14ac:dyDescent="0.2">
      <c r="A931" s="148"/>
      <c r="B931" s="148"/>
      <c r="C931" s="148"/>
      <c r="D931" s="149" t="s">
        <v>716</v>
      </c>
      <c r="E931" s="165"/>
      <c r="F931" s="150"/>
      <c r="G931" s="147"/>
      <c r="H931" s="181">
        <v>1844</v>
      </c>
      <c r="I931" s="152">
        <f t="shared" ref="I931:I936" si="24">(H931/$H$937)</f>
        <v>2.8089630904687191E-2</v>
      </c>
      <c r="J931" s="151"/>
      <c r="K931" s="139"/>
    </row>
    <row r="932" spans="1:11" ht="12.75" x14ac:dyDescent="0.2">
      <c r="A932" s="148"/>
      <c r="B932" s="148"/>
      <c r="C932" s="148"/>
      <c r="D932" s="149" t="s">
        <v>457</v>
      </c>
      <c r="E932" s="165"/>
      <c r="F932" s="150"/>
      <c r="G932" s="147"/>
      <c r="H932" s="181">
        <v>9800</v>
      </c>
      <c r="I932" s="152">
        <f t="shared" si="24"/>
        <v>0.14928328788825079</v>
      </c>
      <c r="J932" s="151"/>
      <c r="K932" s="139"/>
    </row>
    <row r="933" spans="1:11" ht="12.75" x14ac:dyDescent="0.2">
      <c r="A933" s="148"/>
      <c r="B933" s="148"/>
      <c r="C933" s="148"/>
      <c r="D933" s="149" t="s">
        <v>717</v>
      </c>
      <c r="E933" s="165"/>
      <c r="F933" s="150"/>
      <c r="G933" s="147"/>
      <c r="H933" s="181">
        <v>3693</v>
      </c>
      <c r="I933" s="152">
        <f t="shared" si="24"/>
        <v>5.6255426752174507E-2</v>
      </c>
      <c r="J933" s="151"/>
      <c r="K933" s="139"/>
    </row>
    <row r="934" spans="1:11" ht="12.75" x14ac:dyDescent="0.2">
      <c r="A934" s="151"/>
      <c r="B934" s="151"/>
      <c r="C934" s="148"/>
      <c r="D934" s="149" t="s">
        <v>718</v>
      </c>
      <c r="E934" s="165"/>
      <c r="F934" s="150"/>
      <c r="G934" s="147"/>
      <c r="H934" s="147">
        <v>45709</v>
      </c>
      <c r="I934" s="152">
        <f t="shared" si="24"/>
        <v>0.69628467409020978</v>
      </c>
      <c r="J934" s="151" t="s">
        <v>63</v>
      </c>
      <c r="K934" s="139"/>
    </row>
    <row r="935" spans="1:11" ht="12.75" x14ac:dyDescent="0.2">
      <c r="A935" s="151"/>
      <c r="B935" s="151"/>
      <c r="C935" s="148"/>
      <c r="D935" s="149" t="s">
        <v>719</v>
      </c>
      <c r="E935" s="165"/>
      <c r="F935" s="150"/>
      <c r="G935" s="147"/>
      <c r="H935" s="147">
        <v>4601</v>
      </c>
      <c r="I935" s="152">
        <f t="shared" si="24"/>
        <v>7.008698036467774E-2</v>
      </c>
      <c r="J935" s="151"/>
      <c r="K935" s="139"/>
    </row>
    <row r="936" spans="1:11" ht="12.75" x14ac:dyDescent="0.2">
      <c r="A936" s="151"/>
      <c r="B936" s="151"/>
      <c r="C936" s="148"/>
      <c r="D936" s="154" t="s">
        <v>720</v>
      </c>
      <c r="E936" s="165"/>
      <c r="F936" s="150"/>
      <c r="G936" s="147"/>
      <c r="H936" s="147">
        <v>0</v>
      </c>
      <c r="I936" s="152">
        <f t="shared" si="24"/>
        <v>0</v>
      </c>
      <c r="J936" s="151"/>
      <c r="K936" s="139"/>
    </row>
    <row r="937" spans="1:11" ht="12.75" x14ac:dyDescent="0.2">
      <c r="A937" s="151"/>
      <c r="B937" s="151"/>
      <c r="C937" s="148"/>
      <c r="D937" s="148" t="s">
        <v>33</v>
      </c>
      <c r="E937" s="165"/>
      <c r="F937" s="150"/>
      <c r="G937" s="147"/>
      <c r="H937" s="167">
        <f>SUM(H931:H936)</f>
        <v>65647</v>
      </c>
      <c r="I937" s="168">
        <f>SUM(I931:I936)</f>
        <v>1</v>
      </c>
      <c r="J937" s="151"/>
      <c r="K937" s="139"/>
    </row>
    <row r="938" spans="1:11" ht="12.75" x14ac:dyDescent="0.2">
      <c r="A938" s="151"/>
      <c r="B938" s="151"/>
      <c r="C938" s="148"/>
      <c r="D938" s="149"/>
      <c r="E938" s="165"/>
      <c r="F938" s="150"/>
      <c r="G938" s="147"/>
      <c r="H938" s="147"/>
      <c r="I938" s="152"/>
      <c r="J938" s="151"/>
      <c r="K938" s="139"/>
    </row>
    <row r="939" spans="1:11" ht="12.75" x14ac:dyDescent="0.2">
      <c r="A939" s="148" t="s">
        <v>20</v>
      </c>
      <c r="B939" s="148" t="s">
        <v>323</v>
      </c>
      <c r="C939" s="148" t="s">
        <v>234</v>
      </c>
      <c r="D939" s="149" t="s">
        <v>160</v>
      </c>
      <c r="E939" s="165" t="s">
        <v>324</v>
      </c>
      <c r="F939" s="150">
        <v>7248550</v>
      </c>
      <c r="G939" s="147">
        <v>120000</v>
      </c>
      <c r="H939" s="147"/>
      <c r="I939" s="152"/>
      <c r="J939" s="151"/>
      <c r="K939" s="139"/>
    </row>
    <row r="940" spans="1:11" ht="12.75" x14ac:dyDescent="0.2">
      <c r="A940" s="151"/>
      <c r="B940" s="151"/>
      <c r="C940" s="148"/>
      <c r="D940" s="149" t="s">
        <v>261</v>
      </c>
      <c r="E940" s="165"/>
      <c r="F940" s="150"/>
      <c r="G940" s="147"/>
      <c r="H940" s="147">
        <v>19668</v>
      </c>
      <c r="I940" s="152">
        <f>ROUND(H940/$H$946,4)</f>
        <v>0.2437</v>
      </c>
      <c r="J940" s="151" t="s">
        <v>261</v>
      </c>
      <c r="K940" s="139"/>
    </row>
    <row r="941" spans="1:11" ht="12.75" x14ac:dyDescent="0.2">
      <c r="A941" s="151"/>
      <c r="B941" s="151"/>
      <c r="C941" s="148"/>
      <c r="D941" s="149" t="s">
        <v>238</v>
      </c>
      <c r="E941" s="165"/>
      <c r="F941" s="150"/>
      <c r="G941" s="147"/>
      <c r="H941" s="147">
        <v>27874</v>
      </c>
      <c r="I941" s="152">
        <f>ROUND(H941/$H$946,4)</f>
        <v>0.34539999999999998</v>
      </c>
      <c r="J941" s="151" t="s">
        <v>238</v>
      </c>
      <c r="K941" s="139"/>
    </row>
    <row r="942" spans="1:11" ht="12.75" x14ac:dyDescent="0.2">
      <c r="A942" s="151"/>
      <c r="B942" s="151"/>
      <c r="C942" s="148"/>
      <c r="D942" s="149" t="s">
        <v>239</v>
      </c>
      <c r="E942" s="165"/>
      <c r="F942" s="150"/>
      <c r="G942" s="147"/>
      <c r="H942" s="147">
        <v>4800</v>
      </c>
      <c r="I942" s="152">
        <f>ROUND(H942/$H$946,4)</f>
        <v>5.9499999999999997E-2</v>
      </c>
      <c r="J942" s="151"/>
      <c r="K942" s="139"/>
    </row>
    <row r="943" spans="1:11" ht="12.75" x14ac:dyDescent="0.2">
      <c r="A943" s="151"/>
      <c r="B943" s="151"/>
      <c r="C943" s="148"/>
      <c r="D943" s="149" t="s">
        <v>240</v>
      </c>
      <c r="E943" s="165"/>
      <c r="F943" s="150"/>
      <c r="G943" s="147"/>
      <c r="H943" s="147">
        <v>26229</v>
      </c>
      <c r="I943" s="152">
        <f>ROUND(H943/$H$946,4)</f>
        <v>0.32500000000000001</v>
      </c>
      <c r="J943" s="153" t="s">
        <v>240</v>
      </c>
      <c r="K943" s="139"/>
    </row>
    <row r="944" spans="1:11" ht="12.75" x14ac:dyDescent="0.2">
      <c r="A944" s="151"/>
      <c r="B944" s="151"/>
      <c r="C944" s="148"/>
      <c r="D944" s="149" t="s">
        <v>262</v>
      </c>
      <c r="E944" s="165"/>
      <c r="F944" s="150"/>
      <c r="G944" s="147"/>
      <c r="H944" s="147">
        <v>750</v>
      </c>
      <c r="I944" s="152">
        <f>ROUND(H944/$H$946,4)+0.0001</f>
        <v>9.3999999999999986E-3</v>
      </c>
      <c r="J944" s="151"/>
      <c r="K944" s="139"/>
    </row>
    <row r="945" spans="1:11" ht="12.75" x14ac:dyDescent="0.2">
      <c r="A945" s="151"/>
      <c r="B945" s="151"/>
      <c r="C945" s="148"/>
      <c r="D945" s="149" t="s">
        <v>243</v>
      </c>
      <c r="E945" s="165"/>
      <c r="F945" s="150"/>
      <c r="G945" s="147"/>
      <c r="H945" s="147">
        <v>1375</v>
      </c>
      <c r="I945" s="152">
        <f>ROUND(H945/$H$946,4)</f>
        <v>1.7000000000000001E-2</v>
      </c>
      <c r="J945" s="151"/>
      <c r="K945" s="139"/>
    </row>
    <row r="946" spans="1:11" ht="12.75" x14ac:dyDescent="0.2">
      <c r="A946" s="151"/>
      <c r="B946" s="151"/>
      <c r="C946" s="148"/>
      <c r="D946" s="148" t="s">
        <v>33</v>
      </c>
      <c r="E946" s="165"/>
      <c r="F946" s="150"/>
      <c r="G946" s="147"/>
      <c r="H946" s="155">
        <f>SUM(H940:H945)</f>
        <v>80696</v>
      </c>
      <c r="I946" s="156">
        <f>SUM(I940:I945)</f>
        <v>1</v>
      </c>
      <c r="J946" s="151"/>
      <c r="K946" s="139"/>
    </row>
    <row r="947" spans="1:11" ht="12.75" x14ac:dyDescent="0.2">
      <c r="A947" s="151"/>
      <c r="B947" s="151"/>
      <c r="C947" s="148"/>
      <c r="D947" s="147"/>
      <c r="E947" s="165"/>
      <c r="F947" s="150"/>
      <c r="G947" s="147"/>
      <c r="H947" s="147"/>
      <c r="I947" s="147"/>
      <c r="J947" s="151"/>
      <c r="K947" s="139"/>
    </row>
    <row r="948" spans="1:11" ht="12.75" x14ac:dyDescent="0.2">
      <c r="A948" s="148" t="s">
        <v>20</v>
      </c>
      <c r="B948" s="148" t="s">
        <v>325</v>
      </c>
      <c r="C948" s="148" t="s">
        <v>234</v>
      </c>
      <c r="D948" s="149" t="s">
        <v>326</v>
      </c>
      <c r="E948" s="165" t="s">
        <v>327</v>
      </c>
      <c r="F948" s="150">
        <v>8071726</v>
      </c>
      <c r="G948" s="147">
        <v>98495</v>
      </c>
      <c r="H948" s="147"/>
      <c r="I948" s="152"/>
      <c r="J948" s="151"/>
      <c r="K948" s="139"/>
    </row>
    <row r="949" spans="1:11" ht="12.75" x14ac:dyDescent="0.2">
      <c r="A949" s="151"/>
      <c r="B949" s="151"/>
      <c r="C949" s="148"/>
      <c r="D949" s="149" t="s">
        <v>261</v>
      </c>
      <c r="E949" s="165"/>
      <c r="F949" s="150"/>
      <c r="G949" s="147"/>
      <c r="H949" s="147">
        <v>26800</v>
      </c>
      <c r="I949" s="152">
        <f>ROUND(H949/$H$953,4)</f>
        <v>0.36220000000000002</v>
      </c>
      <c r="J949" s="153" t="s">
        <v>261</v>
      </c>
      <c r="K949" s="139"/>
    </row>
    <row r="950" spans="1:11" ht="12.75" x14ac:dyDescent="0.2">
      <c r="A950" s="151"/>
      <c r="B950" s="151"/>
      <c r="C950" s="148"/>
      <c r="D950" s="149" t="s">
        <v>240</v>
      </c>
      <c r="E950" s="165"/>
      <c r="F950" s="150"/>
      <c r="G950" s="147"/>
      <c r="H950" s="147">
        <v>40000</v>
      </c>
      <c r="I950" s="152">
        <f>ROUND(H950/$H$953,4)</f>
        <v>0.54049999999999998</v>
      </c>
      <c r="J950" s="153" t="s">
        <v>240</v>
      </c>
      <c r="K950" s="139"/>
    </row>
    <row r="951" spans="1:11" ht="12.75" x14ac:dyDescent="0.2">
      <c r="A951" s="151"/>
      <c r="B951" s="151"/>
      <c r="C951" s="148"/>
      <c r="D951" s="149" t="s">
        <v>262</v>
      </c>
      <c r="E951" s="165"/>
      <c r="F951" s="150"/>
      <c r="G951" s="147"/>
      <c r="H951" s="147">
        <v>5600</v>
      </c>
      <c r="I951" s="152">
        <f>ROUND(H951/$H$953,4)</f>
        <v>7.5700000000000003E-2</v>
      </c>
      <c r="J951" s="151"/>
      <c r="K951" s="139"/>
    </row>
    <row r="952" spans="1:11" ht="12.75" x14ac:dyDescent="0.2">
      <c r="A952" s="151"/>
      <c r="B952" s="151"/>
      <c r="C952" s="148"/>
      <c r="D952" s="149" t="s">
        <v>242</v>
      </c>
      <c r="E952" s="165"/>
      <c r="F952" s="150"/>
      <c r="G952" s="147"/>
      <c r="H952" s="147">
        <v>1600</v>
      </c>
      <c r="I952" s="152">
        <f>ROUND(H952/$H$953,4)</f>
        <v>2.1600000000000001E-2</v>
      </c>
      <c r="J952" s="151"/>
      <c r="K952" s="139"/>
    </row>
    <row r="953" spans="1:11" ht="12.75" x14ac:dyDescent="0.2">
      <c r="A953" s="151"/>
      <c r="B953" s="151"/>
      <c r="C953" s="148"/>
      <c r="D953" s="148" t="s">
        <v>33</v>
      </c>
      <c r="E953" s="165"/>
      <c r="F953" s="150"/>
      <c r="G953" s="147"/>
      <c r="H953" s="155">
        <f>SUM(H949:H952)</f>
        <v>74000</v>
      </c>
      <c r="I953" s="156">
        <f>SUM(I949:I952)</f>
        <v>1</v>
      </c>
      <c r="J953" s="151"/>
      <c r="K953" s="139"/>
    </row>
    <row r="954" spans="1:11" ht="12.75" x14ac:dyDescent="0.2">
      <c r="A954" s="151"/>
      <c r="B954" s="151"/>
      <c r="C954" s="148"/>
      <c r="D954" s="147"/>
      <c r="E954" s="165"/>
      <c r="F954" s="150"/>
      <c r="G954" s="147"/>
      <c r="H954" s="147"/>
      <c r="I954" s="147"/>
      <c r="J954" s="151"/>
      <c r="K954" s="139"/>
    </row>
    <row r="955" spans="1:11" ht="12.75" x14ac:dyDescent="0.2">
      <c r="A955" s="148" t="s">
        <v>20</v>
      </c>
      <c r="B955" s="148" t="s">
        <v>328</v>
      </c>
      <c r="C955" s="148" t="s">
        <v>234</v>
      </c>
      <c r="D955" s="149" t="s">
        <v>214</v>
      </c>
      <c r="E955" s="165" t="s">
        <v>329</v>
      </c>
      <c r="F955" s="150">
        <v>8091487</v>
      </c>
      <c r="G955" s="147">
        <v>89204</v>
      </c>
      <c r="H955" s="147"/>
      <c r="I955" s="147"/>
      <c r="J955" s="151"/>
      <c r="K955" s="139"/>
    </row>
    <row r="956" spans="1:11" ht="12.75" x14ac:dyDescent="0.2">
      <c r="A956" s="151"/>
      <c r="B956" s="151"/>
      <c r="C956" s="148"/>
      <c r="D956" s="149" t="s">
        <v>303</v>
      </c>
      <c r="E956" s="165"/>
      <c r="F956" s="150"/>
      <c r="G956" s="147"/>
      <c r="H956" s="155">
        <v>60000</v>
      </c>
      <c r="I956" s="156">
        <f>ROUND(H956/$H$956,4)</f>
        <v>1</v>
      </c>
      <c r="J956" s="153" t="s">
        <v>303</v>
      </c>
      <c r="K956" s="139"/>
    </row>
    <row r="957" spans="1:11" ht="12.75" x14ac:dyDescent="0.2">
      <c r="A957" s="151"/>
      <c r="B957" s="151"/>
      <c r="C957" s="148"/>
      <c r="D957" s="147"/>
      <c r="E957" s="165"/>
      <c r="F957" s="150"/>
      <c r="G957" s="147"/>
      <c r="H957" s="147"/>
      <c r="I957" s="147"/>
      <c r="J957" s="151"/>
      <c r="K957" s="139"/>
    </row>
    <row r="958" spans="1:11" ht="12.75" x14ac:dyDescent="0.2">
      <c r="A958" s="148" t="s">
        <v>20</v>
      </c>
      <c r="B958" s="148" t="s">
        <v>330</v>
      </c>
      <c r="C958" s="148" t="s">
        <v>234</v>
      </c>
      <c r="D958" s="149" t="s">
        <v>172</v>
      </c>
      <c r="E958" s="165" t="s">
        <v>331</v>
      </c>
      <c r="F958" s="150">
        <v>6266551</v>
      </c>
      <c r="G958" s="147">
        <v>84400</v>
      </c>
      <c r="H958" s="147"/>
      <c r="I958" s="147"/>
      <c r="J958" s="151"/>
      <c r="K958" s="139"/>
    </row>
    <row r="959" spans="1:11" ht="12.75" x14ac:dyDescent="0.2">
      <c r="A959" s="151"/>
      <c r="B959" s="151"/>
      <c r="C959" s="148"/>
      <c r="D959" s="149" t="s">
        <v>261</v>
      </c>
      <c r="E959" s="165"/>
      <c r="F959" s="150"/>
      <c r="G959" s="147"/>
      <c r="H959" s="147">
        <v>37647</v>
      </c>
      <c r="I959" s="152">
        <f>ROUND(H959/$H$963,4)</f>
        <v>0.63100000000000001</v>
      </c>
      <c r="J959" s="153" t="s">
        <v>261</v>
      </c>
      <c r="K959" s="139"/>
    </row>
    <row r="960" spans="1:11" ht="12.75" x14ac:dyDescent="0.2">
      <c r="A960" s="151"/>
      <c r="B960" s="151"/>
      <c r="C960" s="148"/>
      <c r="D960" s="149" t="s">
        <v>240</v>
      </c>
      <c r="E960" s="165"/>
      <c r="F960" s="150"/>
      <c r="G960" s="147"/>
      <c r="H960" s="147">
        <v>5000</v>
      </c>
      <c r="I960" s="152">
        <f>ROUND(H960/$H$963,4)</f>
        <v>8.3799999999999999E-2</v>
      </c>
      <c r="J960" s="151"/>
      <c r="K960" s="139"/>
    </row>
    <row r="961" spans="1:11" ht="12.75" x14ac:dyDescent="0.2">
      <c r="A961" s="151"/>
      <c r="B961" s="151"/>
      <c r="C961" s="148"/>
      <c r="D961" s="154" t="s">
        <v>262</v>
      </c>
      <c r="E961" s="165"/>
      <c r="F961" s="150"/>
      <c r="G961" s="147"/>
      <c r="H961" s="147">
        <v>13350</v>
      </c>
      <c r="I961" s="152">
        <f>ROUND(H961/$H$963,4)</f>
        <v>0.2238</v>
      </c>
      <c r="J961" s="151" t="s">
        <v>262</v>
      </c>
      <c r="K961" s="139"/>
    </row>
    <row r="962" spans="1:11" ht="12.75" x14ac:dyDescent="0.2">
      <c r="A962" s="151"/>
      <c r="B962" s="151"/>
      <c r="C962" s="148"/>
      <c r="D962" s="154" t="s">
        <v>244</v>
      </c>
      <c r="E962" s="165"/>
      <c r="F962" s="150"/>
      <c r="G962" s="147"/>
      <c r="H962" s="147">
        <v>3663</v>
      </c>
      <c r="I962" s="152">
        <f>ROUND(H962/$H$963,4)</f>
        <v>6.1400000000000003E-2</v>
      </c>
      <c r="J962" s="151"/>
      <c r="K962" s="139"/>
    </row>
    <row r="963" spans="1:11" ht="12.75" x14ac:dyDescent="0.2">
      <c r="A963" s="151"/>
      <c r="B963" s="151"/>
      <c r="C963" s="148"/>
      <c r="D963" s="148" t="s">
        <v>33</v>
      </c>
      <c r="E963" s="165"/>
      <c r="F963" s="150"/>
      <c r="G963" s="147"/>
      <c r="H963" s="155">
        <f>SUM(H959:H962)</f>
        <v>59660</v>
      </c>
      <c r="I963" s="156">
        <f>SUM(I959:I962)</f>
        <v>1</v>
      </c>
      <c r="J963" s="151"/>
      <c r="K963" s="139"/>
    </row>
    <row r="964" spans="1:11" ht="12.75" x14ac:dyDescent="0.2">
      <c r="A964" s="151"/>
      <c r="B964" s="151"/>
      <c r="C964" s="148"/>
      <c r="D964" s="147"/>
      <c r="E964" s="165"/>
      <c r="F964" s="150"/>
      <c r="G964" s="147"/>
      <c r="H964" s="147"/>
      <c r="I964" s="147"/>
      <c r="J964" s="151"/>
      <c r="K964" s="139"/>
    </row>
    <row r="965" spans="1:11" ht="12.75" x14ac:dyDescent="0.2">
      <c r="A965" s="148" t="s">
        <v>20</v>
      </c>
      <c r="B965" s="148" t="s">
        <v>332</v>
      </c>
      <c r="C965" s="148" t="s">
        <v>234</v>
      </c>
      <c r="D965" s="149" t="s">
        <v>220</v>
      </c>
      <c r="E965" s="165" t="s">
        <v>272</v>
      </c>
      <c r="F965" s="150">
        <v>1907500</v>
      </c>
      <c r="G965" s="147">
        <v>55865</v>
      </c>
      <c r="H965" s="147"/>
      <c r="I965" s="147"/>
      <c r="J965" s="151"/>
      <c r="K965" s="139"/>
    </row>
    <row r="966" spans="1:11" ht="12.75" x14ac:dyDescent="0.2">
      <c r="A966" s="151"/>
      <c r="B966" s="151"/>
      <c r="C966" s="148"/>
      <c r="D966" s="149" t="s">
        <v>239</v>
      </c>
      <c r="E966" s="165"/>
      <c r="F966" s="150"/>
      <c r="G966" s="147"/>
      <c r="H966" s="147">
        <v>175</v>
      </c>
      <c r="I966" s="152">
        <f>ROUND(H966/$H$969,4)+0.0001</f>
        <v>4.3E-3</v>
      </c>
      <c r="J966" s="151"/>
      <c r="K966" s="139"/>
    </row>
    <row r="967" spans="1:11" ht="12.75" x14ac:dyDescent="0.2">
      <c r="A967" s="151"/>
      <c r="B967" s="151"/>
      <c r="C967" s="148"/>
      <c r="D967" s="149" t="s">
        <v>240</v>
      </c>
      <c r="E967" s="165"/>
      <c r="F967" s="150"/>
      <c r="G967" s="147"/>
      <c r="H967" s="147">
        <v>3912</v>
      </c>
      <c r="I967" s="152">
        <f>ROUND(H967/$H$969,4)</f>
        <v>9.4500000000000001E-2</v>
      </c>
      <c r="J967" s="151"/>
      <c r="K967" s="139"/>
    </row>
    <row r="968" spans="1:11" ht="12.75" x14ac:dyDescent="0.2">
      <c r="A968" s="151"/>
      <c r="B968" s="151"/>
      <c r="C968" s="148"/>
      <c r="D968" s="154" t="s">
        <v>244</v>
      </c>
      <c r="E968" s="165"/>
      <c r="F968" s="150"/>
      <c r="G968" s="147"/>
      <c r="H968" s="147">
        <v>37295</v>
      </c>
      <c r="I968" s="152">
        <f>ROUND(H968/$H$969,4)</f>
        <v>0.9012</v>
      </c>
      <c r="J968" s="159" t="s">
        <v>244</v>
      </c>
      <c r="K968" s="139"/>
    </row>
    <row r="969" spans="1:11" ht="12.75" x14ac:dyDescent="0.2">
      <c r="A969" s="151"/>
      <c r="B969" s="151"/>
      <c r="C969" s="148"/>
      <c r="D969" s="148" t="s">
        <v>33</v>
      </c>
      <c r="E969" s="165"/>
      <c r="F969" s="150"/>
      <c r="G969" s="147"/>
      <c r="H969" s="155">
        <f>SUM(H966:H968)</f>
        <v>41382</v>
      </c>
      <c r="I969" s="156">
        <f>SUM(I966:I968)</f>
        <v>1</v>
      </c>
      <c r="J969" s="151"/>
      <c r="K969" s="139"/>
    </row>
    <row r="970" spans="1:11" ht="12.75" x14ac:dyDescent="0.2">
      <c r="A970" s="151"/>
      <c r="B970" s="151"/>
      <c r="C970" s="148"/>
      <c r="D970" s="147"/>
      <c r="E970" s="165"/>
      <c r="F970" s="150"/>
      <c r="G970" s="147"/>
      <c r="H970" s="147"/>
      <c r="I970" s="147"/>
      <c r="J970" s="151"/>
      <c r="K970" s="139"/>
    </row>
    <row r="971" spans="1:11" ht="12.75" x14ac:dyDescent="0.2">
      <c r="A971" s="148" t="s">
        <v>20</v>
      </c>
      <c r="B971" s="148" t="s">
        <v>333</v>
      </c>
      <c r="C971" s="148" t="s">
        <v>234</v>
      </c>
      <c r="D971" s="149" t="s">
        <v>85</v>
      </c>
      <c r="E971" s="165" t="s">
        <v>272</v>
      </c>
      <c r="F971" s="150">
        <v>8265000</v>
      </c>
      <c r="G971" s="147">
        <v>93439</v>
      </c>
      <c r="H971" s="147"/>
      <c r="I971" s="147"/>
      <c r="J971" s="151"/>
      <c r="K971" s="139"/>
    </row>
    <row r="972" spans="1:11" ht="12.75" x14ac:dyDescent="0.2">
      <c r="A972" s="151"/>
      <c r="B972" s="151"/>
      <c r="C972" s="148"/>
      <c r="D972" s="149" t="s">
        <v>240</v>
      </c>
      <c r="E972" s="165"/>
      <c r="F972" s="150"/>
      <c r="G972" s="147"/>
      <c r="H972" s="147">
        <v>1965</v>
      </c>
      <c r="I972" s="152">
        <f>ROUND(H972/$H$974,4)</f>
        <v>2.8400000000000002E-2</v>
      </c>
      <c r="J972" s="151"/>
      <c r="K972" s="139"/>
    </row>
    <row r="973" spans="1:11" ht="12.75" x14ac:dyDescent="0.2">
      <c r="A973" s="151"/>
      <c r="B973" s="151"/>
      <c r="C973" s="148"/>
      <c r="D973" s="149" t="s">
        <v>243</v>
      </c>
      <c r="E973" s="165"/>
      <c r="F973" s="150"/>
      <c r="G973" s="147"/>
      <c r="H973" s="147">
        <v>67249</v>
      </c>
      <c r="I973" s="152">
        <f>ROUND(H973/$H$974,4)</f>
        <v>0.97160000000000002</v>
      </c>
      <c r="J973" s="153" t="s">
        <v>243</v>
      </c>
      <c r="K973" s="139"/>
    </row>
    <row r="974" spans="1:11" ht="12.75" x14ac:dyDescent="0.2">
      <c r="A974" s="151"/>
      <c r="B974" s="151"/>
      <c r="C974" s="148"/>
      <c r="D974" s="148" t="s">
        <v>33</v>
      </c>
      <c r="E974" s="165"/>
      <c r="F974" s="150"/>
      <c r="G974" s="147"/>
      <c r="H974" s="155">
        <f>SUM(H972:H973)</f>
        <v>69214</v>
      </c>
      <c r="I974" s="156">
        <f>SUM(I972:I973)</f>
        <v>1</v>
      </c>
      <c r="J974" s="151"/>
      <c r="K974" s="139"/>
    </row>
    <row r="975" spans="1:11" ht="12.75" x14ac:dyDescent="0.2">
      <c r="A975" s="151"/>
      <c r="B975" s="151"/>
      <c r="C975" s="148"/>
      <c r="D975" s="147"/>
      <c r="E975" s="165"/>
      <c r="F975" s="150"/>
      <c r="G975" s="147"/>
      <c r="H975" s="147"/>
      <c r="I975" s="147"/>
      <c r="J975" s="151"/>
      <c r="K975" s="139"/>
    </row>
    <row r="976" spans="1:11" ht="12.75" x14ac:dyDescent="0.2">
      <c r="A976" s="148" t="s">
        <v>20</v>
      </c>
      <c r="B976" s="148" t="s">
        <v>334</v>
      </c>
      <c r="C976" s="148" t="s">
        <v>234</v>
      </c>
      <c r="D976" s="154" t="s">
        <v>335</v>
      </c>
      <c r="E976" s="165" t="s">
        <v>274</v>
      </c>
      <c r="F976" s="150">
        <v>7427500</v>
      </c>
      <c r="G976" s="147">
        <v>89871</v>
      </c>
      <c r="H976" s="147"/>
      <c r="I976" s="147"/>
      <c r="J976" s="151"/>
      <c r="K976" s="139"/>
    </row>
    <row r="977" spans="1:11" ht="12.75" x14ac:dyDescent="0.2">
      <c r="A977" s="151"/>
      <c r="B977" s="151"/>
      <c r="C977" s="148"/>
      <c r="D977" s="149" t="s">
        <v>261</v>
      </c>
      <c r="E977" s="165"/>
      <c r="F977" s="150"/>
      <c r="G977" s="147"/>
      <c r="H977" s="147">
        <v>1440</v>
      </c>
      <c r="I977" s="152">
        <f>ROUND(H977/$H$981,4)+0.0001</f>
        <v>2.41E-2</v>
      </c>
      <c r="J977" s="151"/>
      <c r="K977" s="139"/>
    </row>
    <row r="978" spans="1:11" ht="12.75" x14ac:dyDescent="0.2">
      <c r="A978" s="151"/>
      <c r="B978" s="151"/>
      <c r="C978" s="148"/>
      <c r="D978" s="149" t="s">
        <v>239</v>
      </c>
      <c r="E978" s="165"/>
      <c r="F978" s="150"/>
      <c r="G978" s="147"/>
      <c r="H978" s="147">
        <v>48048</v>
      </c>
      <c r="I978" s="152">
        <f>ROUND(H978/$H$981,4)</f>
        <v>0.80189999999999995</v>
      </c>
      <c r="J978" s="153" t="s">
        <v>239</v>
      </c>
      <c r="K978" s="139"/>
    </row>
    <row r="979" spans="1:11" ht="12.75" x14ac:dyDescent="0.2">
      <c r="A979" s="151"/>
      <c r="B979" s="151"/>
      <c r="C979" s="148"/>
      <c r="D979" s="149" t="s">
        <v>240</v>
      </c>
      <c r="E979" s="165"/>
      <c r="F979" s="150"/>
      <c r="G979" s="147"/>
      <c r="H979" s="147">
        <v>8626</v>
      </c>
      <c r="I979" s="152">
        <f>ROUND(H979/$H$981,4)</f>
        <v>0.14399999999999999</v>
      </c>
      <c r="J979" s="151"/>
      <c r="K979" s="139"/>
    </row>
    <row r="980" spans="1:11" ht="12.75" x14ac:dyDescent="0.2">
      <c r="A980" s="151"/>
      <c r="B980" s="151"/>
      <c r="C980" s="148"/>
      <c r="D980" s="154" t="s">
        <v>244</v>
      </c>
      <c r="E980" s="165"/>
      <c r="F980" s="150"/>
      <c r="G980" s="147"/>
      <c r="H980" s="147">
        <v>1800</v>
      </c>
      <c r="I980" s="152">
        <f>ROUND(H980/$H$981,4)</f>
        <v>0.03</v>
      </c>
      <c r="J980" s="151"/>
      <c r="K980" s="139"/>
    </row>
    <row r="981" spans="1:11" ht="12.75" x14ac:dyDescent="0.2">
      <c r="A981" s="151"/>
      <c r="B981" s="151"/>
      <c r="C981" s="148"/>
      <c r="D981" s="148" t="s">
        <v>33</v>
      </c>
      <c r="E981" s="165"/>
      <c r="F981" s="150"/>
      <c r="G981" s="147"/>
      <c r="H981" s="155">
        <f>SUM(H977:H980)</f>
        <v>59914</v>
      </c>
      <c r="I981" s="156">
        <f>SUM(I977:I980)</f>
        <v>1</v>
      </c>
      <c r="J981" s="151"/>
      <c r="K981" s="139"/>
    </row>
    <row r="982" spans="1:11" ht="12.75" x14ac:dyDescent="0.2">
      <c r="A982" s="151"/>
      <c r="B982" s="151"/>
      <c r="C982" s="148"/>
      <c r="D982" s="147"/>
      <c r="E982" s="165"/>
      <c r="F982" s="150"/>
      <c r="G982" s="147"/>
      <c r="H982" s="147"/>
      <c r="I982" s="152"/>
      <c r="J982" s="151"/>
      <c r="K982" s="139"/>
    </row>
    <row r="983" spans="1:11" ht="12.75" x14ac:dyDescent="0.2">
      <c r="A983" s="148" t="s">
        <v>20</v>
      </c>
      <c r="B983" s="148">
        <v>460</v>
      </c>
      <c r="C983" s="148" t="s">
        <v>234</v>
      </c>
      <c r="D983" s="149" t="s">
        <v>187</v>
      </c>
      <c r="E983" s="165" t="s">
        <v>336</v>
      </c>
      <c r="F983" s="150">
        <v>6094000</v>
      </c>
      <c r="G983" s="147">
        <v>61600</v>
      </c>
      <c r="H983" s="147"/>
      <c r="I983" s="152"/>
      <c r="J983" s="151"/>
      <c r="K983" s="139"/>
    </row>
    <row r="984" spans="1:11" ht="12.75" x14ac:dyDescent="0.2">
      <c r="A984" s="151"/>
      <c r="B984" s="151"/>
      <c r="C984" s="148"/>
      <c r="D984" s="149" t="s">
        <v>239</v>
      </c>
      <c r="E984" s="165"/>
      <c r="F984" s="150"/>
      <c r="G984" s="147"/>
      <c r="H984" s="147">
        <v>17996</v>
      </c>
      <c r="I984" s="152">
        <f>ROUND(H984/$H$987,4)</f>
        <v>0.36420000000000002</v>
      </c>
      <c r="J984" s="153" t="s">
        <v>239</v>
      </c>
      <c r="K984" s="139"/>
    </row>
    <row r="985" spans="1:11" ht="12.75" x14ac:dyDescent="0.2">
      <c r="A985" s="151"/>
      <c r="B985" s="151"/>
      <c r="C985" s="148"/>
      <c r="D985" s="149" t="s">
        <v>240</v>
      </c>
      <c r="E985" s="165"/>
      <c r="F985" s="150"/>
      <c r="G985" s="147"/>
      <c r="H985" s="147">
        <v>23184</v>
      </c>
      <c r="I985" s="152">
        <f>ROUND(H985/$H$987,4)</f>
        <v>0.46920000000000001</v>
      </c>
      <c r="J985" s="153" t="s">
        <v>240</v>
      </c>
      <c r="K985" s="139"/>
    </row>
    <row r="986" spans="1:11" ht="12.75" x14ac:dyDescent="0.2">
      <c r="A986" s="151"/>
      <c r="B986" s="151"/>
      <c r="C986" s="148"/>
      <c r="D986" s="154" t="s">
        <v>244</v>
      </c>
      <c r="E986" s="165"/>
      <c r="F986" s="150"/>
      <c r="G986" s="147"/>
      <c r="H986" s="147">
        <v>8234</v>
      </c>
      <c r="I986" s="152">
        <f>ROUND(H986/$H$987,4)</f>
        <v>0.1666</v>
      </c>
      <c r="J986" s="151"/>
      <c r="K986" s="139"/>
    </row>
    <row r="987" spans="1:11" ht="12.75" x14ac:dyDescent="0.2">
      <c r="A987" s="151"/>
      <c r="B987" s="151"/>
      <c r="C987" s="148"/>
      <c r="D987" s="148" t="s">
        <v>33</v>
      </c>
      <c r="E987" s="165"/>
      <c r="F987" s="150"/>
      <c r="G987" s="147"/>
      <c r="H987" s="155">
        <f>SUM(H984:H986)</f>
        <v>49414</v>
      </c>
      <c r="I987" s="156">
        <f>SUM(I983:I986)</f>
        <v>1</v>
      </c>
      <c r="J987" s="151"/>
      <c r="K987" s="139"/>
    </row>
    <row r="988" spans="1:11" ht="12.75" x14ac:dyDescent="0.2">
      <c r="A988" s="151"/>
      <c r="B988" s="151"/>
      <c r="C988" s="148"/>
      <c r="D988" s="148"/>
      <c r="E988" s="165"/>
      <c r="F988" s="150"/>
      <c r="G988" s="147"/>
      <c r="H988" s="157"/>
      <c r="I988" s="158"/>
      <c r="J988" s="151"/>
      <c r="K988" s="139"/>
    </row>
    <row r="989" spans="1:11" ht="12.75" x14ac:dyDescent="0.2">
      <c r="A989" s="148" t="s">
        <v>20</v>
      </c>
      <c r="B989" s="148">
        <v>477</v>
      </c>
      <c r="C989" s="148" t="s">
        <v>234</v>
      </c>
      <c r="D989" s="149" t="s">
        <v>38</v>
      </c>
      <c r="E989" s="165" t="s">
        <v>310</v>
      </c>
      <c r="F989" s="150">
        <v>6450420</v>
      </c>
      <c r="G989" s="147">
        <v>51954</v>
      </c>
      <c r="H989" s="147"/>
      <c r="I989" s="152"/>
      <c r="J989" s="151"/>
      <c r="K989" s="139"/>
    </row>
    <row r="990" spans="1:11" ht="12.75" x14ac:dyDescent="0.2">
      <c r="A990" s="151"/>
      <c r="B990" s="151"/>
      <c r="C990" s="148"/>
      <c r="D990" s="149" t="s">
        <v>261</v>
      </c>
      <c r="E990" s="165"/>
      <c r="F990" s="150"/>
      <c r="G990" s="147"/>
      <c r="H990" s="147">
        <v>4908</v>
      </c>
      <c r="I990" s="152">
        <f>ROUND(H990/$H$993,4)</f>
        <v>0.14419999999999999</v>
      </c>
      <c r="J990" s="151"/>
      <c r="K990" s="139"/>
    </row>
    <row r="991" spans="1:11" ht="12.75" x14ac:dyDescent="0.2">
      <c r="A991" s="147"/>
      <c r="B991" s="147"/>
      <c r="C991" s="169"/>
      <c r="D991" s="149" t="s">
        <v>238</v>
      </c>
      <c r="E991" s="165"/>
      <c r="F991" s="150"/>
      <c r="G991" s="147"/>
      <c r="H991" s="147">
        <v>13287</v>
      </c>
      <c r="I991" s="152">
        <f>ROUND(H991/$H$993,4)</f>
        <v>0.39029999999999998</v>
      </c>
      <c r="J991" s="153" t="s">
        <v>238</v>
      </c>
      <c r="K991" s="139"/>
    </row>
    <row r="992" spans="1:11" ht="12.75" x14ac:dyDescent="0.2">
      <c r="A992" s="147"/>
      <c r="B992" s="147"/>
      <c r="C992" s="169"/>
      <c r="D992" s="149" t="s">
        <v>240</v>
      </c>
      <c r="E992" s="165"/>
      <c r="F992" s="150"/>
      <c r="G992" s="147"/>
      <c r="H992" s="147">
        <v>15849</v>
      </c>
      <c r="I992" s="152">
        <f>ROUND(H992/$H$993,4)</f>
        <v>0.46550000000000002</v>
      </c>
      <c r="J992" s="153" t="s">
        <v>240</v>
      </c>
      <c r="K992" s="139"/>
    </row>
    <row r="993" spans="1:11" ht="12.75" x14ac:dyDescent="0.2">
      <c r="A993" s="147"/>
      <c r="B993" s="147"/>
      <c r="C993" s="169"/>
      <c r="D993" s="148" t="s">
        <v>33</v>
      </c>
      <c r="E993" s="165"/>
      <c r="F993" s="150"/>
      <c r="G993" s="147"/>
      <c r="H993" s="155">
        <f>SUM(H990:H992)</f>
        <v>34044</v>
      </c>
      <c r="I993" s="156">
        <f>SUM(I990:I992)</f>
        <v>1</v>
      </c>
      <c r="J993" s="151"/>
      <c r="K993" s="139"/>
    </row>
    <row r="994" spans="1:11" ht="12.75" x14ac:dyDescent="0.2">
      <c r="A994" s="151"/>
      <c r="B994" s="151"/>
      <c r="C994" s="148"/>
      <c r="D994" s="148"/>
      <c r="E994" s="165"/>
      <c r="F994" s="150"/>
      <c r="G994" s="147"/>
      <c r="H994" s="157"/>
      <c r="I994" s="158"/>
      <c r="J994" s="151"/>
      <c r="K994" s="139"/>
    </row>
    <row r="995" spans="1:11" ht="12.75" x14ac:dyDescent="0.2">
      <c r="A995" s="148" t="s">
        <v>20</v>
      </c>
      <c r="B995" s="148">
        <v>492</v>
      </c>
      <c r="C995" s="148" t="s">
        <v>234</v>
      </c>
      <c r="D995" s="149" t="s">
        <v>40</v>
      </c>
      <c r="E995" s="165" t="s">
        <v>337</v>
      </c>
      <c r="F995" s="150">
        <v>224867</v>
      </c>
      <c r="G995" s="147">
        <v>1359</v>
      </c>
      <c r="H995" s="147"/>
      <c r="I995" s="152"/>
      <c r="J995" s="151"/>
      <c r="K995" s="139"/>
    </row>
    <row r="996" spans="1:11" ht="12.75" x14ac:dyDescent="0.2">
      <c r="A996" s="151"/>
      <c r="B996" s="151"/>
      <c r="C996" s="148"/>
      <c r="D996" s="149" t="s">
        <v>238</v>
      </c>
      <c r="E996" s="165"/>
      <c r="F996" s="150"/>
      <c r="G996" s="147"/>
      <c r="H996" s="147">
        <v>1100</v>
      </c>
      <c r="I996" s="152">
        <f>ROUND(H996/$H$998,4)</f>
        <v>0.87509999999999999</v>
      </c>
      <c r="J996" s="153" t="s">
        <v>238</v>
      </c>
      <c r="K996" s="139"/>
    </row>
    <row r="997" spans="1:11" ht="12.75" x14ac:dyDescent="0.2">
      <c r="A997" s="151"/>
      <c r="B997" s="151"/>
      <c r="C997" s="148"/>
      <c r="D997" s="149" t="s">
        <v>285</v>
      </c>
      <c r="E997" s="165"/>
      <c r="F997" s="150"/>
      <c r="G997" s="147"/>
      <c r="H997" s="147">
        <v>157</v>
      </c>
      <c r="I997" s="152">
        <f>ROUND(H997/$H$998,4)</f>
        <v>0.1249</v>
      </c>
      <c r="J997" s="151"/>
      <c r="K997" s="139"/>
    </row>
    <row r="998" spans="1:11" ht="12.75" x14ac:dyDescent="0.2">
      <c r="A998" s="151"/>
      <c r="B998" s="151"/>
      <c r="C998" s="148"/>
      <c r="D998" s="148" t="s">
        <v>33</v>
      </c>
      <c r="E998" s="165"/>
      <c r="F998" s="150"/>
      <c r="G998" s="147"/>
      <c r="H998" s="155">
        <f>SUM(H996:H997)</f>
        <v>1257</v>
      </c>
      <c r="I998" s="156">
        <f>SUM(I996:I997)</f>
        <v>1</v>
      </c>
      <c r="J998" s="151"/>
      <c r="K998" s="139"/>
    </row>
    <row r="999" spans="1:11" ht="12.75" x14ac:dyDescent="0.2">
      <c r="A999" s="151"/>
      <c r="B999" s="151"/>
      <c r="C999" s="148"/>
      <c r="D999" s="147"/>
      <c r="E999" s="165"/>
      <c r="F999" s="150"/>
      <c r="G999" s="147"/>
      <c r="H999" s="147"/>
      <c r="I999" s="152"/>
      <c r="J999" s="151"/>
      <c r="K999" s="139"/>
    </row>
    <row r="1000" spans="1:11" ht="12.75" x14ac:dyDescent="0.2">
      <c r="A1000" s="148" t="s">
        <v>20</v>
      </c>
      <c r="B1000" s="148">
        <v>407</v>
      </c>
      <c r="C1000" s="148" t="s">
        <v>234</v>
      </c>
      <c r="D1000" s="149" t="s">
        <v>102</v>
      </c>
      <c r="E1000" s="165" t="s">
        <v>338</v>
      </c>
      <c r="F1000" s="150">
        <v>473555</v>
      </c>
      <c r="G1000" s="147">
        <v>12175</v>
      </c>
      <c r="H1000" s="147"/>
      <c r="I1000" s="152"/>
      <c r="J1000" s="151"/>
      <c r="K1000" s="139"/>
    </row>
    <row r="1001" spans="1:11" ht="12.75" x14ac:dyDescent="0.2">
      <c r="A1001" s="151"/>
      <c r="B1001" s="151"/>
      <c r="C1001" s="148"/>
      <c r="D1001" s="149" t="s">
        <v>240</v>
      </c>
      <c r="E1001" s="165"/>
      <c r="F1001" s="150"/>
      <c r="G1001" s="147"/>
      <c r="H1001" s="147">
        <v>500</v>
      </c>
      <c r="I1001" s="152">
        <f>ROUND(H1001/$H$1003,4)</f>
        <v>4.7600000000000003E-2</v>
      </c>
      <c r="J1001" s="151"/>
      <c r="K1001" s="139"/>
    </row>
    <row r="1002" spans="1:11" ht="12.75" x14ac:dyDescent="0.2">
      <c r="A1002" s="151"/>
      <c r="B1002" s="151"/>
      <c r="C1002" s="148"/>
      <c r="D1002" s="149" t="s">
        <v>244</v>
      </c>
      <c r="E1002" s="165"/>
      <c r="F1002" s="150"/>
      <c r="G1002" s="147"/>
      <c r="H1002" s="147">
        <v>10000</v>
      </c>
      <c r="I1002" s="152">
        <f>ROUND(H1002/$H$1003,4)</f>
        <v>0.95240000000000002</v>
      </c>
      <c r="J1002" s="153" t="s">
        <v>244</v>
      </c>
      <c r="K1002" s="139"/>
    </row>
    <row r="1003" spans="1:11" ht="12.75" x14ac:dyDescent="0.2">
      <c r="A1003" s="151"/>
      <c r="B1003" s="151"/>
      <c r="C1003" s="148"/>
      <c r="D1003" s="148" t="s">
        <v>33</v>
      </c>
      <c r="E1003" s="165"/>
      <c r="F1003" s="150"/>
      <c r="G1003" s="147"/>
      <c r="H1003" s="155">
        <f>SUM(H1001:H1002)</f>
        <v>10500</v>
      </c>
      <c r="I1003" s="156">
        <f>SUM(I1001:I1002)</f>
        <v>1</v>
      </c>
      <c r="J1003" s="151"/>
      <c r="K1003" s="139"/>
    </row>
    <row r="1004" spans="1:11" ht="12.75" x14ac:dyDescent="0.2">
      <c r="A1004" s="151"/>
      <c r="B1004" s="151"/>
      <c r="C1004" s="148"/>
      <c r="D1004" s="148"/>
      <c r="E1004" s="165"/>
      <c r="F1004" s="150"/>
      <c r="G1004" s="147"/>
      <c r="H1004" s="157"/>
      <c r="I1004" s="158"/>
      <c r="J1004" s="151"/>
      <c r="K1004" s="139"/>
    </row>
    <row r="1005" spans="1:11" ht="12.75" x14ac:dyDescent="0.2">
      <c r="A1005" s="148" t="s">
        <v>20</v>
      </c>
      <c r="B1005" s="148">
        <v>404</v>
      </c>
      <c r="C1005" s="148" t="s">
        <v>234</v>
      </c>
      <c r="D1005" s="147" t="s">
        <v>28</v>
      </c>
      <c r="E1005" s="204" t="s">
        <v>339</v>
      </c>
      <c r="F1005" s="150">
        <v>9135000</v>
      </c>
      <c r="G1005" s="147">
        <v>81555</v>
      </c>
      <c r="H1005" s="157"/>
      <c r="I1005" s="158"/>
      <c r="J1005" s="151"/>
      <c r="K1005" s="139"/>
    </row>
    <row r="1006" spans="1:11" ht="12.75" x14ac:dyDescent="0.2">
      <c r="A1006" s="151"/>
      <c r="B1006" s="151"/>
      <c r="C1006" s="148"/>
      <c r="D1006" s="149" t="s">
        <v>261</v>
      </c>
      <c r="E1006" s="165"/>
      <c r="F1006" s="150"/>
      <c r="G1006" s="147"/>
      <c r="H1006" s="157">
        <v>11857</v>
      </c>
      <c r="I1006" s="152">
        <f t="shared" ref="I1006:I1011" si="25">ROUND(H1006/$H$1012,4)</f>
        <v>0.22259999999999999</v>
      </c>
      <c r="J1006" s="151" t="s">
        <v>261</v>
      </c>
      <c r="K1006" s="139"/>
    </row>
    <row r="1007" spans="1:11" ht="12.75" x14ac:dyDescent="0.2">
      <c r="A1007" s="151"/>
      <c r="B1007" s="151"/>
      <c r="C1007" s="148"/>
      <c r="D1007" s="147" t="s">
        <v>238</v>
      </c>
      <c r="E1007" s="165"/>
      <c r="F1007" s="150"/>
      <c r="G1007" s="147"/>
      <c r="H1007" s="157">
        <v>18475</v>
      </c>
      <c r="I1007" s="152">
        <f t="shared" si="25"/>
        <v>0.34689999999999999</v>
      </c>
      <c r="J1007" s="151" t="s">
        <v>238</v>
      </c>
      <c r="K1007" s="139"/>
    </row>
    <row r="1008" spans="1:11" ht="12.75" x14ac:dyDescent="0.2">
      <c r="A1008" s="151"/>
      <c r="B1008" s="151"/>
      <c r="C1008" s="148"/>
      <c r="D1008" s="147" t="s">
        <v>240</v>
      </c>
      <c r="E1008" s="165"/>
      <c r="F1008" s="150"/>
      <c r="G1008" s="147"/>
      <c r="H1008" s="157">
        <v>16065</v>
      </c>
      <c r="I1008" s="152">
        <f t="shared" si="25"/>
        <v>0.30159999999999998</v>
      </c>
      <c r="J1008" s="151" t="s">
        <v>240</v>
      </c>
      <c r="K1008" s="139"/>
    </row>
    <row r="1009" spans="1:11" ht="12.75" x14ac:dyDescent="0.2">
      <c r="A1009" s="151"/>
      <c r="B1009" s="151"/>
      <c r="C1009" s="148"/>
      <c r="D1009" s="149" t="s">
        <v>262</v>
      </c>
      <c r="E1009" s="165"/>
      <c r="F1009" s="150"/>
      <c r="G1009" s="147"/>
      <c r="H1009" s="157">
        <v>4397</v>
      </c>
      <c r="I1009" s="152">
        <f t="shared" si="25"/>
        <v>8.2600000000000007E-2</v>
      </c>
      <c r="J1009" s="151"/>
      <c r="K1009" s="139"/>
    </row>
    <row r="1010" spans="1:11" ht="12.75" x14ac:dyDescent="0.2">
      <c r="A1010" s="151"/>
      <c r="B1010" s="151"/>
      <c r="C1010" s="148"/>
      <c r="D1010" s="147" t="s">
        <v>242</v>
      </c>
      <c r="E1010" s="165"/>
      <c r="F1010" s="150"/>
      <c r="G1010" s="147"/>
      <c r="H1010" s="157">
        <v>2163</v>
      </c>
      <c r="I1010" s="152">
        <f t="shared" si="25"/>
        <v>4.0599999999999997E-2</v>
      </c>
      <c r="J1010" s="151"/>
      <c r="K1010" s="139"/>
    </row>
    <row r="1011" spans="1:11" ht="12.75" x14ac:dyDescent="0.2">
      <c r="A1011" s="151"/>
      <c r="B1011" s="151"/>
      <c r="C1011" s="148"/>
      <c r="D1011" s="149" t="s">
        <v>244</v>
      </c>
      <c r="E1011" s="165"/>
      <c r="F1011" s="150"/>
      <c r="G1011" s="147"/>
      <c r="H1011" s="157">
        <v>304</v>
      </c>
      <c r="I1011" s="152">
        <f t="shared" si="25"/>
        <v>5.7000000000000002E-3</v>
      </c>
      <c r="J1011" s="151"/>
      <c r="K1011" s="139"/>
    </row>
    <row r="1012" spans="1:11" ht="12.75" x14ac:dyDescent="0.2">
      <c r="A1012" s="151"/>
      <c r="B1012" s="151"/>
      <c r="C1012" s="148"/>
      <c r="D1012" s="148" t="s">
        <v>33</v>
      </c>
      <c r="E1012" s="165"/>
      <c r="F1012" s="150"/>
      <c r="G1012" s="147"/>
      <c r="H1012" s="155">
        <f>SUM(H1006:H1011)</f>
        <v>53261</v>
      </c>
      <c r="I1012" s="156">
        <f>SUM(I1006:I1011)</f>
        <v>1</v>
      </c>
      <c r="J1012" s="151"/>
      <c r="K1012" s="139"/>
    </row>
    <row r="1013" spans="1:11" ht="12.75" x14ac:dyDescent="0.2">
      <c r="A1013" s="151"/>
      <c r="B1013" s="151"/>
      <c r="C1013" s="148"/>
      <c r="D1013" s="148"/>
      <c r="E1013" s="165"/>
      <c r="F1013" s="150"/>
      <c r="G1013" s="147"/>
      <c r="H1013" s="157"/>
      <c r="I1013" s="158"/>
      <c r="J1013" s="151"/>
      <c r="K1013" s="139"/>
    </row>
    <row r="1014" spans="1:11" ht="12.75" x14ac:dyDescent="0.2">
      <c r="A1014" s="148" t="s">
        <v>20</v>
      </c>
      <c r="B1014" s="148">
        <v>405</v>
      </c>
      <c r="C1014" s="148" t="s">
        <v>234</v>
      </c>
      <c r="D1014" s="147" t="s">
        <v>69</v>
      </c>
      <c r="E1014" s="204" t="s">
        <v>340</v>
      </c>
      <c r="F1014" s="150">
        <v>1451520</v>
      </c>
      <c r="G1014" s="147">
        <v>12950</v>
      </c>
      <c r="H1014" s="157"/>
      <c r="I1014" s="158"/>
      <c r="J1014" s="151"/>
      <c r="K1014" s="139"/>
    </row>
    <row r="1015" spans="1:11" ht="12.75" x14ac:dyDescent="0.2">
      <c r="A1015" s="151"/>
      <c r="B1015" s="151"/>
      <c r="C1015" s="148"/>
      <c r="D1015" s="147" t="s">
        <v>240</v>
      </c>
      <c r="E1015" s="165"/>
      <c r="F1015" s="150"/>
      <c r="G1015" s="147"/>
      <c r="H1015" s="157">
        <v>4185</v>
      </c>
      <c r="I1015" s="152">
        <f>ROUND(H1015/$H$1017,4)</f>
        <v>0.42980000000000002</v>
      </c>
      <c r="J1015" s="151" t="s">
        <v>240</v>
      </c>
      <c r="K1015" s="139"/>
    </row>
    <row r="1016" spans="1:11" ht="12.75" x14ac:dyDescent="0.2">
      <c r="A1016" s="151"/>
      <c r="B1016" s="151"/>
      <c r="C1016" s="148"/>
      <c r="D1016" s="147" t="s">
        <v>244</v>
      </c>
      <c r="E1016" s="165"/>
      <c r="F1016" s="150"/>
      <c r="G1016" s="147"/>
      <c r="H1016" s="157">
        <v>5553</v>
      </c>
      <c r="I1016" s="152">
        <f>ROUND(H1016/$H$1017,4)</f>
        <v>0.57020000000000004</v>
      </c>
      <c r="J1016" s="151" t="s">
        <v>244</v>
      </c>
      <c r="K1016" s="139"/>
    </row>
    <row r="1017" spans="1:11" ht="12.75" x14ac:dyDescent="0.2">
      <c r="A1017" s="151"/>
      <c r="B1017" s="151"/>
      <c r="C1017" s="148"/>
      <c r="D1017" s="148" t="s">
        <v>33</v>
      </c>
      <c r="E1017" s="165"/>
      <c r="F1017" s="150"/>
      <c r="G1017" s="147"/>
      <c r="H1017" s="155">
        <f>SUM(H1015:H1016)</f>
        <v>9738</v>
      </c>
      <c r="I1017" s="156">
        <f>SUM(I1015:I1016)</f>
        <v>1</v>
      </c>
      <c r="J1017" s="151"/>
      <c r="K1017" s="139"/>
    </row>
    <row r="1018" spans="1:11" ht="12.75" x14ac:dyDescent="0.2">
      <c r="A1018" s="148" t="s">
        <v>20</v>
      </c>
      <c r="B1018" s="160">
        <v>429</v>
      </c>
      <c r="C1018" s="148" t="s">
        <v>289</v>
      </c>
      <c r="D1018" s="147" t="s">
        <v>110</v>
      </c>
      <c r="E1018" s="204">
        <v>35977</v>
      </c>
      <c r="F1018" s="150">
        <v>9768358</v>
      </c>
      <c r="G1018" s="147">
        <v>88119</v>
      </c>
      <c r="H1018" s="147"/>
      <c r="I1018" s="152"/>
      <c r="J1018" s="147"/>
      <c r="K1018" s="139"/>
    </row>
    <row r="1019" spans="1:11" ht="12.75" x14ac:dyDescent="0.2">
      <c r="A1019" s="147"/>
      <c r="B1019" s="147"/>
      <c r="C1019" s="169"/>
      <c r="D1019" s="149" t="s">
        <v>261</v>
      </c>
      <c r="E1019" s="165"/>
      <c r="F1019" s="150"/>
      <c r="G1019" s="147"/>
      <c r="H1019" s="147">
        <v>39337</v>
      </c>
      <c r="I1019" s="152">
        <f>H1019/H1023</f>
        <v>0.6830051741500851</v>
      </c>
      <c r="J1019" s="151" t="s">
        <v>261</v>
      </c>
      <c r="K1019" s="139"/>
    </row>
    <row r="1020" spans="1:11" ht="12.75" x14ac:dyDescent="0.2">
      <c r="A1020" s="147"/>
      <c r="B1020" s="147"/>
      <c r="C1020" s="169"/>
      <c r="D1020" s="149" t="s">
        <v>238</v>
      </c>
      <c r="E1020" s="165"/>
      <c r="F1020" s="150"/>
      <c r="G1020" s="147"/>
      <c r="H1020" s="147">
        <v>2750</v>
      </c>
      <c r="I1020" s="152">
        <f>H1020/H1023</f>
        <v>4.7748029308608539E-2</v>
      </c>
      <c r="J1020" s="153"/>
      <c r="K1020" s="139"/>
    </row>
    <row r="1021" spans="1:11" ht="12.75" x14ac:dyDescent="0.2">
      <c r="A1021" s="147"/>
      <c r="B1021" s="147"/>
      <c r="C1021" s="169"/>
      <c r="D1021" s="149" t="s">
        <v>242</v>
      </c>
      <c r="E1021" s="165"/>
      <c r="F1021" s="150"/>
      <c r="G1021" s="147"/>
      <c r="H1021" s="147">
        <v>9030</v>
      </c>
      <c r="I1021" s="152">
        <f>H1021/H1023</f>
        <v>0.15678716532972184</v>
      </c>
      <c r="J1021" s="153"/>
      <c r="K1021" s="139"/>
    </row>
    <row r="1022" spans="1:11" ht="12.75" x14ac:dyDescent="0.2">
      <c r="A1022" s="147"/>
      <c r="B1022" s="147"/>
      <c r="C1022" s="169"/>
      <c r="D1022" s="149" t="s">
        <v>288</v>
      </c>
      <c r="E1022" s="165"/>
      <c r="F1022" s="150"/>
      <c r="G1022" s="147"/>
      <c r="H1022" s="147">
        <v>6477</v>
      </c>
      <c r="I1022" s="152">
        <f>H1022/H1023</f>
        <v>0.11245963121158455</v>
      </c>
      <c r="J1022" s="153"/>
      <c r="K1022" s="139"/>
    </row>
    <row r="1023" spans="1:11" ht="12.75" x14ac:dyDescent="0.2">
      <c r="A1023" s="147"/>
      <c r="B1023" s="147"/>
      <c r="C1023" s="169"/>
      <c r="D1023" s="148" t="s">
        <v>33</v>
      </c>
      <c r="E1023" s="165"/>
      <c r="F1023" s="150"/>
      <c r="G1023" s="147"/>
      <c r="H1023" s="155">
        <f>SUM(H1019:H1022)</f>
        <v>57594</v>
      </c>
      <c r="I1023" s="156">
        <f>SUM(I1019:I1022)</f>
        <v>1</v>
      </c>
      <c r="J1023" s="147"/>
      <c r="K1023" s="139"/>
    </row>
    <row r="1024" spans="1:11" ht="12.75" x14ac:dyDescent="0.2">
      <c r="A1024" s="148" t="s">
        <v>20</v>
      </c>
      <c r="B1024" s="160">
        <v>424</v>
      </c>
      <c r="C1024" s="148" t="s">
        <v>289</v>
      </c>
      <c r="D1024" s="147" t="s">
        <v>111</v>
      </c>
      <c r="E1024" s="204">
        <v>35462</v>
      </c>
      <c r="F1024" s="150">
        <v>10123101</v>
      </c>
      <c r="G1024" s="147">
        <v>91933</v>
      </c>
      <c r="H1024" s="147"/>
      <c r="I1024" s="152"/>
      <c r="J1024" s="147"/>
      <c r="K1024" s="139"/>
    </row>
    <row r="1025" spans="1:11" ht="12.75" x14ac:dyDescent="0.2">
      <c r="A1025" s="147"/>
      <c r="B1025" s="147"/>
      <c r="C1025" s="169"/>
      <c r="D1025" s="149" t="s">
        <v>261</v>
      </c>
      <c r="E1025" s="165"/>
      <c r="F1025" s="150"/>
      <c r="G1025" s="147"/>
      <c r="H1025" s="147">
        <v>20000</v>
      </c>
      <c r="I1025" s="152">
        <f>H1025/H1030</f>
        <v>0.33488496701383075</v>
      </c>
      <c r="J1025" s="151" t="s">
        <v>261</v>
      </c>
      <c r="K1025" s="139"/>
    </row>
    <row r="1026" spans="1:11" ht="12.75" x14ac:dyDescent="0.2">
      <c r="A1026" s="147"/>
      <c r="B1026" s="147"/>
      <c r="C1026" s="169"/>
      <c r="D1026" s="149" t="s">
        <v>238</v>
      </c>
      <c r="E1026" s="165"/>
      <c r="F1026" s="150"/>
      <c r="G1026" s="147"/>
      <c r="H1026" s="147">
        <v>16037</v>
      </c>
      <c r="I1026" s="152">
        <f>H1026/H1030</f>
        <v>0.26852751080004017</v>
      </c>
      <c r="J1026" s="151" t="s">
        <v>238</v>
      </c>
      <c r="K1026" s="139"/>
    </row>
    <row r="1027" spans="1:11" ht="12.75" x14ac:dyDescent="0.2">
      <c r="A1027" s="147"/>
      <c r="B1027" s="147"/>
      <c r="C1027" s="169"/>
      <c r="D1027" s="149" t="s">
        <v>293</v>
      </c>
      <c r="E1027" s="165"/>
      <c r="F1027" s="150"/>
      <c r="G1027" s="147"/>
      <c r="H1027" s="147">
        <v>500</v>
      </c>
      <c r="I1027" s="152">
        <f>H1027/H1030</f>
        <v>8.372124175345769E-3</v>
      </c>
      <c r="J1027" s="147"/>
      <c r="K1027" s="139"/>
    </row>
    <row r="1028" spans="1:11" ht="12.75" x14ac:dyDescent="0.2">
      <c r="A1028" s="147"/>
      <c r="B1028" s="147"/>
      <c r="C1028" s="169"/>
      <c r="D1028" s="149" t="s">
        <v>288</v>
      </c>
      <c r="E1028" s="165"/>
      <c r="F1028" s="150"/>
      <c r="G1028" s="147"/>
      <c r="H1028" s="147">
        <v>22043</v>
      </c>
      <c r="I1028" s="152">
        <f>H1028/H1030</f>
        <v>0.36909346639429358</v>
      </c>
      <c r="J1028" s="153" t="s">
        <v>288</v>
      </c>
      <c r="K1028" s="139"/>
    </row>
    <row r="1029" spans="1:11" ht="12.75" x14ac:dyDescent="0.2">
      <c r="A1029" s="147"/>
      <c r="B1029" s="147"/>
      <c r="C1029" s="169"/>
      <c r="D1029" s="149" t="s">
        <v>292</v>
      </c>
      <c r="E1029" s="165"/>
      <c r="F1029" s="150"/>
      <c r="G1029" s="147"/>
      <c r="H1029" s="147">
        <v>1142</v>
      </c>
      <c r="I1029" s="152">
        <f>H1029/H1030</f>
        <v>1.9121931616489736E-2</v>
      </c>
      <c r="J1029" s="153"/>
      <c r="K1029" s="139"/>
    </row>
    <row r="1030" spans="1:11" ht="12.75" x14ac:dyDescent="0.2">
      <c r="A1030" s="147"/>
      <c r="B1030" s="147"/>
      <c r="C1030" s="169"/>
      <c r="D1030" s="148" t="s">
        <v>33</v>
      </c>
      <c r="E1030" s="165"/>
      <c r="F1030" s="150"/>
      <c r="G1030" s="147"/>
      <c r="H1030" s="155">
        <f>SUM(H1025:H1029)</f>
        <v>59722</v>
      </c>
      <c r="I1030" s="156">
        <f>SUM(I1025:I1029)</f>
        <v>1</v>
      </c>
      <c r="J1030" s="147"/>
      <c r="K1030" s="139"/>
    </row>
    <row r="1031" spans="1:11" ht="12.75" x14ac:dyDescent="0.2">
      <c r="A1031" s="147"/>
      <c r="B1031" s="147"/>
      <c r="C1031" s="169"/>
      <c r="D1031" s="148"/>
      <c r="E1031" s="165"/>
      <c r="F1031" s="150"/>
      <c r="G1031" s="147"/>
      <c r="H1031" s="147"/>
      <c r="I1031" s="152"/>
      <c r="J1031" s="147"/>
      <c r="K1031" s="139"/>
    </row>
    <row r="1032" spans="1:11" ht="12.75" x14ac:dyDescent="0.2">
      <c r="A1032" s="148" t="s">
        <v>20</v>
      </c>
      <c r="B1032" s="160">
        <v>408</v>
      </c>
      <c r="C1032" s="148" t="s">
        <v>289</v>
      </c>
      <c r="D1032" s="147" t="s">
        <v>151</v>
      </c>
      <c r="E1032" s="204">
        <v>36434</v>
      </c>
      <c r="F1032" s="150">
        <v>14338927</v>
      </c>
      <c r="G1032" s="147">
        <v>99381</v>
      </c>
      <c r="H1032" s="147"/>
      <c r="I1032" s="152"/>
      <c r="J1032" s="147"/>
      <c r="K1032" s="139"/>
    </row>
    <row r="1033" spans="1:11" ht="12.75" x14ac:dyDescent="0.2">
      <c r="A1033" s="147"/>
      <c r="B1033" s="147"/>
      <c r="C1033" s="169"/>
      <c r="D1033" s="149" t="s">
        <v>261</v>
      </c>
      <c r="E1033" s="165"/>
      <c r="F1033" s="150"/>
      <c r="G1033" s="147"/>
      <c r="H1033" s="147">
        <v>10085</v>
      </c>
      <c r="I1033" s="152">
        <f>H1033/H1040</f>
        <v>0.15424734636444282</v>
      </c>
      <c r="J1033" s="151"/>
      <c r="K1033" s="139"/>
    </row>
    <row r="1034" spans="1:11" ht="12.75" x14ac:dyDescent="0.2">
      <c r="A1034" s="147"/>
      <c r="B1034" s="147"/>
      <c r="C1034" s="169"/>
      <c r="D1034" s="149" t="s">
        <v>238</v>
      </c>
      <c r="E1034" s="165"/>
      <c r="F1034" s="150"/>
      <c r="G1034" s="147"/>
      <c r="H1034" s="147">
        <v>9620</v>
      </c>
      <c r="I1034" s="152">
        <f>H1034/H1040</f>
        <v>0.14713529717659293</v>
      </c>
      <c r="J1034" s="147"/>
      <c r="K1034" s="139"/>
    </row>
    <row r="1035" spans="1:11" ht="12.75" x14ac:dyDescent="0.2">
      <c r="A1035" s="147"/>
      <c r="B1035" s="147"/>
      <c r="C1035" s="169"/>
      <c r="D1035" s="149" t="s">
        <v>239</v>
      </c>
      <c r="E1035" s="165"/>
      <c r="F1035" s="150"/>
      <c r="G1035" s="147"/>
      <c r="H1035" s="147">
        <v>20329</v>
      </c>
      <c r="I1035" s="152">
        <f>H1035/H1040</f>
        <v>0.31092655470924718</v>
      </c>
      <c r="J1035" s="151" t="s">
        <v>239</v>
      </c>
      <c r="K1035" s="139"/>
    </row>
    <row r="1036" spans="1:11" ht="12.75" x14ac:dyDescent="0.2">
      <c r="A1036" s="147"/>
      <c r="B1036" s="147"/>
      <c r="C1036" s="169"/>
      <c r="D1036" s="149" t="s">
        <v>284</v>
      </c>
      <c r="E1036" s="165"/>
      <c r="F1036" s="150"/>
      <c r="G1036" s="147"/>
      <c r="H1036" s="147">
        <v>6200</v>
      </c>
      <c r="I1036" s="152">
        <f>H1036/H1040</f>
        <v>9.4827322504664899E-2</v>
      </c>
      <c r="J1036" s="151"/>
      <c r="K1036" s="139"/>
    </row>
    <row r="1037" spans="1:11" ht="12.75" x14ac:dyDescent="0.2">
      <c r="A1037" s="147"/>
      <c r="B1037" s="147"/>
      <c r="C1037" s="169"/>
      <c r="D1037" s="149" t="s">
        <v>242</v>
      </c>
      <c r="E1037" s="165"/>
      <c r="F1037" s="150"/>
      <c r="G1037" s="147"/>
      <c r="H1037" s="147">
        <v>100</v>
      </c>
      <c r="I1037" s="152">
        <f>H1037/H1040</f>
        <v>1.5294729436236274E-3</v>
      </c>
      <c r="J1037" s="151"/>
      <c r="K1037" s="139"/>
    </row>
    <row r="1038" spans="1:11" ht="12.75" x14ac:dyDescent="0.2">
      <c r="A1038" s="147"/>
      <c r="B1038" s="147"/>
      <c r="C1038" s="169"/>
      <c r="D1038" s="149" t="s">
        <v>293</v>
      </c>
      <c r="E1038" s="165"/>
      <c r="F1038" s="150"/>
      <c r="G1038" s="147"/>
      <c r="H1038" s="147">
        <v>665</v>
      </c>
      <c r="I1038" s="152">
        <f>H1038/H1040</f>
        <v>1.0170995075097122E-2</v>
      </c>
      <c r="J1038" s="147"/>
      <c r="K1038" s="139"/>
    </row>
    <row r="1039" spans="1:11" ht="12.75" x14ac:dyDescent="0.2">
      <c r="A1039" s="147"/>
      <c r="B1039" s="147"/>
      <c r="C1039" s="169"/>
      <c r="D1039" s="149" t="s">
        <v>288</v>
      </c>
      <c r="E1039" s="165"/>
      <c r="F1039" s="150"/>
      <c r="G1039" s="147"/>
      <c r="H1039" s="147">
        <v>18383</v>
      </c>
      <c r="I1039" s="152">
        <f>H1039/H1040</f>
        <v>0.28116301122633142</v>
      </c>
      <c r="J1039" s="153" t="s">
        <v>288</v>
      </c>
      <c r="K1039" s="139"/>
    </row>
    <row r="1040" spans="1:11" ht="12.75" x14ac:dyDescent="0.2">
      <c r="A1040" s="147"/>
      <c r="B1040" s="147"/>
      <c r="C1040" s="169"/>
      <c r="D1040" s="148" t="s">
        <v>33</v>
      </c>
      <c r="E1040" s="165"/>
      <c r="F1040" s="150"/>
      <c r="G1040" s="147"/>
      <c r="H1040" s="155">
        <f>SUM(H1033:H1039)</f>
        <v>65382</v>
      </c>
      <c r="I1040" s="156">
        <f>SUM(I1033:I1039)</f>
        <v>0.99999999999999978</v>
      </c>
      <c r="J1040" s="147"/>
      <c r="K1040" s="139"/>
    </row>
    <row r="1041" spans="1:11" ht="12.75" x14ac:dyDescent="0.2">
      <c r="A1041" s="147"/>
      <c r="B1041" s="147"/>
      <c r="C1041" s="169"/>
      <c r="D1041" s="148"/>
      <c r="E1041" s="165"/>
      <c r="F1041" s="150"/>
      <c r="G1041" s="147"/>
      <c r="H1041" s="147"/>
      <c r="I1041" s="152"/>
      <c r="J1041" s="147"/>
      <c r="K1041" s="139"/>
    </row>
    <row r="1042" spans="1:11" ht="12.75" x14ac:dyDescent="0.2">
      <c r="A1042" s="148" t="s">
        <v>20</v>
      </c>
      <c r="B1042" s="160">
        <v>430</v>
      </c>
      <c r="C1042" s="148" t="s">
        <v>289</v>
      </c>
      <c r="D1042" s="147" t="s">
        <v>153</v>
      </c>
      <c r="E1042" s="204">
        <v>36161</v>
      </c>
      <c r="F1042" s="150">
        <v>5500000</v>
      </c>
      <c r="G1042" s="147">
        <v>50999</v>
      </c>
      <c r="H1042" s="147"/>
      <c r="I1042" s="152"/>
      <c r="J1042" s="147"/>
      <c r="K1042" s="139"/>
    </row>
    <row r="1043" spans="1:11" ht="12.75" x14ac:dyDescent="0.2">
      <c r="A1043" s="147"/>
      <c r="B1043" s="147"/>
      <c r="C1043" s="169"/>
      <c r="D1043" s="149" t="s">
        <v>262</v>
      </c>
      <c r="E1043" s="165"/>
      <c r="F1043" s="150"/>
      <c r="G1043" s="147"/>
      <c r="H1043" s="147">
        <v>11437</v>
      </c>
      <c r="I1043" s="152">
        <f>H1043/H1046</f>
        <v>0.36930478865962735</v>
      </c>
      <c r="J1043" s="153" t="s">
        <v>262</v>
      </c>
      <c r="K1043" s="139"/>
    </row>
    <row r="1044" spans="1:11" ht="12.75" x14ac:dyDescent="0.2">
      <c r="A1044" s="147"/>
      <c r="B1044" s="147"/>
      <c r="C1044" s="169"/>
      <c r="D1044" s="149" t="s">
        <v>285</v>
      </c>
      <c r="E1044" s="165"/>
      <c r="F1044" s="150"/>
      <c r="G1044" s="147"/>
      <c r="H1044" s="147">
        <v>16568</v>
      </c>
      <c r="I1044" s="152">
        <f>H1044/H1046</f>
        <v>0.53498659950272853</v>
      </c>
      <c r="J1044" s="147"/>
      <c r="K1044" s="139"/>
    </row>
    <row r="1045" spans="1:11" ht="12.75" x14ac:dyDescent="0.2">
      <c r="A1045" s="147"/>
      <c r="B1045" s="147"/>
      <c r="C1045" s="169"/>
      <c r="D1045" s="149" t="s">
        <v>288</v>
      </c>
      <c r="E1045" s="165"/>
      <c r="F1045" s="150"/>
      <c r="G1045" s="147"/>
      <c r="H1045" s="147">
        <v>2964</v>
      </c>
      <c r="I1045" s="152">
        <f>H1045/H1046</f>
        <v>9.5708611837644092E-2</v>
      </c>
      <c r="J1045" s="153"/>
      <c r="K1045" s="139"/>
    </row>
    <row r="1046" spans="1:11" ht="12.75" x14ac:dyDescent="0.2">
      <c r="A1046" s="147"/>
      <c r="B1046" s="147"/>
      <c r="C1046" s="169"/>
      <c r="D1046" s="148" t="s">
        <v>33</v>
      </c>
      <c r="E1046" s="165"/>
      <c r="F1046" s="150"/>
      <c r="G1046" s="147"/>
      <c r="H1046" s="155">
        <f>SUM(H1043:H1045)</f>
        <v>30969</v>
      </c>
      <c r="I1046" s="156">
        <f>SUM(I1043:I1045)</f>
        <v>1</v>
      </c>
      <c r="J1046" s="147"/>
      <c r="K1046" s="139"/>
    </row>
    <row r="1047" spans="1:11" ht="12.75" x14ac:dyDescent="0.2">
      <c r="A1047" s="147"/>
      <c r="B1047" s="147"/>
      <c r="C1047" s="169"/>
      <c r="D1047" s="148"/>
      <c r="E1047" s="165"/>
      <c r="F1047" s="150"/>
      <c r="G1047" s="147"/>
      <c r="H1047" s="147"/>
      <c r="I1047" s="152"/>
      <c r="J1047" s="147"/>
      <c r="K1047" s="139"/>
    </row>
    <row r="1048" spans="1:11" ht="12.75" x14ac:dyDescent="0.2">
      <c r="A1048" s="148" t="s">
        <v>20</v>
      </c>
      <c r="B1048" s="160">
        <v>445</v>
      </c>
      <c r="C1048" s="148" t="s">
        <v>289</v>
      </c>
      <c r="D1048" s="147" t="s">
        <v>426</v>
      </c>
      <c r="E1048" s="204">
        <v>36678</v>
      </c>
      <c r="F1048" s="150">
        <v>7909028</v>
      </c>
      <c r="G1048" s="147">
        <v>67688</v>
      </c>
      <c r="H1048" s="147"/>
      <c r="I1048" s="152"/>
      <c r="J1048" s="147"/>
      <c r="K1048" s="139"/>
    </row>
    <row r="1049" spans="1:11" ht="12.75" x14ac:dyDescent="0.2">
      <c r="A1049" s="147"/>
      <c r="B1049" s="147"/>
      <c r="C1049" s="169"/>
      <c r="D1049" s="149" t="s">
        <v>261</v>
      </c>
      <c r="E1049" s="165"/>
      <c r="F1049" s="150"/>
      <c r="G1049" s="147"/>
      <c r="H1049" s="147">
        <v>2300</v>
      </c>
      <c r="I1049" s="152">
        <f>H1049/H1055</f>
        <v>5.0879327508019025E-2</v>
      </c>
      <c r="J1049" s="151"/>
      <c r="K1049" s="139"/>
    </row>
    <row r="1050" spans="1:11" ht="12.75" x14ac:dyDescent="0.2">
      <c r="A1050" s="147"/>
      <c r="B1050" s="147"/>
      <c r="C1050" s="169"/>
      <c r="D1050" s="149" t="s">
        <v>238</v>
      </c>
      <c r="E1050" s="165"/>
      <c r="F1050" s="150"/>
      <c r="G1050" s="147"/>
      <c r="H1050" s="147">
        <v>4780</v>
      </c>
      <c r="I1050" s="152">
        <f>H1050/H1055</f>
        <v>0.10574051542970911</v>
      </c>
      <c r="J1050" s="147"/>
      <c r="K1050" s="139"/>
    </row>
    <row r="1051" spans="1:11" ht="12.75" x14ac:dyDescent="0.2">
      <c r="A1051" s="147"/>
      <c r="B1051" s="147"/>
      <c r="C1051" s="169"/>
      <c r="D1051" s="149" t="s">
        <v>239</v>
      </c>
      <c r="E1051" s="165"/>
      <c r="F1051" s="150"/>
      <c r="G1051" s="147"/>
      <c r="H1051" s="147">
        <v>24965</v>
      </c>
      <c r="I1051" s="152">
        <f>H1051/H1055</f>
        <v>0.55226191792943258</v>
      </c>
      <c r="J1051" s="151" t="s">
        <v>239</v>
      </c>
      <c r="K1051" s="139"/>
    </row>
    <row r="1052" spans="1:11" ht="12.75" x14ac:dyDescent="0.2">
      <c r="A1052" s="147"/>
      <c r="B1052" s="147"/>
      <c r="C1052" s="169"/>
      <c r="D1052" s="149" t="s">
        <v>284</v>
      </c>
      <c r="E1052" s="165"/>
      <c r="F1052" s="150"/>
      <c r="G1052" s="147"/>
      <c r="H1052" s="147">
        <v>1200</v>
      </c>
      <c r="I1052" s="152">
        <f>H1052/H1055</f>
        <v>2.6545736091140359E-2</v>
      </c>
      <c r="J1052" s="151"/>
      <c r="K1052" s="139"/>
    </row>
    <row r="1053" spans="1:11" ht="12.75" x14ac:dyDescent="0.2">
      <c r="A1053" s="147"/>
      <c r="B1053" s="147"/>
      <c r="C1053" s="169"/>
      <c r="D1053" s="149" t="s">
        <v>288</v>
      </c>
      <c r="E1053" s="165"/>
      <c r="F1053" s="150"/>
      <c r="G1053" s="147"/>
      <c r="H1053" s="147">
        <v>11060</v>
      </c>
      <c r="I1053" s="152">
        <f>H1053/H1055</f>
        <v>0.24466320097334365</v>
      </c>
      <c r="J1053" s="151"/>
      <c r="K1053" s="139"/>
    </row>
    <row r="1054" spans="1:11" ht="12.75" x14ac:dyDescent="0.2">
      <c r="A1054" s="147"/>
      <c r="B1054" s="147"/>
      <c r="C1054" s="169"/>
      <c r="D1054" s="149" t="s">
        <v>285</v>
      </c>
      <c r="E1054" s="165"/>
      <c r="F1054" s="150"/>
      <c r="G1054" s="147"/>
      <c r="H1054" s="147">
        <v>900</v>
      </c>
      <c r="I1054" s="152">
        <f>H1054/H1055</f>
        <v>1.990930206835527E-2</v>
      </c>
      <c r="J1054" s="147"/>
      <c r="K1054" s="139"/>
    </row>
    <row r="1055" spans="1:11" ht="12.75" x14ac:dyDescent="0.2">
      <c r="A1055" s="147"/>
      <c r="B1055" s="147"/>
      <c r="C1055" s="169"/>
      <c r="D1055" s="148" t="s">
        <v>33</v>
      </c>
      <c r="E1055" s="165"/>
      <c r="F1055" s="150"/>
      <c r="G1055" s="147"/>
      <c r="H1055" s="155">
        <f>SUM(H1049:H1054)</f>
        <v>45205</v>
      </c>
      <c r="I1055" s="156">
        <f>SUM(I1049:I1054)</f>
        <v>0.99999999999999989</v>
      </c>
      <c r="J1055" s="147"/>
      <c r="K1055" s="139"/>
    </row>
    <row r="1056" spans="1:11" ht="12.75" x14ac:dyDescent="0.2">
      <c r="A1056" s="147"/>
      <c r="B1056" s="147"/>
      <c r="C1056" s="169"/>
      <c r="D1056" s="148"/>
      <c r="E1056" s="165"/>
      <c r="F1056" s="150"/>
      <c r="G1056" s="147"/>
      <c r="H1056" s="147"/>
      <c r="I1056" s="152"/>
      <c r="J1056" s="147"/>
      <c r="K1056" s="139"/>
    </row>
    <row r="1057" spans="1:11" ht="12.75" x14ac:dyDescent="0.2">
      <c r="A1057" s="148" t="s">
        <v>20</v>
      </c>
      <c r="B1057" s="160">
        <v>438</v>
      </c>
      <c r="C1057" s="148" t="s">
        <v>289</v>
      </c>
      <c r="D1057" s="147" t="s">
        <v>427</v>
      </c>
      <c r="E1057" s="204">
        <v>36526</v>
      </c>
      <c r="F1057" s="150">
        <v>8095387</v>
      </c>
      <c r="G1057" s="147">
        <v>61904</v>
      </c>
      <c r="H1057" s="147"/>
      <c r="I1057" s="152"/>
      <c r="J1057" s="147"/>
      <c r="K1057" s="139"/>
    </row>
    <row r="1058" spans="1:11" ht="12.75" x14ac:dyDescent="0.2">
      <c r="A1058" s="147"/>
      <c r="B1058" s="147"/>
      <c r="C1058" s="169"/>
      <c r="D1058" s="149" t="s">
        <v>238</v>
      </c>
      <c r="E1058" s="165"/>
      <c r="F1058" s="150"/>
      <c r="G1058" s="147"/>
      <c r="H1058" s="147">
        <v>9900</v>
      </c>
      <c r="I1058" s="152">
        <f>H1058/H1061</f>
        <v>0.23988950543991858</v>
      </c>
      <c r="J1058" s="147"/>
      <c r="K1058" s="139"/>
    </row>
    <row r="1059" spans="1:11" ht="12.75" x14ac:dyDescent="0.2">
      <c r="A1059" s="147"/>
      <c r="B1059" s="147"/>
      <c r="C1059" s="169"/>
      <c r="D1059" s="149" t="s">
        <v>239</v>
      </c>
      <c r="E1059" s="165"/>
      <c r="F1059" s="150"/>
      <c r="G1059" s="147"/>
      <c r="H1059" s="147">
        <v>7139</v>
      </c>
      <c r="I1059" s="152">
        <f>H1059/H1061</f>
        <v>0.17298698781167463</v>
      </c>
      <c r="J1059" s="151"/>
      <c r="K1059" s="139"/>
    </row>
    <row r="1060" spans="1:11" ht="12.75" x14ac:dyDescent="0.2">
      <c r="A1060" s="147"/>
      <c r="B1060" s="147"/>
      <c r="C1060" s="169"/>
      <c r="D1060" s="149" t="s">
        <v>288</v>
      </c>
      <c r="E1060" s="165"/>
      <c r="F1060" s="150"/>
      <c r="G1060" s="147"/>
      <c r="H1060" s="147">
        <v>24230</v>
      </c>
      <c r="I1060" s="152">
        <f>H1060/H1061</f>
        <v>0.58712350674840674</v>
      </c>
      <c r="J1060" s="151" t="s">
        <v>288</v>
      </c>
      <c r="K1060" s="139"/>
    </row>
    <row r="1061" spans="1:11" ht="12.75" x14ac:dyDescent="0.2">
      <c r="A1061" s="147"/>
      <c r="B1061" s="147"/>
      <c r="C1061" s="169"/>
      <c r="D1061" s="148" t="s">
        <v>33</v>
      </c>
      <c r="E1061" s="165"/>
      <c r="F1061" s="150"/>
      <c r="G1061" s="147"/>
      <c r="H1061" s="155">
        <f>SUM(H1058:H1060)</f>
        <v>41269</v>
      </c>
      <c r="I1061" s="156">
        <f>SUM(I1058:I1060)</f>
        <v>1</v>
      </c>
      <c r="J1061" s="147"/>
      <c r="K1061" s="139"/>
    </row>
    <row r="1062" spans="1:11" ht="12.75" x14ac:dyDescent="0.2">
      <c r="A1062" s="147"/>
      <c r="B1062" s="147"/>
      <c r="C1062" s="169"/>
      <c r="D1062" s="148"/>
      <c r="E1062" s="165"/>
      <c r="F1062" s="150"/>
      <c r="G1062" s="147"/>
      <c r="H1062" s="147"/>
      <c r="I1062" s="152"/>
      <c r="J1062" s="147"/>
      <c r="K1062" s="139"/>
    </row>
    <row r="1063" spans="1:11" ht="12.75" x14ac:dyDescent="0.2">
      <c r="A1063" s="148" t="s">
        <v>20</v>
      </c>
      <c r="B1063" s="160">
        <v>440</v>
      </c>
      <c r="C1063" s="148" t="s">
        <v>289</v>
      </c>
      <c r="D1063" s="147" t="s">
        <v>428</v>
      </c>
      <c r="E1063" s="204">
        <v>36770</v>
      </c>
      <c r="F1063" s="150">
        <v>10771389</v>
      </c>
      <c r="G1063" s="147">
        <v>80794</v>
      </c>
      <c r="H1063" s="147"/>
      <c r="I1063" s="152"/>
      <c r="J1063" s="147"/>
      <c r="K1063" s="139"/>
    </row>
    <row r="1064" spans="1:11" ht="12.75" x14ac:dyDescent="0.2">
      <c r="A1064" s="147"/>
      <c r="B1064" s="147"/>
      <c r="C1064" s="169"/>
      <c r="D1064" s="149" t="s">
        <v>261</v>
      </c>
      <c r="E1064" s="165"/>
      <c r="F1064" s="150"/>
      <c r="G1064" s="147"/>
      <c r="H1064" s="147">
        <v>900</v>
      </c>
      <c r="I1064" s="152">
        <f>H1064/H1069</f>
        <v>1.4798493842182285E-2</v>
      </c>
      <c r="J1064" s="151"/>
      <c r="K1064" s="139"/>
    </row>
    <row r="1065" spans="1:11" ht="12.75" x14ac:dyDescent="0.2">
      <c r="A1065" s="147"/>
      <c r="B1065" s="147"/>
      <c r="C1065" s="169"/>
      <c r="D1065" s="149" t="s">
        <v>314</v>
      </c>
      <c r="E1065" s="165"/>
      <c r="F1065" s="150"/>
      <c r="G1065" s="147"/>
      <c r="H1065" s="147">
        <v>52780</v>
      </c>
      <c r="I1065" s="152">
        <f>H1065/H1069</f>
        <v>0.86784944998931224</v>
      </c>
      <c r="J1065" s="153" t="s">
        <v>314</v>
      </c>
      <c r="K1065" s="139"/>
    </row>
    <row r="1066" spans="1:11" ht="12.75" x14ac:dyDescent="0.2">
      <c r="A1066" s="147"/>
      <c r="B1066" s="147"/>
      <c r="C1066" s="169"/>
      <c r="D1066" s="149" t="s">
        <v>288</v>
      </c>
      <c r="E1066" s="165"/>
      <c r="F1066" s="150"/>
      <c r="G1066" s="147"/>
      <c r="H1066" s="147">
        <v>5405</v>
      </c>
      <c r="I1066" s="152">
        <f>H1066/H1069</f>
        <v>8.8873176907772494E-2</v>
      </c>
      <c r="J1066" s="151"/>
      <c r="K1066" s="139"/>
    </row>
    <row r="1067" spans="1:11" ht="12.75" x14ac:dyDescent="0.2">
      <c r="A1067" s="147"/>
      <c r="B1067" s="147"/>
      <c r="C1067" s="169"/>
      <c r="D1067" s="149" t="s">
        <v>292</v>
      </c>
      <c r="E1067" s="165"/>
      <c r="F1067" s="150"/>
      <c r="G1067" s="147"/>
      <c r="H1067" s="147">
        <v>1332</v>
      </c>
      <c r="I1067" s="152">
        <f>H1067/H1069</f>
        <v>2.1901770886429781E-2</v>
      </c>
      <c r="J1067" s="147"/>
      <c r="K1067" s="139"/>
    </row>
    <row r="1068" spans="1:11" ht="12.75" x14ac:dyDescent="0.2">
      <c r="A1068" s="147"/>
      <c r="B1068" s="147"/>
      <c r="C1068" s="169"/>
      <c r="D1068" s="149" t="s">
        <v>285</v>
      </c>
      <c r="E1068" s="165"/>
      <c r="F1068" s="150"/>
      <c r="G1068" s="147"/>
      <c r="H1068" s="147">
        <v>400</v>
      </c>
      <c r="I1068" s="152">
        <f>H1068/H1069</f>
        <v>6.5771083743032376E-3</v>
      </c>
      <c r="J1068" s="147"/>
      <c r="K1068" s="139"/>
    </row>
    <row r="1069" spans="1:11" ht="12.75" x14ac:dyDescent="0.2">
      <c r="A1069" s="147"/>
      <c r="B1069" s="147"/>
      <c r="C1069" s="169"/>
      <c r="D1069" s="148" t="s">
        <v>33</v>
      </c>
      <c r="E1069" s="165"/>
      <c r="F1069" s="150"/>
      <c r="G1069" s="147"/>
      <c r="H1069" s="155">
        <f>SUM(H1064:H1068)</f>
        <v>60817</v>
      </c>
      <c r="I1069" s="156">
        <f>SUM(I1064:I1068)</f>
        <v>1</v>
      </c>
      <c r="J1069" s="147"/>
      <c r="K1069" s="139"/>
    </row>
    <row r="1070" spans="1:11" ht="12.75" x14ac:dyDescent="0.2">
      <c r="A1070" s="147"/>
      <c r="B1070" s="147"/>
      <c r="C1070" s="169"/>
      <c r="D1070" s="148"/>
      <c r="E1070" s="165"/>
      <c r="F1070" s="150"/>
      <c r="G1070" s="147"/>
      <c r="H1070" s="147"/>
      <c r="I1070" s="152"/>
      <c r="J1070" s="147"/>
      <c r="K1070" s="139"/>
    </row>
    <row r="1071" spans="1:11" ht="12.75" x14ac:dyDescent="0.2">
      <c r="A1071" s="148" t="s">
        <v>20</v>
      </c>
      <c r="B1071" s="160">
        <v>403</v>
      </c>
      <c r="C1071" s="148" t="s">
        <v>289</v>
      </c>
      <c r="D1071" s="147" t="s">
        <v>430</v>
      </c>
      <c r="E1071" s="204">
        <v>37127</v>
      </c>
      <c r="F1071" s="150">
        <v>8171727</v>
      </c>
      <c r="G1071" s="147">
        <v>60809</v>
      </c>
      <c r="H1071" s="147"/>
      <c r="I1071" s="152"/>
      <c r="J1071" s="147"/>
      <c r="K1071" s="139"/>
    </row>
    <row r="1072" spans="1:11" ht="12.75" x14ac:dyDescent="0.2">
      <c r="A1072" s="147"/>
      <c r="B1072" s="147"/>
      <c r="C1072" s="169"/>
      <c r="D1072" s="149" t="s">
        <v>261</v>
      </c>
      <c r="E1072" s="165"/>
      <c r="F1072" s="150"/>
      <c r="G1072" s="147"/>
      <c r="H1072" s="147">
        <v>13460</v>
      </c>
      <c r="I1072" s="152">
        <f>H1072/H1075</f>
        <v>0.33202595031944548</v>
      </c>
      <c r="J1072" s="151"/>
      <c r="K1072" s="139"/>
    </row>
    <row r="1073" spans="1:11" ht="12.75" x14ac:dyDescent="0.2">
      <c r="A1073" s="147"/>
      <c r="B1073" s="147"/>
      <c r="C1073" s="169"/>
      <c r="D1073" s="149" t="s">
        <v>290</v>
      </c>
      <c r="E1073" s="165"/>
      <c r="F1073" s="150"/>
      <c r="G1073" s="147"/>
      <c r="H1073" s="147">
        <v>4200</v>
      </c>
      <c r="I1073" s="152">
        <f>H1073/H1075</f>
        <v>0.10360393694960408</v>
      </c>
      <c r="J1073" s="151"/>
      <c r="K1073" s="139"/>
    </row>
    <row r="1074" spans="1:11" ht="12.75" x14ac:dyDescent="0.2">
      <c r="A1074" s="147"/>
      <c r="B1074" s="147"/>
      <c r="C1074" s="169"/>
      <c r="D1074" s="149" t="s">
        <v>288</v>
      </c>
      <c r="E1074" s="165"/>
      <c r="F1074" s="150"/>
      <c r="G1074" s="147"/>
      <c r="H1074" s="147">
        <v>22879</v>
      </c>
      <c r="I1074" s="152">
        <f>H1074/H1075</f>
        <v>0.56437011273095039</v>
      </c>
      <c r="J1074" s="153" t="s">
        <v>288</v>
      </c>
      <c r="K1074" s="139"/>
    </row>
    <row r="1075" spans="1:11" ht="12.75" x14ac:dyDescent="0.2">
      <c r="A1075" s="147"/>
      <c r="B1075" s="147"/>
      <c r="C1075" s="169"/>
      <c r="D1075" s="148" t="s">
        <v>33</v>
      </c>
      <c r="E1075" s="165"/>
      <c r="F1075" s="150"/>
      <c r="G1075" s="147"/>
      <c r="H1075" s="155">
        <f>SUM(H1072:H1074)</f>
        <v>40539</v>
      </c>
      <c r="I1075" s="156">
        <f>SUM(I1072:I1074)</f>
        <v>1</v>
      </c>
      <c r="J1075" s="147"/>
      <c r="K1075" s="139"/>
    </row>
    <row r="1076" spans="1:11" ht="12.75" x14ac:dyDescent="0.2">
      <c r="A1076" s="147"/>
      <c r="B1076" s="147"/>
      <c r="C1076" s="169"/>
      <c r="D1076" s="148"/>
      <c r="E1076" s="165"/>
      <c r="F1076" s="150"/>
      <c r="G1076" s="147"/>
      <c r="H1076" s="147"/>
      <c r="I1076" s="152"/>
      <c r="J1076" s="147"/>
      <c r="K1076" s="139"/>
    </row>
    <row r="1077" spans="1:11" ht="12.75" x14ac:dyDescent="0.2">
      <c r="A1077" s="148" t="s">
        <v>20</v>
      </c>
      <c r="B1077" s="148">
        <v>448</v>
      </c>
      <c r="C1077" s="148" t="s">
        <v>289</v>
      </c>
      <c r="D1077" s="149" t="s">
        <v>431</v>
      </c>
      <c r="E1077" s="165">
        <v>36935</v>
      </c>
      <c r="F1077" s="150">
        <v>7470589</v>
      </c>
      <c r="G1077" s="147">
        <v>53798</v>
      </c>
      <c r="H1077" s="147"/>
      <c r="I1077" s="152"/>
      <c r="J1077" s="151"/>
      <c r="K1077" s="139"/>
    </row>
    <row r="1078" spans="1:11" ht="12.75" x14ac:dyDescent="0.2">
      <c r="A1078" s="151"/>
      <c r="B1078" s="151"/>
      <c r="C1078" s="148"/>
      <c r="D1078" s="149" t="s">
        <v>239</v>
      </c>
      <c r="E1078" s="165"/>
      <c r="F1078" s="150"/>
      <c r="G1078" s="147"/>
      <c r="H1078" s="147">
        <v>30100</v>
      </c>
      <c r="I1078" s="152">
        <f>H1078/H1080</f>
        <v>0.83925832984804127</v>
      </c>
      <c r="J1078" s="153" t="s">
        <v>239</v>
      </c>
      <c r="K1078" s="139"/>
    </row>
    <row r="1079" spans="1:11" ht="12.75" x14ac:dyDescent="0.2">
      <c r="A1079" s="151"/>
      <c r="B1079" s="151"/>
      <c r="C1079" s="148"/>
      <c r="D1079" s="149" t="s">
        <v>240</v>
      </c>
      <c r="E1079" s="165"/>
      <c r="F1079" s="150"/>
      <c r="G1079" s="147"/>
      <c r="H1079" s="147">
        <v>5765</v>
      </c>
      <c r="I1079" s="152">
        <f>H1079/H1080</f>
        <v>0.16074167015195873</v>
      </c>
      <c r="J1079" s="153"/>
      <c r="K1079" s="139"/>
    </row>
    <row r="1080" spans="1:11" ht="12.75" x14ac:dyDescent="0.2">
      <c r="A1080" s="151"/>
      <c r="B1080" s="151"/>
      <c r="C1080" s="148"/>
      <c r="D1080" s="148" t="s">
        <v>33</v>
      </c>
      <c r="E1080" s="165"/>
      <c r="F1080" s="150"/>
      <c r="G1080" s="147"/>
      <c r="H1080" s="155">
        <f>SUM(H1078:H1079)</f>
        <v>35865</v>
      </c>
      <c r="I1080" s="156">
        <f>SUM(I1077:I1079)</f>
        <v>1</v>
      </c>
      <c r="J1080" s="151"/>
      <c r="K1080" s="139"/>
    </row>
    <row r="1081" spans="1:11" ht="12.75" x14ac:dyDescent="0.2">
      <c r="A1081" s="147"/>
      <c r="B1081" s="147"/>
      <c r="C1081" s="169"/>
      <c r="D1081" s="148"/>
      <c r="E1081" s="165"/>
      <c r="F1081" s="150"/>
      <c r="G1081" s="147"/>
      <c r="H1081" s="147"/>
      <c r="I1081" s="152"/>
      <c r="J1081" s="147"/>
      <c r="K1081" s="139"/>
    </row>
    <row r="1082" spans="1:11" ht="12.75" x14ac:dyDescent="0.2">
      <c r="A1082" s="148" t="s">
        <v>20</v>
      </c>
      <c r="B1082" s="160">
        <v>455</v>
      </c>
      <c r="C1082" s="148" t="s">
        <v>234</v>
      </c>
      <c r="D1082" s="147" t="s">
        <v>432</v>
      </c>
      <c r="E1082" s="204">
        <v>36992</v>
      </c>
      <c r="F1082" s="150">
        <v>2434250</v>
      </c>
      <c r="G1082" s="147">
        <v>15375</v>
      </c>
      <c r="H1082" s="147"/>
      <c r="I1082" s="152"/>
      <c r="J1082" s="147"/>
      <c r="K1082" s="139"/>
    </row>
    <row r="1083" spans="1:11" ht="12.75" x14ac:dyDescent="0.2">
      <c r="A1083" s="147"/>
      <c r="B1083" s="147"/>
      <c r="C1083" s="169"/>
      <c r="D1083" s="149" t="s">
        <v>261</v>
      </c>
      <c r="E1083" s="165"/>
      <c r="F1083" s="150"/>
      <c r="G1083" s="147"/>
      <c r="H1083" s="147">
        <v>7087</v>
      </c>
      <c r="I1083" s="152">
        <f>H1083/H1086</f>
        <v>0.69080807096208208</v>
      </c>
      <c r="J1083" s="151" t="s">
        <v>261</v>
      </c>
      <c r="K1083" s="139"/>
    </row>
    <row r="1084" spans="1:11" ht="12.75" x14ac:dyDescent="0.2">
      <c r="A1084" s="147"/>
      <c r="B1084" s="147"/>
      <c r="C1084" s="169"/>
      <c r="D1084" s="149" t="s">
        <v>293</v>
      </c>
      <c r="E1084" s="165"/>
      <c r="F1084" s="150"/>
      <c r="G1084" s="147"/>
      <c r="H1084" s="147">
        <v>810</v>
      </c>
      <c r="I1084" s="152">
        <f>H1084/H1086</f>
        <v>7.8955063846378792E-2</v>
      </c>
      <c r="J1084" s="151"/>
      <c r="K1084" s="139"/>
    </row>
    <row r="1085" spans="1:11" ht="12.75" x14ac:dyDescent="0.2">
      <c r="A1085" s="147"/>
      <c r="B1085" s="147"/>
      <c r="C1085" s="169"/>
      <c r="D1085" s="149" t="s">
        <v>288</v>
      </c>
      <c r="E1085" s="165"/>
      <c r="F1085" s="150"/>
      <c r="G1085" s="147"/>
      <c r="H1085" s="147">
        <v>2362</v>
      </c>
      <c r="I1085" s="152">
        <f>H1085/H1086</f>
        <v>0.23023686519153913</v>
      </c>
      <c r="J1085" s="153"/>
      <c r="K1085" s="139"/>
    </row>
    <row r="1086" spans="1:11" ht="12.75" x14ac:dyDescent="0.2">
      <c r="A1086" s="147"/>
      <c r="B1086" s="147"/>
      <c r="C1086" s="169"/>
      <c r="D1086" s="148" t="s">
        <v>33</v>
      </c>
      <c r="E1086" s="165"/>
      <c r="F1086" s="150"/>
      <c r="G1086" s="147"/>
      <c r="H1086" s="155">
        <f>SUM(H1083:H1085)</f>
        <v>10259</v>
      </c>
      <c r="I1086" s="156">
        <f>SUM(I1083:I1085)</f>
        <v>1</v>
      </c>
      <c r="J1086" s="147"/>
      <c r="K1086" s="139"/>
    </row>
    <row r="1087" spans="1:11" ht="12.75" x14ac:dyDescent="0.2">
      <c r="A1087" s="147"/>
      <c r="B1087" s="147"/>
      <c r="C1087" s="169"/>
      <c r="D1087" s="148"/>
      <c r="E1087" s="165"/>
      <c r="F1087" s="150"/>
      <c r="G1087" s="147"/>
      <c r="H1087" s="147"/>
      <c r="I1087" s="152"/>
      <c r="J1087" s="147"/>
      <c r="K1087" s="139"/>
    </row>
    <row r="1088" spans="1:11" ht="12.75" x14ac:dyDescent="0.2">
      <c r="A1088" s="148" t="s">
        <v>20</v>
      </c>
      <c r="B1088" s="160">
        <v>456</v>
      </c>
      <c r="C1088" s="148" t="s">
        <v>234</v>
      </c>
      <c r="D1088" s="147" t="s">
        <v>433</v>
      </c>
      <c r="E1088" s="204">
        <v>36984</v>
      </c>
      <c r="F1088" s="150">
        <v>2247520</v>
      </c>
      <c r="G1088" s="147">
        <v>16285</v>
      </c>
      <c r="H1088" s="147"/>
      <c r="I1088" s="152"/>
      <c r="J1088" s="147"/>
      <c r="K1088" s="139"/>
    </row>
    <row r="1089" spans="1:11" ht="12.75" x14ac:dyDescent="0.2">
      <c r="A1089" s="147"/>
      <c r="B1089" s="147"/>
      <c r="C1089" s="169"/>
      <c r="D1089" s="149" t="s">
        <v>261</v>
      </c>
      <c r="E1089" s="165"/>
      <c r="F1089" s="150"/>
      <c r="G1089" s="147"/>
      <c r="H1089" s="147">
        <v>5610</v>
      </c>
      <c r="I1089" s="152">
        <f>H1089/H1093</f>
        <v>0.51609935602575896</v>
      </c>
      <c r="J1089" s="151" t="s">
        <v>261</v>
      </c>
      <c r="K1089" s="139"/>
    </row>
    <row r="1090" spans="1:11" ht="12.75" x14ac:dyDescent="0.2">
      <c r="A1090" s="147"/>
      <c r="B1090" s="147"/>
      <c r="C1090" s="169"/>
      <c r="D1090" s="149" t="s">
        <v>290</v>
      </c>
      <c r="E1090" s="165"/>
      <c r="F1090" s="150"/>
      <c r="G1090" s="147"/>
      <c r="H1090" s="147">
        <v>1184</v>
      </c>
      <c r="I1090" s="152">
        <f>H1090/H1093</f>
        <v>0.10892364305427783</v>
      </c>
      <c r="J1090" s="151"/>
      <c r="K1090" s="139"/>
    </row>
    <row r="1091" spans="1:11" ht="12.75" x14ac:dyDescent="0.2">
      <c r="A1091" s="147"/>
      <c r="B1091" s="147"/>
      <c r="C1091" s="169"/>
      <c r="D1091" s="149" t="s">
        <v>284</v>
      </c>
      <c r="E1091" s="165"/>
      <c r="F1091" s="150"/>
      <c r="G1091" s="147"/>
      <c r="H1091" s="147">
        <v>200</v>
      </c>
      <c r="I1091" s="152">
        <f>H1091/H1093</f>
        <v>1.8399264029438821E-2</v>
      </c>
      <c r="J1091" s="151"/>
      <c r="K1091" s="139"/>
    </row>
    <row r="1092" spans="1:11" ht="12.75" x14ac:dyDescent="0.2">
      <c r="A1092" s="147"/>
      <c r="B1092" s="147"/>
      <c r="C1092" s="169"/>
      <c r="D1092" s="149" t="s">
        <v>288</v>
      </c>
      <c r="E1092" s="165"/>
      <c r="F1092" s="150"/>
      <c r="G1092" s="147"/>
      <c r="H1092" s="147">
        <v>3876</v>
      </c>
      <c r="I1092" s="152">
        <f>H1092/H1093</f>
        <v>0.35657773689052435</v>
      </c>
      <c r="J1092" s="153"/>
      <c r="K1092" s="139"/>
    </row>
    <row r="1093" spans="1:11" ht="12.75" x14ac:dyDescent="0.2">
      <c r="A1093" s="147"/>
      <c r="B1093" s="147"/>
      <c r="C1093" s="169"/>
      <c r="D1093" s="148" t="s">
        <v>33</v>
      </c>
      <c r="E1093" s="165"/>
      <c r="F1093" s="150"/>
      <c r="G1093" s="147"/>
      <c r="H1093" s="155">
        <f>SUM(H1089:H1092)</f>
        <v>10870</v>
      </c>
      <c r="I1093" s="156">
        <f>SUM(I1089:I1092)</f>
        <v>1</v>
      </c>
      <c r="J1093" s="147"/>
      <c r="K1093" s="139"/>
    </row>
    <row r="1094" spans="1:11" ht="12.75" x14ac:dyDescent="0.2">
      <c r="A1094" s="147"/>
      <c r="B1094" s="147"/>
      <c r="C1094" s="169"/>
      <c r="D1094" s="148"/>
      <c r="E1094" s="165"/>
      <c r="F1094" s="150"/>
      <c r="G1094" s="147"/>
      <c r="H1094" s="147"/>
      <c r="I1094" s="152"/>
      <c r="J1094" s="147"/>
      <c r="K1094" s="139"/>
    </row>
    <row r="1095" spans="1:11" ht="12.75" x14ac:dyDescent="0.2">
      <c r="A1095" s="148" t="s">
        <v>20</v>
      </c>
      <c r="B1095" s="160">
        <v>464</v>
      </c>
      <c r="C1095" s="148" t="s">
        <v>289</v>
      </c>
      <c r="D1095" s="147" t="s">
        <v>434</v>
      </c>
      <c r="E1095" s="204">
        <v>37127</v>
      </c>
      <c r="F1095" s="150">
        <v>8837408</v>
      </c>
      <c r="G1095" s="147">
        <v>68094</v>
      </c>
      <c r="H1095" s="147"/>
      <c r="I1095" s="152"/>
      <c r="J1095" s="147"/>
      <c r="K1095" s="139"/>
    </row>
    <row r="1096" spans="1:11" ht="12.75" x14ac:dyDescent="0.2">
      <c r="A1096" s="147"/>
      <c r="B1096" s="147"/>
      <c r="C1096" s="169"/>
      <c r="D1096" s="149" t="s">
        <v>261</v>
      </c>
      <c r="E1096" s="165"/>
      <c r="F1096" s="150"/>
      <c r="G1096" s="147"/>
      <c r="H1096" s="147">
        <v>15771</v>
      </c>
      <c r="I1096" s="152">
        <f>H1096/H1100</f>
        <v>0.34740946338884482</v>
      </c>
      <c r="J1096" s="151" t="s">
        <v>261</v>
      </c>
      <c r="K1096" s="139"/>
    </row>
    <row r="1097" spans="1:11" ht="12.75" x14ac:dyDescent="0.2">
      <c r="A1097" s="147"/>
      <c r="B1097" s="147"/>
      <c r="C1097" s="169"/>
      <c r="D1097" s="149" t="s">
        <v>290</v>
      </c>
      <c r="E1097" s="165"/>
      <c r="F1097" s="150"/>
      <c r="G1097" s="147"/>
      <c r="H1097" s="147">
        <v>10245</v>
      </c>
      <c r="I1097" s="152">
        <f>H1097/H1100</f>
        <v>0.22568067671160455</v>
      </c>
      <c r="J1097" s="151"/>
      <c r="K1097" s="139"/>
    </row>
    <row r="1098" spans="1:11" ht="12.75" x14ac:dyDescent="0.2">
      <c r="A1098" s="147"/>
      <c r="B1098" s="147"/>
      <c r="C1098" s="169"/>
      <c r="D1098" s="149" t="s">
        <v>291</v>
      </c>
      <c r="E1098" s="165"/>
      <c r="F1098" s="150"/>
      <c r="G1098" s="147"/>
      <c r="H1098" s="147">
        <v>5000</v>
      </c>
      <c r="I1098" s="152">
        <f>H1098/H1100</f>
        <v>0.1101418627191823</v>
      </c>
      <c r="J1098" s="151"/>
      <c r="K1098" s="139"/>
    </row>
    <row r="1099" spans="1:11" ht="12.75" x14ac:dyDescent="0.2">
      <c r="A1099" s="147"/>
      <c r="B1099" s="147"/>
      <c r="C1099" s="169"/>
      <c r="D1099" s="149" t="s">
        <v>288</v>
      </c>
      <c r="E1099" s="165"/>
      <c r="F1099" s="150"/>
      <c r="G1099" s="147"/>
      <c r="H1099" s="147">
        <v>14380</v>
      </c>
      <c r="I1099" s="152">
        <f>H1099/H1100</f>
        <v>0.3167679971803683</v>
      </c>
      <c r="J1099" s="153" t="s">
        <v>288</v>
      </c>
      <c r="K1099" s="139"/>
    </row>
    <row r="1100" spans="1:11" ht="12.75" x14ac:dyDescent="0.2">
      <c r="A1100" s="147"/>
      <c r="B1100" s="147"/>
      <c r="C1100" s="169"/>
      <c r="D1100" s="148" t="s">
        <v>33</v>
      </c>
      <c r="E1100" s="165"/>
      <c r="F1100" s="150"/>
      <c r="G1100" s="147"/>
      <c r="H1100" s="155">
        <f>SUM(H1096:H1099)</f>
        <v>45396</v>
      </c>
      <c r="I1100" s="156">
        <f>SUM(I1096:I1099)</f>
        <v>1</v>
      </c>
      <c r="J1100" s="147"/>
      <c r="K1100" s="139"/>
    </row>
    <row r="1101" spans="1:11" ht="12.75" x14ac:dyDescent="0.2">
      <c r="A1101" s="147"/>
      <c r="B1101" s="147"/>
      <c r="C1101" s="169"/>
      <c r="D1101" s="148"/>
      <c r="E1101" s="165"/>
      <c r="F1101" s="150"/>
      <c r="G1101" s="166"/>
      <c r="H1101" s="147"/>
      <c r="I1101" s="152"/>
      <c r="J1101" s="147"/>
      <c r="K1101" s="139"/>
    </row>
    <row r="1102" spans="1:11" ht="12.75" x14ac:dyDescent="0.2">
      <c r="A1102" s="148" t="s">
        <v>20</v>
      </c>
      <c r="B1102" s="160">
        <v>501</v>
      </c>
      <c r="C1102" s="148" t="s">
        <v>501</v>
      </c>
      <c r="D1102" s="147" t="s">
        <v>420</v>
      </c>
      <c r="E1102" s="204">
        <v>38200</v>
      </c>
      <c r="F1102" s="150">
        <v>18989000</v>
      </c>
      <c r="G1102" s="147">
        <v>114000</v>
      </c>
      <c r="H1102" s="147"/>
      <c r="I1102" s="152"/>
      <c r="J1102" s="147"/>
      <c r="K1102" s="139"/>
    </row>
    <row r="1103" spans="1:11" ht="12.75" x14ac:dyDescent="0.2">
      <c r="A1103" s="147"/>
      <c r="B1103" s="147"/>
      <c r="C1103" s="169"/>
      <c r="D1103" s="149" t="s">
        <v>261</v>
      </c>
      <c r="E1103" s="165"/>
      <c r="F1103" s="150"/>
      <c r="G1103" s="147"/>
      <c r="H1103" s="147">
        <v>13986</v>
      </c>
      <c r="I1103" s="152">
        <f>H1103/H1109</f>
        <v>0.18532112523022698</v>
      </c>
      <c r="J1103" s="151"/>
      <c r="K1103" s="139"/>
    </row>
    <row r="1104" spans="1:11" ht="12.75" x14ac:dyDescent="0.2">
      <c r="A1104" s="147"/>
      <c r="B1104" s="147"/>
      <c r="C1104" s="169"/>
      <c r="D1104" s="149" t="s">
        <v>239</v>
      </c>
      <c r="E1104" s="165"/>
      <c r="F1104" s="150"/>
      <c r="G1104" s="147"/>
      <c r="H1104" s="147">
        <v>24713</v>
      </c>
      <c r="I1104" s="152">
        <f>H1104/H1109</f>
        <v>0.32745895665770053</v>
      </c>
      <c r="J1104" s="151" t="s">
        <v>239</v>
      </c>
      <c r="K1104" s="139"/>
    </row>
    <row r="1105" spans="1:11" ht="12.75" x14ac:dyDescent="0.2">
      <c r="A1105" s="147"/>
      <c r="B1105" s="147"/>
      <c r="C1105" s="169"/>
      <c r="D1105" s="149" t="s">
        <v>284</v>
      </c>
      <c r="E1105" s="165"/>
      <c r="F1105" s="150"/>
      <c r="G1105" s="147"/>
      <c r="H1105" s="147">
        <v>7306</v>
      </c>
      <c r="I1105" s="152">
        <f>H1105/H1109</f>
        <v>9.6807960884601627E-2</v>
      </c>
      <c r="J1105" s="147"/>
      <c r="K1105" s="139"/>
    </row>
    <row r="1106" spans="1:11" ht="12.75" x14ac:dyDescent="0.2">
      <c r="A1106" s="147"/>
      <c r="B1106" s="147"/>
      <c r="C1106" s="169"/>
      <c r="D1106" s="149" t="s">
        <v>262</v>
      </c>
      <c r="E1106" s="165"/>
      <c r="F1106" s="150"/>
      <c r="G1106" s="147"/>
      <c r="H1106" s="147">
        <v>1350</v>
      </c>
      <c r="I1106" s="152">
        <f>H1106/H1109</f>
        <v>1.7888139500987159E-2</v>
      </c>
      <c r="J1106" s="151"/>
      <c r="K1106" s="139"/>
    </row>
    <row r="1107" spans="1:11" ht="12.75" x14ac:dyDescent="0.2">
      <c r="A1107" s="147"/>
      <c r="B1107" s="147"/>
      <c r="C1107" s="169"/>
      <c r="D1107" s="149" t="s">
        <v>293</v>
      </c>
      <c r="E1107" s="165"/>
      <c r="F1107" s="150"/>
      <c r="G1107" s="147"/>
      <c r="H1107" s="147">
        <v>9480</v>
      </c>
      <c r="I1107" s="152">
        <f>H1107/H1109</f>
        <v>0.12561449071804318</v>
      </c>
      <c r="J1107" s="151"/>
      <c r="K1107" s="139"/>
    </row>
    <row r="1108" spans="1:11" ht="12.75" x14ac:dyDescent="0.2">
      <c r="A1108" s="147"/>
      <c r="B1108" s="147"/>
      <c r="C1108" s="169"/>
      <c r="D1108" s="149" t="s">
        <v>288</v>
      </c>
      <c r="E1108" s="165"/>
      <c r="F1108" s="150"/>
      <c r="G1108" s="147"/>
      <c r="H1108" s="147">
        <v>18634</v>
      </c>
      <c r="I1108" s="152">
        <f>H1108/H1109</f>
        <v>0.24690932700844057</v>
      </c>
      <c r="J1108" s="151"/>
      <c r="K1108" s="139"/>
    </row>
    <row r="1109" spans="1:11" ht="12.75" x14ac:dyDescent="0.2">
      <c r="A1109" s="147"/>
      <c r="B1109" s="147"/>
      <c r="C1109" s="169"/>
      <c r="D1109" s="148" t="s">
        <v>33</v>
      </c>
      <c r="E1109" s="165"/>
      <c r="F1109" s="150"/>
      <c r="G1109" s="147"/>
      <c r="H1109" s="155">
        <f>SUM(H1103:H1108)</f>
        <v>75469</v>
      </c>
      <c r="I1109" s="156">
        <f>SUM(I1103:I1108)</f>
        <v>1</v>
      </c>
      <c r="J1109" s="147"/>
      <c r="K1109" s="139"/>
    </row>
    <row r="1110" spans="1:11" ht="12.75" x14ac:dyDescent="0.2">
      <c r="A1110" s="147"/>
      <c r="B1110" s="147"/>
      <c r="C1110" s="169"/>
      <c r="D1110" s="148"/>
      <c r="E1110" s="165"/>
      <c r="F1110" s="150"/>
      <c r="G1110" s="166"/>
      <c r="H1110" s="147"/>
      <c r="I1110" s="152"/>
      <c r="J1110" s="147"/>
      <c r="K1110" s="139"/>
    </row>
    <row r="1111" spans="1:11" ht="12.75" x14ac:dyDescent="0.2">
      <c r="A1111" s="148" t="s">
        <v>20</v>
      </c>
      <c r="B1111" s="160">
        <v>502</v>
      </c>
      <c r="C1111" s="148" t="s">
        <v>289</v>
      </c>
      <c r="D1111" s="147" t="s">
        <v>503</v>
      </c>
      <c r="E1111" s="204">
        <v>38200</v>
      </c>
      <c r="F1111" s="150">
        <v>8202529</v>
      </c>
      <c r="G1111" s="147">
        <v>48725</v>
      </c>
      <c r="H1111" s="147"/>
      <c r="I1111" s="152"/>
      <c r="J1111" s="147"/>
      <c r="K1111" s="139"/>
    </row>
    <row r="1112" spans="1:11" ht="12.75" x14ac:dyDescent="0.2">
      <c r="A1112" s="147"/>
      <c r="B1112" s="147"/>
      <c r="C1112" s="169"/>
      <c r="D1112" s="149" t="s">
        <v>261</v>
      </c>
      <c r="E1112" s="165"/>
      <c r="F1112" s="150"/>
      <c r="G1112" s="147"/>
      <c r="H1112" s="147">
        <v>1200</v>
      </c>
      <c r="I1112" s="152">
        <f>H1112/H$1115</f>
        <v>3.7209302325581395E-2</v>
      </c>
      <c r="J1112" s="151"/>
      <c r="K1112" s="139"/>
    </row>
    <row r="1113" spans="1:11" ht="12.75" x14ac:dyDescent="0.2">
      <c r="A1113" s="147"/>
      <c r="B1113" s="147"/>
      <c r="C1113" s="169"/>
      <c r="D1113" s="149" t="s">
        <v>284</v>
      </c>
      <c r="E1113" s="165"/>
      <c r="F1113" s="150"/>
      <c r="G1113" s="147"/>
      <c r="H1113" s="147">
        <v>4050</v>
      </c>
      <c r="I1113" s="152">
        <f>H1113/H$1115</f>
        <v>0.12558139534883722</v>
      </c>
      <c r="J1113" s="151"/>
      <c r="K1113" s="139"/>
    </row>
    <row r="1114" spans="1:11" ht="12.75" x14ac:dyDescent="0.2">
      <c r="A1114" s="147"/>
      <c r="B1114" s="147"/>
      <c r="C1114" s="169"/>
      <c r="D1114" s="149" t="s">
        <v>288</v>
      </c>
      <c r="E1114" s="165"/>
      <c r="F1114" s="150"/>
      <c r="G1114" s="147"/>
      <c r="H1114" s="147">
        <v>27000</v>
      </c>
      <c r="I1114" s="152">
        <f>H1114/H$1115</f>
        <v>0.83720930232558144</v>
      </c>
      <c r="J1114" s="153" t="s">
        <v>288</v>
      </c>
      <c r="K1114" s="139"/>
    </row>
    <row r="1115" spans="1:11" ht="12.75" x14ac:dyDescent="0.2">
      <c r="A1115" s="147"/>
      <c r="B1115" s="147"/>
      <c r="C1115" s="169"/>
      <c r="D1115" s="148" t="s">
        <v>33</v>
      </c>
      <c r="E1115" s="165"/>
      <c r="F1115" s="150"/>
      <c r="G1115" s="147"/>
      <c r="H1115" s="155">
        <f>SUM(H1112:H1114)</f>
        <v>32250</v>
      </c>
      <c r="I1115" s="156">
        <f>SUM(I1112:I1114)</f>
        <v>1</v>
      </c>
      <c r="J1115" s="147"/>
      <c r="K1115" s="139"/>
    </row>
    <row r="1116" spans="1:11" ht="12.75" x14ac:dyDescent="0.2">
      <c r="A1116" s="147"/>
      <c r="B1116" s="147"/>
      <c r="C1116" s="169"/>
      <c r="D1116" s="148"/>
      <c r="E1116" s="165"/>
      <c r="F1116" s="150"/>
      <c r="G1116" s="147"/>
      <c r="H1116" s="147"/>
      <c r="I1116" s="152"/>
      <c r="J1116" s="147"/>
      <c r="K1116" s="139"/>
    </row>
    <row r="1117" spans="1:11" ht="12.75" x14ac:dyDescent="0.2">
      <c r="A1117" s="148" t="s">
        <v>20</v>
      </c>
      <c r="B1117" s="192" t="s">
        <v>504</v>
      </c>
      <c r="C1117" s="148" t="s">
        <v>289</v>
      </c>
      <c r="D1117" s="147" t="s">
        <v>469</v>
      </c>
      <c r="E1117" s="204">
        <v>38200</v>
      </c>
      <c r="F1117" s="150">
        <v>4980614</v>
      </c>
      <c r="G1117" s="147">
        <v>17983</v>
      </c>
      <c r="H1117" s="147"/>
      <c r="I1117" s="152"/>
      <c r="J1117" s="147"/>
      <c r="K1117" s="139"/>
    </row>
    <row r="1118" spans="1:11" ht="12.75" x14ac:dyDescent="0.2">
      <c r="A1118" s="147"/>
      <c r="B1118" s="147"/>
      <c r="C1118" s="169"/>
      <c r="D1118" s="149" t="s">
        <v>239</v>
      </c>
      <c r="E1118" s="165"/>
      <c r="F1118" s="150"/>
      <c r="G1118" s="147"/>
      <c r="H1118" s="147">
        <v>750</v>
      </c>
      <c r="I1118" s="152">
        <f>H1118/H$1122</f>
        <v>5.6429162591227149E-2</v>
      </c>
      <c r="J1118" s="151"/>
      <c r="K1118" s="139"/>
    </row>
    <row r="1119" spans="1:11" ht="12.75" x14ac:dyDescent="0.2">
      <c r="A1119" s="147"/>
      <c r="B1119" s="147"/>
      <c r="C1119" s="169"/>
      <c r="D1119" s="149" t="s">
        <v>262</v>
      </c>
      <c r="E1119" s="165"/>
      <c r="F1119" s="150"/>
      <c r="G1119" s="147"/>
      <c r="H1119" s="147">
        <v>6156</v>
      </c>
      <c r="I1119" s="152">
        <f>H1119/H$1122</f>
        <v>0.46317056654879241</v>
      </c>
      <c r="J1119" s="153" t="s">
        <v>262</v>
      </c>
      <c r="K1119" s="139"/>
    </row>
    <row r="1120" spans="1:11" ht="12.75" x14ac:dyDescent="0.2">
      <c r="A1120" s="147"/>
      <c r="B1120" s="147"/>
      <c r="C1120" s="193"/>
      <c r="D1120" s="149" t="s">
        <v>479</v>
      </c>
      <c r="E1120" s="165"/>
      <c r="F1120" s="150"/>
      <c r="G1120" s="147"/>
      <c r="H1120" s="147">
        <v>105</v>
      </c>
      <c r="I1120" s="152">
        <f>H1120/H$1122</f>
        <v>7.9000827627717998E-3</v>
      </c>
      <c r="J1120" s="151"/>
      <c r="K1120" s="139"/>
    </row>
    <row r="1121" spans="1:11" ht="12.75" x14ac:dyDescent="0.2">
      <c r="A1121" s="147"/>
      <c r="B1121" s="147"/>
      <c r="C1121" s="169"/>
      <c r="D1121" s="149" t="s">
        <v>288</v>
      </c>
      <c r="E1121" s="165"/>
      <c r="F1121" s="150"/>
      <c r="G1121" s="147"/>
      <c r="H1121" s="147">
        <v>6280</v>
      </c>
      <c r="I1121" s="152">
        <f>H1121/H$1122</f>
        <v>0.47250018809720862</v>
      </c>
      <c r="J1121" s="153" t="s">
        <v>288</v>
      </c>
      <c r="K1121" s="139"/>
    </row>
    <row r="1122" spans="1:11" ht="12.75" x14ac:dyDescent="0.2">
      <c r="A1122" s="147"/>
      <c r="B1122" s="147"/>
      <c r="C1122" s="169"/>
      <c r="D1122" s="148" t="s">
        <v>33</v>
      </c>
      <c r="E1122" s="165"/>
      <c r="F1122" s="150"/>
      <c r="G1122" s="147"/>
      <c r="H1122" s="155">
        <f>SUM(H1118:H1121)</f>
        <v>13291</v>
      </c>
      <c r="I1122" s="156">
        <f>SUM(I1118:I1121)</f>
        <v>0.99999999999999989</v>
      </c>
      <c r="J1122" s="147"/>
      <c r="K1122" s="139"/>
    </row>
    <row r="1123" spans="1:11" ht="12.75" x14ac:dyDescent="0.2">
      <c r="A1123" s="147"/>
      <c r="B1123" s="147"/>
      <c r="C1123" s="169"/>
      <c r="D1123" s="148"/>
      <c r="E1123" s="165"/>
      <c r="F1123" s="150"/>
      <c r="G1123" s="147"/>
      <c r="H1123" s="147"/>
      <c r="I1123" s="152"/>
      <c r="J1123" s="147"/>
      <c r="K1123" s="139"/>
    </row>
    <row r="1124" spans="1:11" ht="12.75" x14ac:dyDescent="0.2">
      <c r="A1124" s="148" t="s">
        <v>20</v>
      </c>
      <c r="B1124" s="160">
        <v>504</v>
      </c>
      <c r="C1124" s="148" t="s">
        <v>289</v>
      </c>
      <c r="D1124" s="147" t="s">
        <v>514</v>
      </c>
      <c r="E1124" s="204">
        <v>38534</v>
      </c>
      <c r="F1124" s="194">
        <v>12710930</v>
      </c>
      <c r="G1124" s="147">
        <v>76257</v>
      </c>
      <c r="H1124" s="147"/>
      <c r="I1124" s="152"/>
      <c r="J1124" s="147"/>
      <c r="K1124" s="139"/>
    </row>
    <row r="1125" spans="1:11" ht="12.75" x14ac:dyDescent="0.2">
      <c r="A1125" s="147"/>
      <c r="B1125" s="147"/>
      <c r="C1125" s="169"/>
      <c r="D1125" s="149" t="s">
        <v>261</v>
      </c>
      <c r="E1125" s="165"/>
      <c r="F1125" s="150"/>
      <c r="G1125" s="147"/>
      <c r="H1125" s="161">
        <v>9028</v>
      </c>
      <c r="I1125" s="152">
        <f>H1125/H1131</f>
        <v>0.18088196990643346</v>
      </c>
      <c r="J1125" s="151"/>
      <c r="K1125" s="139"/>
    </row>
    <row r="1126" spans="1:11" ht="12.75" x14ac:dyDescent="0.2">
      <c r="A1126" s="147"/>
      <c r="B1126" s="147"/>
      <c r="C1126" s="169"/>
      <c r="D1126" s="149" t="s">
        <v>238</v>
      </c>
      <c r="E1126" s="165"/>
      <c r="F1126" s="150"/>
      <c r="G1126" s="147"/>
      <c r="H1126" s="161">
        <v>2962</v>
      </c>
      <c r="I1126" s="152">
        <f>H1126/H1131</f>
        <v>5.9345635230710667E-2</v>
      </c>
      <c r="J1126" s="147"/>
      <c r="K1126" s="139"/>
    </row>
    <row r="1127" spans="1:11" ht="12.75" x14ac:dyDescent="0.2">
      <c r="A1127" s="147"/>
      <c r="B1127" s="147"/>
      <c r="C1127" s="169"/>
      <c r="D1127" s="149" t="s">
        <v>239</v>
      </c>
      <c r="E1127" s="165"/>
      <c r="F1127" s="150"/>
      <c r="G1127" s="147"/>
      <c r="H1127" s="161">
        <v>13647</v>
      </c>
      <c r="I1127" s="152">
        <f>H1127/H1131</f>
        <v>0.27342669952515475</v>
      </c>
      <c r="J1127" s="151"/>
      <c r="K1127" s="139"/>
    </row>
    <row r="1128" spans="1:11" ht="12.75" x14ac:dyDescent="0.2">
      <c r="A1128" s="147"/>
      <c r="B1128" s="147"/>
      <c r="C1128" s="169"/>
      <c r="D1128" s="149" t="s">
        <v>284</v>
      </c>
      <c r="E1128" s="165"/>
      <c r="F1128" s="150"/>
      <c r="G1128" s="147"/>
      <c r="H1128" s="161">
        <v>1102</v>
      </c>
      <c r="I1128" s="152">
        <f>H1128/H1131</f>
        <v>2.2079301156057784E-2</v>
      </c>
      <c r="J1128" s="151"/>
      <c r="K1128" s="139"/>
    </row>
    <row r="1129" spans="1:11" ht="12.75" x14ac:dyDescent="0.2">
      <c r="A1129" s="147"/>
      <c r="B1129" s="147"/>
      <c r="C1129" s="169"/>
      <c r="D1129" s="149" t="s">
        <v>293</v>
      </c>
      <c r="E1129" s="165"/>
      <c r="F1129" s="150"/>
      <c r="G1129" s="147"/>
      <c r="H1129" s="161">
        <v>615</v>
      </c>
      <c r="I1129" s="152">
        <f>H1129/H1131</f>
        <v>1.2321933040812647E-2</v>
      </c>
      <c r="J1129" s="151"/>
      <c r="K1129" s="139"/>
    </row>
    <row r="1130" spans="1:11" ht="12.75" x14ac:dyDescent="0.2">
      <c r="A1130" s="147"/>
      <c r="B1130" s="147"/>
      <c r="C1130" s="169"/>
      <c r="D1130" s="149" t="s">
        <v>288</v>
      </c>
      <c r="E1130" s="214"/>
      <c r="F1130" s="150"/>
      <c r="G1130" s="147"/>
      <c r="H1130" s="161">
        <v>22557</v>
      </c>
      <c r="I1130" s="152">
        <f>H1130/H1131</f>
        <v>0.4519444611408307</v>
      </c>
      <c r="J1130" s="153" t="s">
        <v>288</v>
      </c>
      <c r="K1130" s="139"/>
    </row>
    <row r="1131" spans="1:11" ht="12.75" x14ac:dyDescent="0.2">
      <c r="A1131" s="147"/>
      <c r="B1131" s="147"/>
      <c r="C1131" s="169"/>
      <c r="D1131" s="148" t="s">
        <v>33</v>
      </c>
      <c r="E1131" s="165"/>
      <c r="F1131" s="150"/>
      <c r="G1131" s="147"/>
      <c r="H1131" s="155">
        <f>SUM(H1125:H1130)</f>
        <v>49911</v>
      </c>
      <c r="I1131" s="156">
        <f>SUM(I1125:I1130)</f>
        <v>1</v>
      </c>
      <c r="J1131" s="147"/>
      <c r="K1131" s="139"/>
    </row>
    <row r="1132" spans="1:11" ht="12.75" x14ac:dyDescent="0.2">
      <c r="A1132" s="147"/>
      <c r="B1132" s="147"/>
      <c r="C1132" s="169"/>
      <c r="D1132" s="148"/>
      <c r="E1132" s="165"/>
      <c r="F1132" s="150"/>
      <c r="G1132" s="147"/>
      <c r="H1132" s="147"/>
      <c r="I1132" s="152"/>
      <c r="J1132" s="147"/>
      <c r="K1132" s="139"/>
    </row>
    <row r="1133" spans="1:11" ht="12.75" x14ac:dyDescent="0.2">
      <c r="A1133" s="148" t="s">
        <v>20</v>
      </c>
      <c r="B1133" s="160">
        <v>513</v>
      </c>
      <c r="C1133" s="148" t="s">
        <v>289</v>
      </c>
      <c r="D1133" s="147" t="s">
        <v>544</v>
      </c>
      <c r="E1133" s="204">
        <v>39234</v>
      </c>
      <c r="F1133" s="150">
        <v>69170675</v>
      </c>
      <c r="G1133" s="147">
        <v>199269</v>
      </c>
      <c r="H1133" s="147"/>
      <c r="I1133" s="152"/>
      <c r="J1133" s="147"/>
      <c r="K1133" s="139"/>
    </row>
    <row r="1134" spans="1:11" ht="12.75" x14ac:dyDescent="0.2">
      <c r="A1134" s="147"/>
      <c r="B1134" s="147"/>
      <c r="C1134" s="169"/>
      <c r="D1134" s="149" t="s">
        <v>239</v>
      </c>
      <c r="E1134" s="165"/>
      <c r="F1134" s="150"/>
      <c r="G1134" s="147"/>
      <c r="H1134" s="147">
        <v>55087</v>
      </c>
      <c r="I1134" s="152">
        <f>H1134/H$1137</f>
        <v>0.49349613889237276</v>
      </c>
      <c r="J1134" s="151" t="s">
        <v>239</v>
      </c>
      <c r="K1134" s="139"/>
    </row>
    <row r="1135" spans="1:11" ht="12.75" x14ac:dyDescent="0.2">
      <c r="A1135" s="147"/>
      <c r="B1135" s="147"/>
      <c r="C1135" s="169"/>
      <c r="D1135" s="149" t="s">
        <v>288</v>
      </c>
      <c r="E1135" s="165"/>
      <c r="F1135" s="150"/>
      <c r="G1135" s="147"/>
      <c r="H1135" s="147">
        <v>27478</v>
      </c>
      <c r="I1135" s="152">
        <f>H1135/H$1137</f>
        <v>0.24616128858868006</v>
      </c>
      <c r="J1135" s="151"/>
      <c r="K1135" s="139"/>
    </row>
    <row r="1136" spans="1:11" ht="12.75" x14ac:dyDescent="0.2">
      <c r="A1136" s="147"/>
      <c r="B1136" s="147"/>
      <c r="C1136" s="169"/>
      <c r="D1136" s="149" t="s">
        <v>292</v>
      </c>
      <c r="E1136" s="165"/>
      <c r="F1136" s="150"/>
      <c r="G1136" s="147"/>
      <c r="H1136" s="147">
        <v>29061</v>
      </c>
      <c r="I1136" s="152">
        <f>H1136/H$1137</f>
        <v>0.26034257251894721</v>
      </c>
      <c r="J1136" s="153"/>
      <c r="K1136" s="139"/>
    </row>
    <row r="1137" spans="1:17" ht="12.75" x14ac:dyDescent="0.2">
      <c r="A1137" s="147"/>
      <c r="B1137" s="147"/>
      <c r="C1137" s="169"/>
      <c r="D1137" s="148" t="s">
        <v>33</v>
      </c>
      <c r="E1137" s="165"/>
      <c r="F1137" s="150"/>
      <c r="G1137" s="147"/>
      <c r="H1137" s="155">
        <f>SUM(H1134:H1136)</f>
        <v>111626</v>
      </c>
      <c r="I1137" s="156">
        <f>SUM(I1134:I1136)</f>
        <v>1</v>
      </c>
      <c r="J1137" s="147"/>
      <c r="K1137" s="139"/>
    </row>
    <row r="1138" spans="1:17" ht="12.75" x14ac:dyDescent="0.2">
      <c r="A1138" s="147"/>
      <c r="B1138" s="147"/>
      <c r="C1138" s="169"/>
      <c r="D1138" s="148"/>
      <c r="E1138" s="165"/>
      <c r="F1138" s="150"/>
      <c r="G1138" s="147"/>
      <c r="H1138" s="147"/>
      <c r="I1138" s="152"/>
      <c r="J1138" s="147"/>
      <c r="K1138" s="139"/>
    </row>
    <row r="1139" spans="1:17" ht="12.75" x14ac:dyDescent="0.2">
      <c r="A1139" s="148" t="s">
        <v>20</v>
      </c>
      <c r="B1139" s="192">
        <v>521</v>
      </c>
      <c r="C1139" s="148" t="s">
        <v>289</v>
      </c>
      <c r="D1139" s="147" t="s">
        <v>115</v>
      </c>
      <c r="E1139" s="204">
        <v>39356</v>
      </c>
      <c r="F1139" s="150">
        <v>18627512</v>
      </c>
      <c r="G1139" s="147">
        <v>57917</v>
      </c>
      <c r="H1139" s="147"/>
      <c r="I1139" s="152"/>
      <c r="J1139" s="147"/>
      <c r="K1139" s="139"/>
    </row>
    <row r="1140" spans="1:17" ht="12.75" x14ac:dyDescent="0.2">
      <c r="A1140" s="147"/>
      <c r="B1140" s="147"/>
      <c r="C1140" s="169"/>
      <c r="D1140" s="149" t="s">
        <v>239</v>
      </c>
      <c r="E1140" s="165"/>
      <c r="F1140" s="150"/>
      <c r="G1140" s="147"/>
      <c r="H1140" s="147">
        <v>20320</v>
      </c>
      <c r="I1140" s="152">
        <f>H1140/H$1144</f>
        <v>0.71076288082829064</v>
      </c>
      <c r="J1140" s="151" t="s">
        <v>239</v>
      </c>
      <c r="K1140" s="139"/>
    </row>
    <row r="1141" spans="1:17" ht="12.75" x14ac:dyDescent="0.2">
      <c r="A1141" s="147"/>
      <c r="B1141" s="147"/>
      <c r="C1141" s="169"/>
      <c r="D1141" s="149" t="s">
        <v>284</v>
      </c>
      <c r="E1141" s="165"/>
      <c r="F1141" s="150"/>
      <c r="G1141" s="147"/>
      <c r="H1141" s="147">
        <v>1749</v>
      </c>
      <c r="I1141" s="152">
        <f>H1141/H$1144</f>
        <v>6.1177375913813004E-2</v>
      </c>
      <c r="J1141" s="153"/>
      <c r="K1141" s="139"/>
    </row>
    <row r="1142" spans="1:17" s="14" customFormat="1" ht="12.75" x14ac:dyDescent="0.2">
      <c r="A1142" s="147"/>
      <c r="B1142" s="147"/>
      <c r="C1142" s="193"/>
      <c r="D1142" s="149" t="s">
        <v>242</v>
      </c>
      <c r="E1142" s="165"/>
      <c r="F1142" s="150"/>
      <c r="G1142" s="147"/>
      <c r="H1142" s="147">
        <v>570</v>
      </c>
      <c r="I1142" s="152">
        <f>H1142/H$1144</f>
        <v>1.9937738290951065E-2</v>
      </c>
      <c r="J1142" s="151"/>
      <c r="K1142" s="139"/>
      <c r="L1142" s="6"/>
      <c r="M1142" s="6"/>
      <c r="N1142" s="6"/>
      <c r="O1142" s="6"/>
      <c r="P1142" s="6"/>
      <c r="Q1142" s="6"/>
    </row>
    <row r="1143" spans="1:17" s="14" customFormat="1" ht="12.75" x14ac:dyDescent="0.2">
      <c r="A1143" s="147"/>
      <c r="B1143" s="147"/>
      <c r="C1143" s="169"/>
      <c r="D1143" s="149" t="s">
        <v>288</v>
      </c>
      <c r="E1143" s="165"/>
      <c r="F1143" s="150"/>
      <c r="G1143" s="147"/>
      <c r="H1143" s="147">
        <v>5950</v>
      </c>
      <c r="I1143" s="152">
        <f>H1143/H$1144</f>
        <v>0.20812200496694533</v>
      </c>
      <c r="J1143" s="153"/>
      <c r="K1143" s="139"/>
      <c r="L1143" s="6"/>
      <c r="M1143" s="6"/>
      <c r="N1143" s="6"/>
      <c r="O1143" s="6"/>
      <c r="P1143" s="6"/>
      <c r="Q1143" s="6"/>
    </row>
    <row r="1144" spans="1:17" s="14" customFormat="1" ht="12.75" x14ac:dyDescent="0.2">
      <c r="A1144" s="147"/>
      <c r="B1144" s="147"/>
      <c r="C1144" s="169"/>
      <c r="D1144" s="148" t="s">
        <v>33</v>
      </c>
      <c r="E1144" s="165"/>
      <c r="F1144" s="150"/>
      <c r="G1144" s="147"/>
      <c r="H1144" s="155">
        <f>SUM(H1140:H1143)</f>
        <v>28589</v>
      </c>
      <c r="I1144" s="156">
        <f>SUM(I1140:I1143)</f>
        <v>1</v>
      </c>
      <c r="J1144" s="147"/>
      <c r="K1144" s="139"/>
      <c r="L1144" s="6"/>
      <c r="M1144" s="6"/>
      <c r="N1144" s="6"/>
      <c r="O1144" s="6"/>
      <c r="P1144" s="6"/>
      <c r="Q1144" s="6"/>
    </row>
    <row r="1145" spans="1:17" s="14" customFormat="1" ht="12.75" x14ac:dyDescent="0.2">
      <c r="A1145" s="147"/>
      <c r="B1145" s="147"/>
      <c r="C1145" s="169"/>
      <c r="D1145" s="148"/>
      <c r="E1145" s="165"/>
      <c r="F1145" s="150"/>
      <c r="G1145" s="147"/>
      <c r="H1145" s="147"/>
      <c r="I1145" s="152"/>
      <c r="J1145" s="147"/>
      <c r="K1145" s="139"/>
      <c r="L1145" s="6"/>
      <c r="M1145" s="6"/>
      <c r="N1145" s="6"/>
      <c r="O1145" s="6"/>
      <c r="P1145" s="6"/>
      <c r="Q1145" s="6"/>
    </row>
    <row r="1146" spans="1:17" s="14" customFormat="1" ht="12.75" x14ac:dyDescent="0.2">
      <c r="A1146" s="148" t="s">
        <v>20</v>
      </c>
      <c r="B1146" s="192">
        <v>530</v>
      </c>
      <c r="C1146" s="148" t="s">
        <v>506</v>
      </c>
      <c r="D1146" s="147" t="s">
        <v>561</v>
      </c>
      <c r="E1146" s="204">
        <v>39630</v>
      </c>
      <c r="F1146" s="150">
        <v>1149466</v>
      </c>
      <c r="G1146" s="147">
        <v>7000</v>
      </c>
      <c r="H1146" s="147"/>
      <c r="I1146" s="152"/>
      <c r="J1146" s="147"/>
      <c r="K1146" s="139"/>
      <c r="L1146" s="6"/>
      <c r="M1146" s="6"/>
      <c r="N1146" s="6"/>
      <c r="O1146" s="6"/>
      <c r="P1146" s="6"/>
      <c r="Q1146" s="6"/>
    </row>
    <row r="1147" spans="1:17" s="14" customFormat="1" ht="12.75" x14ac:dyDescent="0.2">
      <c r="A1147" s="147"/>
      <c r="B1147" s="147"/>
      <c r="C1147" s="169"/>
      <c r="D1147" s="149" t="s">
        <v>239</v>
      </c>
      <c r="E1147" s="165"/>
      <c r="F1147" s="150"/>
      <c r="G1147" s="147"/>
      <c r="H1147" s="147">
        <v>2589</v>
      </c>
      <c r="I1147" s="152">
        <f>H1147/H$1150</f>
        <v>0.52208106473079252</v>
      </c>
      <c r="J1147" s="151" t="s">
        <v>239</v>
      </c>
      <c r="K1147" s="139"/>
      <c r="L1147" s="6"/>
      <c r="M1147" s="6"/>
      <c r="N1147" s="6"/>
      <c r="O1147" s="6"/>
      <c r="P1147" s="6"/>
      <c r="Q1147" s="6"/>
    </row>
    <row r="1148" spans="1:17" s="14" customFormat="1" ht="12.75" x14ac:dyDescent="0.2">
      <c r="A1148" s="147"/>
      <c r="B1148" s="147"/>
      <c r="C1148" s="169"/>
      <c r="D1148" s="149" t="s">
        <v>288</v>
      </c>
      <c r="E1148" s="165"/>
      <c r="F1148" s="150"/>
      <c r="G1148" s="147"/>
      <c r="H1148" s="147">
        <v>820</v>
      </c>
      <c r="I1148" s="152">
        <f>H1148/H$1150</f>
        <v>0.16535591853196208</v>
      </c>
      <c r="J1148" s="147"/>
      <c r="K1148" s="139"/>
      <c r="L1148" s="6"/>
      <c r="M1148" s="6"/>
      <c r="N1148" s="6"/>
      <c r="O1148" s="6"/>
      <c r="P1148" s="6"/>
      <c r="Q1148" s="6"/>
    </row>
    <row r="1149" spans="1:17" s="14" customFormat="1" ht="12.75" x14ac:dyDescent="0.2">
      <c r="A1149" s="147"/>
      <c r="B1149" s="147"/>
      <c r="C1149" s="169"/>
      <c r="D1149" s="149" t="s">
        <v>292</v>
      </c>
      <c r="E1149" s="165"/>
      <c r="F1149" s="150"/>
      <c r="G1149" s="147"/>
      <c r="H1149" s="147">
        <v>1550</v>
      </c>
      <c r="I1149" s="152">
        <f>H1149/H$1150</f>
        <v>0.3125630167372454</v>
      </c>
      <c r="J1149" s="153" t="s">
        <v>292</v>
      </c>
      <c r="K1149" s="139"/>
      <c r="L1149" s="6"/>
      <c r="M1149" s="6"/>
      <c r="N1149" s="6"/>
      <c r="O1149" s="6"/>
      <c r="P1149" s="6"/>
      <c r="Q1149" s="6"/>
    </row>
    <row r="1150" spans="1:17" s="14" customFormat="1" ht="12.75" x14ac:dyDescent="0.2">
      <c r="A1150" s="147"/>
      <c r="B1150" s="147"/>
      <c r="C1150" s="169"/>
      <c r="D1150" s="148" t="s">
        <v>33</v>
      </c>
      <c r="E1150" s="165"/>
      <c r="F1150" s="150"/>
      <c r="G1150" s="147"/>
      <c r="H1150" s="155">
        <f>SUM(H1147:H1149)</f>
        <v>4959</v>
      </c>
      <c r="I1150" s="185">
        <f>SUM(I1147:I1149)</f>
        <v>1</v>
      </c>
      <c r="J1150" s="147"/>
      <c r="K1150" s="139"/>
      <c r="L1150" s="6"/>
      <c r="M1150" s="6"/>
      <c r="N1150" s="6"/>
      <c r="O1150" s="6"/>
      <c r="P1150" s="6"/>
      <c r="Q1150" s="6"/>
    </row>
    <row r="1151" spans="1:17" s="14" customFormat="1" ht="12.75" x14ac:dyDescent="0.2">
      <c r="A1151" s="147"/>
      <c r="B1151" s="147"/>
      <c r="C1151" s="169"/>
      <c r="D1151" s="148"/>
      <c r="E1151" s="165"/>
      <c r="F1151" s="150"/>
      <c r="G1151" s="147"/>
      <c r="H1151" s="147"/>
      <c r="I1151" s="195"/>
      <c r="J1151" s="147"/>
      <c r="K1151" s="139"/>
      <c r="L1151" s="6"/>
      <c r="M1151" s="6"/>
      <c r="N1151" s="6"/>
      <c r="O1151" s="6"/>
      <c r="P1151" s="6"/>
      <c r="Q1151" s="6"/>
    </row>
    <row r="1152" spans="1:17" s="14" customFormat="1" ht="12.75" x14ac:dyDescent="0.2">
      <c r="A1152" s="148" t="s">
        <v>20</v>
      </c>
      <c r="B1152" s="148">
        <v>521</v>
      </c>
      <c r="C1152" s="148" t="s">
        <v>289</v>
      </c>
      <c r="D1152" s="147" t="s">
        <v>565</v>
      </c>
      <c r="E1152" s="165">
        <v>40368</v>
      </c>
      <c r="F1152" s="150">
        <v>19179884</v>
      </c>
      <c r="G1152" s="147">
        <v>74710</v>
      </c>
      <c r="H1152" s="147"/>
      <c r="I1152" s="195"/>
      <c r="J1152" s="147"/>
      <c r="K1152" s="87"/>
    </row>
    <row r="1153" spans="1:17" s="14" customFormat="1" ht="12.75" x14ac:dyDescent="0.2">
      <c r="A1153" s="147"/>
      <c r="B1153" s="147"/>
      <c r="C1153" s="169"/>
      <c r="D1153" s="147" t="s">
        <v>291</v>
      </c>
      <c r="E1153" s="165"/>
      <c r="F1153" s="150"/>
      <c r="G1153" s="147"/>
      <c r="H1153" s="147">
        <v>23835</v>
      </c>
      <c r="I1153" s="183">
        <f>H1153/H1155</f>
        <v>0.65860735009671179</v>
      </c>
      <c r="J1153" s="151" t="s">
        <v>108</v>
      </c>
      <c r="K1153" s="87"/>
    </row>
    <row r="1154" spans="1:17" s="14" customFormat="1" ht="12.75" x14ac:dyDescent="0.2">
      <c r="A1154" s="147"/>
      <c r="B1154" s="147"/>
      <c r="C1154" s="169"/>
      <c r="D1154" s="147" t="s">
        <v>240</v>
      </c>
      <c r="E1154" s="165"/>
      <c r="F1154" s="150"/>
      <c r="G1154" s="147"/>
      <c r="H1154" s="147">
        <v>12355</v>
      </c>
      <c r="I1154" s="183">
        <f>H1154/H1155</f>
        <v>0.34139264990328821</v>
      </c>
      <c r="J1154" s="151" t="s">
        <v>63</v>
      </c>
      <c r="K1154" s="87"/>
    </row>
    <row r="1155" spans="1:17" s="14" customFormat="1" ht="12.75" x14ac:dyDescent="0.2">
      <c r="A1155" s="147"/>
      <c r="B1155" s="147"/>
      <c r="C1155" s="169"/>
      <c r="D1155" s="148" t="s">
        <v>33</v>
      </c>
      <c r="E1155" s="165"/>
      <c r="F1155" s="150"/>
      <c r="G1155" s="147"/>
      <c r="H1155" s="155">
        <f>SUM(H1153:H1154)</f>
        <v>36190</v>
      </c>
      <c r="I1155" s="182">
        <f>SUM(I1153:I1154)</f>
        <v>1</v>
      </c>
      <c r="J1155" s="147"/>
      <c r="K1155" s="87"/>
    </row>
    <row r="1156" spans="1:17" s="14" customFormat="1" ht="12.75" x14ac:dyDescent="0.2">
      <c r="A1156" s="147"/>
      <c r="B1156" s="147"/>
      <c r="C1156" s="169"/>
      <c r="D1156" s="148"/>
      <c r="E1156" s="165"/>
      <c r="F1156" s="150"/>
      <c r="G1156" s="147"/>
      <c r="H1156" s="147"/>
      <c r="I1156" s="195"/>
      <c r="J1156" s="147"/>
      <c r="K1156" s="87"/>
    </row>
    <row r="1157" spans="1:17" s="14" customFormat="1" ht="12.75" x14ac:dyDescent="0.2">
      <c r="A1157" s="147"/>
      <c r="B1157" s="147"/>
      <c r="C1157" s="169"/>
      <c r="D1157" s="148"/>
      <c r="E1157" s="165"/>
      <c r="F1157" s="150"/>
      <c r="G1157" s="147"/>
      <c r="H1157" s="147"/>
      <c r="I1157" s="195"/>
      <c r="J1157" s="147"/>
      <c r="K1157" s="87"/>
    </row>
    <row r="1158" spans="1:17" s="14" customFormat="1" ht="12.75" x14ac:dyDescent="0.2">
      <c r="A1158" s="148" t="s">
        <v>20</v>
      </c>
      <c r="B1158" s="148">
        <v>528</v>
      </c>
      <c r="C1158" s="148" t="s">
        <v>289</v>
      </c>
      <c r="D1158" s="147" t="s">
        <v>566</v>
      </c>
      <c r="E1158" s="165">
        <v>40277</v>
      </c>
      <c r="F1158" s="150">
        <v>19179884</v>
      </c>
      <c r="G1158" s="147">
        <v>77380</v>
      </c>
      <c r="H1158" s="147"/>
      <c r="I1158" s="195"/>
      <c r="J1158" s="147"/>
      <c r="K1158" s="87"/>
    </row>
    <row r="1159" spans="1:17" s="14" customFormat="1" ht="12.75" x14ac:dyDescent="0.2">
      <c r="A1159" s="147"/>
      <c r="B1159" s="147"/>
      <c r="C1159" s="169"/>
      <c r="D1159" s="147" t="s">
        <v>290</v>
      </c>
      <c r="E1159" s="165"/>
      <c r="F1159" s="150"/>
      <c r="G1159" s="147"/>
      <c r="H1159" s="147">
        <v>16807</v>
      </c>
      <c r="I1159" s="183">
        <f>H1159/H1162</f>
        <v>0.39940589353612166</v>
      </c>
      <c r="J1159" s="151" t="s">
        <v>107</v>
      </c>
      <c r="K1159" s="87"/>
    </row>
    <row r="1160" spans="1:17" s="14" customFormat="1" ht="12.75" x14ac:dyDescent="0.2">
      <c r="A1160" s="147"/>
      <c r="B1160" s="147"/>
      <c r="C1160" s="169"/>
      <c r="D1160" s="147" t="s">
        <v>262</v>
      </c>
      <c r="E1160" s="165"/>
      <c r="F1160" s="150"/>
      <c r="G1160" s="147"/>
      <c r="H1160" s="147">
        <v>14061</v>
      </c>
      <c r="I1160" s="183">
        <f>H1160/H1162</f>
        <v>0.33414923954372622</v>
      </c>
      <c r="J1160" s="151" t="s">
        <v>74</v>
      </c>
      <c r="K1160" s="87"/>
    </row>
    <row r="1161" spans="1:17" ht="12.75" x14ac:dyDescent="0.2">
      <c r="A1161" s="147"/>
      <c r="B1161" s="147"/>
      <c r="C1161" s="169"/>
      <c r="D1161" s="147" t="s">
        <v>240</v>
      </c>
      <c r="E1161" s="165"/>
      <c r="F1161" s="150"/>
      <c r="G1161" s="147"/>
      <c r="H1161" s="147">
        <v>11212</v>
      </c>
      <c r="I1161" s="183">
        <f>H1161/H1162</f>
        <v>0.26644486692015207</v>
      </c>
      <c r="J1161" s="151" t="s">
        <v>63</v>
      </c>
      <c r="K1161" s="87"/>
      <c r="L1161" s="14"/>
      <c r="M1161" s="14"/>
      <c r="N1161" s="14"/>
      <c r="O1161" s="14"/>
      <c r="P1161" s="14"/>
      <c r="Q1161" s="14"/>
    </row>
    <row r="1162" spans="1:17" ht="12.75" x14ac:dyDescent="0.2">
      <c r="A1162" s="147"/>
      <c r="B1162" s="147"/>
      <c r="C1162" s="169"/>
      <c r="D1162" s="148" t="s">
        <v>33</v>
      </c>
      <c r="E1162" s="165"/>
      <c r="F1162" s="150"/>
      <c r="G1162" s="147"/>
      <c r="H1162" s="155">
        <f>SUM(H1159:H1161)</f>
        <v>42080</v>
      </c>
      <c r="I1162" s="182">
        <f>SUM(I1159:I1161)</f>
        <v>1</v>
      </c>
      <c r="J1162" s="147"/>
      <c r="K1162" s="87"/>
      <c r="L1162" s="14"/>
      <c r="M1162" s="14"/>
      <c r="N1162" s="14"/>
      <c r="O1162" s="14"/>
      <c r="P1162" s="14"/>
      <c r="Q1162" s="14"/>
    </row>
    <row r="1163" spans="1:17" ht="12.75" x14ac:dyDescent="0.2">
      <c r="A1163" s="147"/>
      <c r="B1163" s="147"/>
      <c r="C1163" s="169"/>
      <c r="D1163" s="148"/>
      <c r="E1163" s="165"/>
      <c r="F1163" s="150"/>
      <c r="G1163" s="147"/>
      <c r="H1163" s="147"/>
      <c r="I1163" s="195"/>
      <c r="J1163" s="147"/>
      <c r="K1163" s="87"/>
      <c r="L1163" s="14"/>
      <c r="M1163" s="14"/>
      <c r="N1163" s="14"/>
      <c r="O1163" s="14"/>
      <c r="P1163" s="14"/>
      <c r="Q1163" s="14"/>
    </row>
    <row r="1164" spans="1:17" ht="12.75" x14ac:dyDescent="0.2">
      <c r="A1164" s="148" t="s">
        <v>20</v>
      </c>
      <c r="B1164" s="148">
        <v>536</v>
      </c>
      <c r="C1164" s="148" t="s">
        <v>289</v>
      </c>
      <c r="D1164" s="147" t="s">
        <v>567</v>
      </c>
      <c r="E1164" s="165">
        <v>39904</v>
      </c>
      <c r="F1164" s="150">
        <v>15691296</v>
      </c>
      <c r="G1164" s="147">
        <v>117442</v>
      </c>
      <c r="H1164" s="147"/>
      <c r="I1164" s="195"/>
      <c r="J1164" s="147"/>
      <c r="K1164" s="87"/>
      <c r="L1164" s="14"/>
      <c r="M1164" s="14"/>
      <c r="N1164" s="14"/>
      <c r="O1164" s="14"/>
      <c r="P1164" s="14"/>
      <c r="Q1164" s="14"/>
    </row>
    <row r="1165" spans="1:17" ht="12.75" x14ac:dyDescent="0.2">
      <c r="A1165" s="147"/>
      <c r="B1165" s="147"/>
      <c r="C1165" s="169"/>
      <c r="D1165" s="147" t="s">
        <v>261</v>
      </c>
      <c r="E1165" s="165"/>
      <c r="F1165" s="150"/>
      <c r="G1165" s="147"/>
      <c r="H1165" s="147">
        <v>1865</v>
      </c>
      <c r="I1165" s="183">
        <f>H1165/$H$1170</f>
        <v>2.6391384946297423E-2</v>
      </c>
      <c r="J1165" s="147"/>
      <c r="K1165" s="87"/>
      <c r="L1165" s="14"/>
      <c r="M1165" s="14"/>
      <c r="N1165" s="14"/>
      <c r="O1165" s="14"/>
      <c r="P1165" s="14"/>
      <c r="Q1165" s="14"/>
    </row>
    <row r="1166" spans="1:17" ht="12.75" x14ac:dyDescent="0.2">
      <c r="A1166" s="147"/>
      <c r="B1166" s="147"/>
      <c r="C1166" s="169"/>
      <c r="D1166" s="147" t="s">
        <v>291</v>
      </c>
      <c r="E1166" s="165"/>
      <c r="F1166" s="150"/>
      <c r="G1166" s="147"/>
      <c r="H1166" s="147">
        <v>13498</v>
      </c>
      <c r="I1166" s="183">
        <f>H1166/$H$1170</f>
        <v>0.19100853297861803</v>
      </c>
      <c r="J1166" s="147"/>
      <c r="K1166" s="87"/>
      <c r="L1166" s="14"/>
      <c r="M1166" s="14"/>
      <c r="N1166" s="14"/>
      <c r="O1166" s="14"/>
      <c r="P1166" s="14"/>
      <c r="Q1166" s="14"/>
    </row>
    <row r="1167" spans="1:17" ht="12.75" x14ac:dyDescent="0.2">
      <c r="A1167" s="147"/>
      <c r="B1167" s="147"/>
      <c r="C1167" s="169"/>
      <c r="D1167" s="147" t="s">
        <v>242</v>
      </c>
      <c r="E1167" s="165"/>
      <c r="F1167" s="150"/>
      <c r="G1167" s="147"/>
      <c r="H1167" s="147">
        <v>3209</v>
      </c>
      <c r="I1167" s="183">
        <f>H1167/$H$1170</f>
        <v>4.541016315960774E-2</v>
      </c>
      <c r="J1167" s="147"/>
      <c r="K1167" s="87"/>
      <c r="L1167" s="14"/>
      <c r="M1167" s="14"/>
      <c r="N1167" s="14"/>
      <c r="O1167" s="14"/>
      <c r="P1167" s="14"/>
      <c r="Q1167" s="14"/>
    </row>
    <row r="1168" spans="1:17" ht="12.75" x14ac:dyDescent="0.2">
      <c r="A1168" s="147"/>
      <c r="B1168" s="147"/>
      <c r="C1168" s="169"/>
      <c r="D1168" s="147" t="s">
        <v>240</v>
      </c>
      <c r="E1168" s="165"/>
      <c r="F1168" s="150"/>
      <c r="G1168" s="147"/>
      <c r="H1168" s="147">
        <v>47004</v>
      </c>
      <c r="I1168" s="183">
        <f>H1168/$H$1170</f>
        <v>0.66514780590657596</v>
      </c>
      <c r="J1168" s="151" t="s">
        <v>63</v>
      </c>
      <c r="K1168" s="87"/>
      <c r="L1168" s="14"/>
      <c r="M1168" s="14"/>
      <c r="N1168" s="14"/>
      <c r="O1168" s="14"/>
      <c r="P1168" s="14"/>
      <c r="Q1168" s="14"/>
    </row>
    <row r="1169" spans="1:17" ht="12.75" x14ac:dyDescent="0.2">
      <c r="A1169" s="147"/>
      <c r="B1169" s="147"/>
      <c r="C1169" s="169"/>
      <c r="D1169" s="147" t="s">
        <v>292</v>
      </c>
      <c r="E1169" s="165"/>
      <c r="F1169" s="150"/>
      <c r="G1169" s="147"/>
      <c r="H1169" s="147">
        <v>5091</v>
      </c>
      <c r="I1169" s="183">
        <f>H1169/$H$1170</f>
        <v>7.2042113008900899E-2</v>
      </c>
      <c r="J1169" s="147"/>
      <c r="K1169" s="87"/>
      <c r="L1169" s="14"/>
      <c r="M1169" s="14"/>
      <c r="N1169" s="14"/>
      <c r="O1169" s="14"/>
      <c r="P1169" s="14"/>
      <c r="Q1169" s="14"/>
    </row>
    <row r="1170" spans="1:17" ht="12.75" x14ac:dyDescent="0.2">
      <c r="A1170" s="147"/>
      <c r="B1170" s="147"/>
      <c r="C1170" s="169"/>
      <c r="D1170" s="148" t="s">
        <v>33</v>
      </c>
      <c r="E1170" s="165"/>
      <c r="F1170" s="150"/>
      <c r="G1170" s="147"/>
      <c r="H1170" s="155">
        <f>SUM(H1165:H1169)</f>
        <v>70667</v>
      </c>
      <c r="I1170" s="182">
        <f>SUM(I1165:I1169)</f>
        <v>1</v>
      </c>
      <c r="J1170" s="147"/>
      <c r="K1170" s="87"/>
      <c r="L1170" s="14"/>
      <c r="M1170" s="14"/>
      <c r="N1170" s="14"/>
      <c r="O1170" s="14"/>
      <c r="P1170" s="14"/>
      <c r="Q1170" s="14"/>
    </row>
    <row r="1171" spans="1:17" ht="12.75" x14ac:dyDescent="0.2">
      <c r="A1171" s="147"/>
      <c r="B1171" s="147"/>
      <c r="C1171" s="169"/>
      <c r="D1171" s="149"/>
      <c r="E1171" s="165"/>
      <c r="F1171" s="150"/>
      <c r="G1171" s="147"/>
      <c r="H1171" s="147"/>
      <c r="I1171" s="152"/>
      <c r="J1171" s="147"/>
      <c r="K1171" s="139"/>
    </row>
    <row r="1172" spans="1:17" ht="12.75" x14ac:dyDescent="0.2">
      <c r="A1172" s="148" t="s">
        <v>20</v>
      </c>
      <c r="B1172" s="148">
        <v>536</v>
      </c>
      <c r="C1172" s="148" t="s">
        <v>289</v>
      </c>
      <c r="D1172" s="149" t="s">
        <v>609</v>
      </c>
      <c r="E1172" s="165">
        <v>40299</v>
      </c>
      <c r="F1172" s="150">
        <v>3509721</v>
      </c>
      <c r="G1172" s="147">
        <v>16726</v>
      </c>
      <c r="H1172" s="147"/>
      <c r="I1172" s="152"/>
      <c r="J1172" s="147"/>
      <c r="K1172" s="139"/>
    </row>
    <row r="1173" spans="1:17" ht="12.75" x14ac:dyDescent="0.2">
      <c r="A1173" s="147"/>
      <c r="B1173" s="147"/>
      <c r="C1173" s="169"/>
      <c r="D1173" s="149" t="s">
        <v>261</v>
      </c>
      <c r="E1173" s="165"/>
      <c r="F1173" s="150"/>
      <c r="G1173" s="147"/>
      <c r="H1173" s="147">
        <v>160</v>
      </c>
      <c r="I1173" s="152">
        <f>H1173/$H$1178</f>
        <v>1.015228426395939E-2</v>
      </c>
      <c r="J1173" s="147"/>
      <c r="K1173" s="139"/>
    </row>
    <row r="1174" spans="1:17" ht="12.75" x14ac:dyDescent="0.2">
      <c r="A1174" s="147"/>
      <c r="B1174" s="147"/>
      <c r="C1174" s="169"/>
      <c r="D1174" s="149" t="s">
        <v>238</v>
      </c>
      <c r="E1174" s="165"/>
      <c r="F1174" s="150"/>
      <c r="G1174" s="147"/>
      <c r="H1174" s="147">
        <v>4242</v>
      </c>
      <c r="I1174" s="152">
        <f>H1174/$H$1178</f>
        <v>0.26916243654822336</v>
      </c>
      <c r="J1174" s="151" t="s">
        <v>16</v>
      </c>
      <c r="K1174" s="139"/>
    </row>
    <row r="1175" spans="1:17" ht="12.75" x14ac:dyDescent="0.2">
      <c r="A1175" s="147"/>
      <c r="B1175" s="147"/>
      <c r="C1175" s="169"/>
      <c r="D1175" s="149" t="s">
        <v>242</v>
      </c>
      <c r="E1175" s="165"/>
      <c r="F1175" s="150"/>
      <c r="G1175" s="147"/>
      <c r="H1175" s="147">
        <v>2938</v>
      </c>
      <c r="I1175" s="152">
        <f>H1175/$H$1178</f>
        <v>0.18642131979695431</v>
      </c>
      <c r="J1175" s="151"/>
      <c r="K1175" s="139"/>
    </row>
    <row r="1176" spans="1:17" ht="12.75" x14ac:dyDescent="0.2">
      <c r="A1176" s="147"/>
      <c r="B1176" s="147"/>
      <c r="C1176" s="169"/>
      <c r="D1176" s="149" t="s">
        <v>288</v>
      </c>
      <c r="E1176" s="165"/>
      <c r="F1176" s="150"/>
      <c r="G1176" s="147"/>
      <c r="H1176" s="147">
        <v>2796</v>
      </c>
      <c r="I1176" s="152">
        <f>H1176/$H$1178</f>
        <v>0.17741116751269034</v>
      </c>
      <c r="J1176" s="151"/>
      <c r="K1176" s="139"/>
    </row>
    <row r="1177" spans="1:17" ht="12.75" x14ac:dyDescent="0.2">
      <c r="A1177" s="147"/>
      <c r="B1177" s="147"/>
      <c r="C1177" s="169"/>
      <c r="D1177" s="149" t="s">
        <v>292</v>
      </c>
      <c r="E1177" s="165"/>
      <c r="F1177" s="150"/>
      <c r="G1177" s="147"/>
      <c r="H1177" s="147">
        <v>5624</v>
      </c>
      <c r="I1177" s="152">
        <f>H1177/$H$1178</f>
        <v>0.35685279187817259</v>
      </c>
      <c r="J1177" s="151" t="s">
        <v>610</v>
      </c>
      <c r="K1177" s="139"/>
    </row>
    <row r="1178" spans="1:17" ht="12.75" x14ac:dyDescent="0.2">
      <c r="A1178" s="147"/>
      <c r="B1178" s="147"/>
      <c r="C1178" s="169"/>
      <c r="D1178" s="148" t="s">
        <v>33</v>
      </c>
      <c r="E1178" s="165"/>
      <c r="F1178" s="150"/>
      <c r="G1178" s="147"/>
      <c r="H1178" s="167">
        <f>SUM(H1173:H1177)</f>
        <v>15760</v>
      </c>
      <c r="I1178" s="168">
        <f>SUM(I1173:I1177)</f>
        <v>1</v>
      </c>
      <c r="J1178" s="147"/>
      <c r="K1178" s="139"/>
    </row>
    <row r="1179" spans="1:17" ht="12.75" x14ac:dyDescent="0.2">
      <c r="A1179" s="147"/>
      <c r="B1179" s="147"/>
      <c r="C1179" s="169"/>
      <c r="D1179" s="148"/>
      <c r="E1179" s="165"/>
      <c r="F1179" s="150"/>
      <c r="G1179" s="147"/>
      <c r="H1179" s="147"/>
      <c r="I1179" s="152"/>
      <c r="J1179" s="147"/>
      <c r="K1179" s="139"/>
    </row>
    <row r="1180" spans="1:17" ht="12.75" x14ac:dyDescent="0.2">
      <c r="A1180" s="148" t="s">
        <v>20</v>
      </c>
      <c r="B1180" s="147"/>
      <c r="C1180" s="148" t="s">
        <v>506</v>
      </c>
      <c r="D1180" s="149" t="s">
        <v>636</v>
      </c>
      <c r="E1180" s="165">
        <v>40969</v>
      </c>
      <c r="F1180" s="150">
        <v>19369407</v>
      </c>
      <c r="G1180" s="147">
        <v>79998</v>
      </c>
      <c r="H1180" s="147"/>
      <c r="I1180" s="152"/>
      <c r="J1180" s="147"/>
      <c r="K1180" s="139"/>
    </row>
    <row r="1181" spans="1:17" ht="12.75" x14ac:dyDescent="0.2">
      <c r="A1181" s="147"/>
      <c r="B1181" s="147"/>
      <c r="C1181" s="169"/>
      <c r="D1181" s="147" t="s">
        <v>581</v>
      </c>
      <c r="E1181" s="165"/>
      <c r="F1181" s="150"/>
      <c r="G1181" s="147"/>
      <c r="H1181" s="147">
        <v>22749</v>
      </c>
      <c r="I1181" s="152">
        <f>(H1181/$H$1192)</f>
        <v>0.33045714036693252</v>
      </c>
      <c r="J1181" s="151" t="s">
        <v>16</v>
      </c>
      <c r="K1181" s="139"/>
    </row>
    <row r="1182" spans="1:17" ht="12.75" x14ac:dyDescent="0.2">
      <c r="A1182" s="147"/>
      <c r="B1182" s="147"/>
      <c r="C1182" s="169"/>
      <c r="D1182" s="147" t="s">
        <v>627</v>
      </c>
      <c r="E1182" s="165"/>
      <c r="F1182" s="150"/>
      <c r="G1182" s="147"/>
      <c r="H1182" s="147">
        <v>2769</v>
      </c>
      <c r="I1182" s="152">
        <f t="shared" ref="I1182:I1191" si="26">(H1182/$H$1192)</f>
        <v>4.0223122848302609E-2</v>
      </c>
      <c r="J1182" s="147"/>
      <c r="K1182" s="139"/>
    </row>
    <row r="1183" spans="1:17" ht="12.75" x14ac:dyDescent="0.2">
      <c r="A1183" s="147"/>
      <c r="B1183" s="147"/>
      <c r="C1183" s="169"/>
      <c r="D1183" s="147" t="s">
        <v>603</v>
      </c>
      <c r="E1183" s="165"/>
      <c r="F1183" s="150"/>
      <c r="G1183" s="147"/>
      <c r="H1183" s="147">
        <v>0</v>
      </c>
      <c r="I1183" s="152">
        <f t="shared" si="26"/>
        <v>0</v>
      </c>
      <c r="J1183" s="147"/>
      <c r="K1183" s="139"/>
    </row>
    <row r="1184" spans="1:17" ht="12.75" x14ac:dyDescent="0.2">
      <c r="A1184" s="147"/>
      <c r="B1184" s="147"/>
      <c r="C1184" s="169"/>
      <c r="D1184" s="147" t="s">
        <v>583</v>
      </c>
      <c r="E1184" s="165"/>
      <c r="F1184" s="150"/>
      <c r="G1184" s="147"/>
      <c r="H1184" s="147">
        <v>3217</v>
      </c>
      <c r="I1184" s="152">
        <f t="shared" si="26"/>
        <v>4.6730872590462082E-2</v>
      </c>
      <c r="J1184" s="147"/>
      <c r="K1184" s="139"/>
    </row>
    <row r="1185" spans="1:11" ht="12.75" x14ac:dyDescent="0.2">
      <c r="A1185" s="147"/>
      <c r="B1185" s="147"/>
      <c r="C1185" s="169"/>
      <c r="D1185" s="147" t="s">
        <v>594</v>
      </c>
      <c r="E1185" s="165"/>
      <c r="F1185" s="150"/>
      <c r="G1185" s="147"/>
      <c r="H1185" s="147">
        <v>0</v>
      </c>
      <c r="I1185" s="152">
        <f t="shared" si="26"/>
        <v>0</v>
      </c>
      <c r="J1185" s="147"/>
      <c r="K1185" s="139"/>
    </row>
    <row r="1186" spans="1:11" ht="12.75" x14ac:dyDescent="0.2">
      <c r="A1186" s="147"/>
      <c r="B1186" s="147"/>
      <c r="C1186" s="169"/>
      <c r="D1186" s="147" t="s">
        <v>584</v>
      </c>
      <c r="E1186" s="165"/>
      <c r="F1186" s="150"/>
      <c r="G1186" s="147"/>
      <c r="H1186" s="147">
        <v>0</v>
      </c>
      <c r="I1186" s="152">
        <f t="shared" si="26"/>
        <v>0</v>
      </c>
      <c r="J1186" s="147"/>
      <c r="K1186" s="139"/>
    </row>
    <row r="1187" spans="1:11" ht="12.75" x14ac:dyDescent="0.2">
      <c r="A1187" s="147"/>
      <c r="B1187" s="147"/>
      <c r="C1187" s="169"/>
      <c r="D1187" s="147" t="s">
        <v>599</v>
      </c>
      <c r="E1187" s="165"/>
      <c r="F1187" s="150"/>
      <c r="G1187" s="147"/>
      <c r="H1187" s="147">
        <v>0</v>
      </c>
      <c r="I1187" s="152">
        <f t="shared" si="26"/>
        <v>0</v>
      </c>
      <c r="J1187" s="147"/>
      <c r="K1187" s="139"/>
    </row>
    <row r="1188" spans="1:11" ht="12.75" x14ac:dyDescent="0.2">
      <c r="A1188" s="147"/>
      <c r="B1188" s="147"/>
      <c r="C1188" s="169"/>
      <c r="D1188" s="147" t="s">
        <v>628</v>
      </c>
      <c r="E1188" s="165"/>
      <c r="F1188" s="150"/>
      <c r="G1188" s="147"/>
      <c r="H1188" s="147">
        <v>0</v>
      </c>
      <c r="I1188" s="152">
        <f t="shared" si="26"/>
        <v>0</v>
      </c>
      <c r="J1188" s="147"/>
      <c r="K1188" s="139"/>
    </row>
    <row r="1189" spans="1:11" ht="12.75" x14ac:dyDescent="0.2">
      <c r="A1189" s="147"/>
      <c r="B1189" s="147"/>
      <c r="C1189" s="169"/>
      <c r="D1189" s="147" t="s">
        <v>589</v>
      </c>
      <c r="E1189" s="165"/>
      <c r="F1189" s="150"/>
      <c r="G1189" s="147"/>
      <c r="H1189" s="147">
        <v>5371</v>
      </c>
      <c r="I1189" s="152">
        <f t="shared" si="26"/>
        <v>7.8020365770398448E-2</v>
      </c>
      <c r="J1189" s="147"/>
      <c r="K1189" s="139"/>
    </row>
    <row r="1190" spans="1:11" ht="12.75" x14ac:dyDescent="0.2">
      <c r="A1190" s="147"/>
      <c r="B1190" s="147"/>
      <c r="C1190" s="169"/>
      <c r="D1190" s="147" t="s">
        <v>595</v>
      </c>
      <c r="E1190" s="165"/>
      <c r="F1190" s="150"/>
      <c r="G1190" s="147"/>
      <c r="H1190" s="147">
        <v>1234</v>
      </c>
      <c r="I1190" s="152">
        <f t="shared" si="26"/>
        <v>1.7925364245144609E-2</v>
      </c>
      <c r="J1190" s="147"/>
      <c r="K1190" s="139"/>
    </row>
    <row r="1191" spans="1:11" ht="12.75" x14ac:dyDescent="0.2">
      <c r="A1191" s="147"/>
      <c r="B1191" s="147"/>
      <c r="C1191" s="169"/>
      <c r="D1191" s="147" t="s">
        <v>615</v>
      </c>
      <c r="E1191" s="165"/>
      <c r="F1191" s="150"/>
      <c r="G1191" s="147"/>
      <c r="H1191" s="147">
        <v>33501</v>
      </c>
      <c r="I1191" s="152">
        <f t="shared" si="26"/>
        <v>0.48664313417875976</v>
      </c>
      <c r="J1191" s="151"/>
      <c r="K1191" s="139"/>
    </row>
    <row r="1192" spans="1:11" ht="12.75" x14ac:dyDescent="0.2">
      <c r="A1192" s="147"/>
      <c r="B1192" s="147"/>
      <c r="C1192" s="169"/>
      <c r="D1192" s="148" t="s">
        <v>33</v>
      </c>
      <c r="E1192" s="165"/>
      <c r="F1192" s="150"/>
      <c r="G1192" s="147"/>
      <c r="H1192" s="167">
        <f>SUM(H1181:H1191)</f>
        <v>68841</v>
      </c>
      <c r="I1192" s="168">
        <f>SUM(I1181:I1191)</f>
        <v>1</v>
      </c>
      <c r="J1192" s="147"/>
      <c r="K1192" s="139"/>
    </row>
    <row r="1193" spans="1:11" ht="12.75" x14ac:dyDescent="0.2">
      <c r="A1193" s="147"/>
      <c r="B1193" s="147"/>
      <c r="C1193" s="169"/>
      <c r="D1193" s="147"/>
      <c r="E1193" s="165"/>
      <c r="F1193" s="150"/>
      <c r="G1193" s="147"/>
      <c r="H1193" s="147"/>
      <c r="I1193" s="152"/>
      <c r="J1193" s="147"/>
      <c r="K1193" s="139"/>
    </row>
    <row r="1194" spans="1:11" ht="12.75" x14ac:dyDescent="0.2">
      <c r="A1194" s="148" t="s">
        <v>20</v>
      </c>
      <c r="B1194" s="148"/>
      <c r="C1194" s="148" t="s">
        <v>289</v>
      </c>
      <c r="D1194" s="147" t="s">
        <v>658</v>
      </c>
      <c r="E1194" s="165">
        <v>42370</v>
      </c>
      <c r="F1194" s="150">
        <v>15650465</v>
      </c>
      <c r="G1194" s="147">
        <v>54887</v>
      </c>
      <c r="H1194" s="147"/>
      <c r="I1194" s="152"/>
      <c r="J1194" s="147"/>
      <c r="K1194" s="139"/>
    </row>
    <row r="1195" spans="1:11" ht="12.75" x14ac:dyDescent="0.2">
      <c r="A1195" s="147"/>
      <c r="B1195" s="147"/>
      <c r="C1195" s="169"/>
      <c r="D1195" s="147" t="s">
        <v>581</v>
      </c>
      <c r="E1195" s="165"/>
      <c r="F1195" s="150"/>
      <c r="G1195" s="147"/>
      <c r="H1195" s="147">
        <v>13744</v>
      </c>
      <c r="I1195" s="152">
        <f t="shared" ref="I1195:I1200" si="27">H1195/$H$1200</f>
        <v>0.48476297968397292</v>
      </c>
      <c r="J1195" s="151" t="s">
        <v>16</v>
      </c>
      <c r="K1195" s="139"/>
    </row>
    <row r="1196" spans="1:11" ht="12.75" x14ac:dyDescent="0.2">
      <c r="A1196" s="147"/>
      <c r="B1196" s="147"/>
      <c r="C1196" s="169"/>
      <c r="D1196" s="147" t="s">
        <v>627</v>
      </c>
      <c r="E1196" s="165"/>
      <c r="F1196" s="150"/>
      <c r="G1196" s="147"/>
      <c r="H1196" s="147">
        <v>2750</v>
      </c>
      <c r="I1196" s="152">
        <f t="shared" si="27"/>
        <v>9.6994920993227984E-2</v>
      </c>
      <c r="J1196" s="147"/>
      <c r="K1196" s="139"/>
    </row>
    <row r="1197" spans="1:11" ht="12.75" x14ac:dyDescent="0.2">
      <c r="A1197" s="147"/>
      <c r="B1197" s="147"/>
      <c r="C1197" s="169"/>
      <c r="D1197" s="147" t="s">
        <v>583</v>
      </c>
      <c r="E1197" s="165"/>
      <c r="F1197" s="150"/>
      <c r="G1197" s="147"/>
      <c r="H1197" s="147">
        <v>1085</v>
      </c>
      <c r="I1197" s="152">
        <f t="shared" si="27"/>
        <v>3.8268905191873592E-2</v>
      </c>
      <c r="J1197" s="147"/>
      <c r="K1197" s="139"/>
    </row>
    <row r="1198" spans="1:11" ht="12.75" x14ac:dyDescent="0.2">
      <c r="A1198" s="147"/>
      <c r="B1198" s="147"/>
      <c r="C1198" s="169"/>
      <c r="D1198" s="147" t="s">
        <v>589</v>
      </c>
      <c r="E1198" s="165"/>
      <c r="F1198" s="150"/>
      <c r="G1198" s="147"/>
      <c r="H1198" s="147">
        <v>10345</v>
      </c>
      <c r="I1198" s="152">
        <f t="shared" si="27"/>
        <v>0.36487725733634313</v>
      </c>
      <c r="J1198" s="151" t="s">
        <v>63</v>
      </c>
      <c r="K1198" s="139"/>
    </row>
    <row r="1199" spans="1:11" ht="12.75" x14ac:dyDescent="0.2">
      <c r="A1199" s="147"/>
      <c r="B1199" s="147"/>
      <c r="C1199" s="169"/>
      <c r="D1199" s="147" t="s">
        <v>615</v>
      </c>
      <c r="E1199" s="165"/>
      <c r="F1199" s="150"/>
      <c r="G1199" s="147"/>
      <c r="H1199" s="147">
        <v>428</v>
      </c>
      <c r="I1199" s="152">
        <f t="shared" si="27"/>
        <v>1.5095936794582392E-2</v>
      </c>
      <c r="J1199" s="147"/>
      <c r="K1199" s="139"/>
    </row>
    <row r="1200" spans="1:11" ht="12.75" x14ac:dyDescent="0.2">
      <c r="A1200" s="147"/>
      <c r="B1200" s="147"/>
      <c r="C1200" s="169"/>
      <c r="D1200" s="148" t="s">
        <v>33</v>
      </c>
      <c r="E1200" s="165"/>
      <c r="F1200" s="150"/>
      <c r="G1200" s="147"/>
      <c r="H1200" s="147">
        <f>SUM(H1195:H1199)</f>
        <v>28352</v>
      </c>
      <c r="I1200" s="152">
        <f t="shared" si="27"/>
        <v>1</v>
      </c>
      <c r="J1200" s="147"/>
      <c r="K1200" s="139"/>
    </row>
    <row r="1201" spans="1:11" ht="12.75" x14ac:dyDescent="0.2">
      <c r="A1201" s="147"/>
      <c r="B1201" s="147"/>
      <c r="C1201" s="169"/>
      <c r="D1201" s="147"/>
      <c r="E1201" s="165"/>
      <c r="F1201" s="150"/>
      <c r="G1201" s="147"/>
      <c r="H1201" s="147"/>
      <c r="I1201" s="152"/>
      <c r="J1201" s="147"/>
      <c r="K1201" s="139"/>
    </row>
    <row r="1202" spans="1:11" ht="12.75" x14ac:dyDescent="0.2">
      <c r="A1202" s="148" t="s">
        <v>20</v>
      </c>
      <c r="B1202" s="148"/>
      <c r="C1202" s="148" t="s">
        <v>289</v>
      </c>
      <c r="D1202" s="147" t="s">
        <v>659</v>
      </c>
      <c r="E1202" s="165">
        <v>42370</v>
      </c>
      <c r="F1202" s="150">
        <v>5663766</v>
      </c>
      <c r="G1202" s="147">
        <v>21657</v>
      </c>
      <c r="H1202" s="147"/>
      <c r="I1202" s="152"/>
      <c r="J1202" s="147"/>
      <c r="K1202" s="139"/>
    </row>
    <row r="1203" spans="1:11" ht="12.75" x14ac:dyDescent="0.2">
      <c r="A1203" s="147"/>
      <c r="B1203" s="147"/>
      <c r="C1203" s="169"/>
      <c r="D1203" s="147" t="s">
        <v>583</v>
      </c>
      <c r="E1203" s="165"/>
      <c r="F1203" s="150"/>
      <c r="G1203" s="147"/>
      <c r="H1203" s="147">
        <v>3673</v>
      </c>
      <c r="I1203" s="152">
        <f>H1203/$H$1206</f>
        <v>0.36774128954745694</v>
      </c>
      <c r="J1203" s="151" t="s">
        <v>42</v>
      </c>
      <c r="K1203" s="139"/>
    </row>
    <row r="1204" spans="1:11" ht="12.75" x14ac:dyDescent="0.2">
      <c r="A1204" s="147"/>
      <c r="B1204" s="147"/>
      <c r="C1204" s="169"/>
      <c r="D1204" s="147" t="s">
        <v>589</v>
      </c>
      <c r="E1204" s="165"/>
      <c r="F1204" s="150"/>
      <c r="G1204" s="147"/>
      <c r="H1204" s="147">
        <v>4481</v>
      </c>
      <c r="I1204" s="152">
        <f>H1204/$H$1206</f>
        <v>0.44863836603924712</v>
      </c>
      <c r="J1204" s="151" t="s">
        <v>63</v>
      </c>
      <c r="K1204" s="139"/>
    </row>
    <row r="1205" spans="1:11" ht="12.75" x14ac:dyDescent="0.2">
      <c r="A1205" s="147"/>
      <c r="B1205" s="147"/>
      <c r="C1205" s="169"/>
      <c r="D1205" s="147" t="s">
        <v>615</v>
      </c>
      <c r="E1205" s="165"/>
      <c r="F1205" s="150"/>
      <c r="G1205" s="147"/>
      <c r="H1205" s="147">
        <v>1834</v>
      </c>
      <c r="I1205" s="152">
        <f>H1205/$H$1206</f>
        <v>0.18362034441329594</v>
      </c>
      <c r="J1205" s="147"/>
      <c r="K1205" s="139"/>
    </row>
    <row r="1206" spans="1:11" ht="12.75" x14ac:dyDescent="0.2">
      <c r="A1206" s="147"/>
      <c r="B1206" s="147"/>
      <c r="C1206" s="169"/>
      <c r="D1206" s="148" t="s">
        <v>33</v>
      </c>
      <c r="E1206" s="165"/>
      <c r="F1206" s="150"/>
      <c r="G1206" s="147"/>
      <c r="H1206" s="167">
        <f>SUM(H1203:H1205)</f>
        <v>9988</v>
      </c>
      <c r="I1206" s="168">
        <f>H1206/$H$1206</f>
        <v>1</v>
      </c>
      <c r="J1206" s="147"/>
      <c r="K1206" s="139"/>
    </row>
    <row r="1207" spans="1:11" ht="12.75" x14ac:dyDescent="0.2">
      <c r="A1207" s="148" t="s">
        <v>20</v>
      </c>
      <c r="B1207" s="148"/>
      <c r="C1207" s="148" t="s">
        <v>289</v>
      </c>
      <c r="D1207" s="147" t="s">
        <v>664</v>
      </c>
      <c r="E1207" s="165">
        <v>43102</v>
      </c>
      <c r="F1207" s="150">
        <v>44860690</v>
      </c>
      <c r="G1207" s="147">
        <v>105775</v>
      </c>
      <c r="H1207" s="147"/>
      <c r="I1207" s="152"/>
      <c r="J1207" s="147"/>
      <c r="K1207" s="139"/>
    </row>
    <row r="1208" spans="1:11" ht="12.75" x14ac:dyDescent="0.2">
      <c r="A1208" s="147"/>
      <c r="B1208" s="147"/>
      <c r="C1208" s="169"/>
      <c r="D1208" s="147" t="s">
        <v>581</v>
      </c>
      <c r="E1208" s="165"/>
      <c r="F1208" s="150"/>
      <c r="G1208" s="147"/>
      <c r="H1208" s="147">
        <v>0</v>
      </c>
      <c r="I1208" s="152">
        <f>(H1208/$H$1219)</f>
        <v>0</v>
      </c>
      <c r="J1208" s="151" t="s">
        <v>236</v>
      </c>
      <c r="K1208" s="139"/>
    </row>
    <row r="1209" spans="1:11" ht="12.75" x14ac:dyDescent="0.2">
      <c r="A1209" s="147"/>
      <c r="B1209" s="147"/>
      <c r="C1209" s="169"/>
      <c r="D1209" s="147" t="s">
        <v>627</v>
      </c>
      <c r="E1209" s="165"/>
      <c r="F1209" s="150"/>
      <c r="G1209" s="147"/>
      <c r="H1209" s="147">
        <v>0</v>
      </c>
      <c r="I1209" s="152">
        <f t="shared" ref="I1209:I1218" si="28">(H1209/$H$1219)</f>
        <v>0</v>
      </c>
      <c r="J1209" s="147"/>
      <c r="K1209" s="139"/>
    </row>
    <row r="1210" spans="1:11" ht="12.75" x14ac:dyDescent="0.2">
      <c r="A1210" s="147"/>
      <c r="B1210" s="147"/>
      <c r="C1210" s="169"/>
      <c r="D1210" s="147" t="s">
        <v>603</v>
      </c>
      <c r="E1210" s="165"/>
      <c r="F1210" s="150"/>
      <c r="G1210" s="147"/>
      <c r="H1210" s="147">
        <v>39434</v>
      </c>
      <c r="I1210" s="152">
        <f t="shared" si="28"/>
        <v>0.53226611956213643</v>
      </c>
      <c r="J1210" s="151" t="s">
        <v>665</v>
      </c>
      <c r="K1210" s="139"/>
    </row>
    <row r="1211" spans="1:11" ht="12.75" x14ac:dyDescent="0.2">
      <c r="A1211" s="147"/>
      <c r="B1211" s="147"/>
      <c r="C1211" s="169"/>
      <c r="D1211" s="147" t="s">
        <v>583</v>
      </c>
      <c r="E1211" s="165"/>
      <c r="F1211" s="150"/>
      <c r="G1211" s="147"/>
      <c r="H1211" s="147">
        <v>0</v>
      </c>
      <c r="I1211" s="152">
        <f t="shared" si="28"/>
        <v>0</v>
      </c>
      <c r="J1211" s="147"/>
      <c r="K1211" s="139"/>
    </row>
    <row r="1212" spans="1:11" ht="12.75" x14ac:dyDescent="0.2">
      <c r="A1212" s="147"/>
      <c r="B1212" s="147"/>
      <c r="C1212" s="169"/>
      <c r="D1212" s="147" t="s">
        <v>594</v>
      </c>
      <c r="E1212" s="165"/>
      <c r="F1212" s="150"/>
      <c r="G1212" s="147"/>
      <c r="H1212" s="147">
        <v>0</v>
      </c>
      <c r="I1212" s="152">
        <f t="shared" si="28"/>
        <v>0</v>
      </c>
      <c r="J1212" s="147"/>
      <c r="K1212" s="139"/>
    </row>
    <row r="1213" spans="1:11" ht="12.75" x14ac:dyDescent="0.2">
      <c r="A1213" s="147"/>
      <c r="B1213" s="147"/>
      <c r="C1213" s="169"/>
      <c r="D1213" s="147" t="s">
        <v>584</v>
      </c>
      <c r="E1213" s="165"/>
      <c r="F1213" s="150"/>
      <c r="G1213" s="147"/>
      <c r="H1213" s="147">
        <v>0</v>
      </c>
      <c r="I1213" s="152">
        <f t="shared" si="28"/>
        <v>0</v>
      </c>
      <c r="J1213" s="147"/>
      <c r="K1213" s="139"/>
    </row>
    <row r="1214" spans="1:11" ht="12.75" x14ac:dyDescent="0.2">
      <c r="A1214" s="147"/>
      <c r="B1214" s="147"/>
      <c r="C1214" s="169"/>
      <c r="D1214" s="147" t="s">
        <v>599</v>
      </c>
      <c r="E1214" s="165"/>
      <c r="F1214" s="150"/>
      <c r="G1214" s="147"/>
      <c r="H1214" s="147">
        <v>3923</v>
      </c>
      <c r="I1214" s="152">
        <f t="shared" si="28"/>
        <v>5.2951260005129105E-2</v>
      </c>
      <c r="J1214" s="147"/>
      <c r="K1214" s="139"/>
    </row>
    <row r="1215" spans="1:11" ht="12.75" x14ac:dyDescent="0.2">
      <c r="A1215" s="147"/>
      <c r="B1215" s="147"/>
      <c r="C1215" s="169"/>
      <c r="D1215" s="147" t="s">
        <v>628</v>
      </c>
      <c r="E1215" s="165"/>
      <c r="F1215" s="150"/>
      <c r="G1215" s="147"/>
      <c r="H1215" s="147">
        <v>0</v>
      </c>
      <c r="I1215" s="152">
        <f t="shared" si="28"/>
        <v>0</v>
      </c>
      <c r="J1215" s="147"/>
      <c r="K1215" s="139"/>
    </row>
    <row r="1216" spans="1:11" ht="12.75" x14ac:dyDescent="0.2">
      <c r="A1216" s="147"/>
      <c r="B1216" s="147"/>
      <c r="C1216" s="169"/>
      <c r="D1216" s="147" t="s">
        <v>589</v>
      </c>
      <c r="E1216" s="165"/>
      <c r="F1216" s="150"/>
      <c r="G1216" s="147"/>
      <c r="H1216" s="147">
        <v>15168</v>
      </c>
      <c r="I1216" s="152">
        <f t="shared" si="28"/>
        <v>0.20473227421814894</v>
      </c>
      <c r="J1216" s="151" t="s">
        <v>666</v>
      </c>
      <c r="K1216" s="139"/>
    </row>
    <row r="1217" spans="1:11" ht="12.75" x14ac:dyDescent="0.2">
      <c r="A1217" s="147"/>
      <c r="B1217" s="147"/>
      <c r="C1217" s="169"/>
      <c r="D1217" s="147" t="s">
        <v>595</v>
      </c>
      <c r="E1217" s="165"/>
      <c r="F1217" s="150"/>
      <c r="G1217" s="147"/>
      <c r="H1217" s="147">
        <v>3521</v>
      </c>
      <c r="I1217" s="152">
        <f t="shared" si="28"/>
        <v>4.7525206851404427E-2</v>
      </c>
      <c r="J1217" s="147"/>
      <c r="K1217" s="139"/>
    </row>
    <row r="1218" spans="1:11" ht="12.75" x14ac:dyDescent="0.2">
      <c r="A1218" s="147"/>
      <c r="B1218" s="147"/>
      <c r="C1218" s="169"/>
      <c r="D1218" s="147" t="s">
        <v>615</v>
      </c>
      <c r="E1218" s="165"/>
      <c r="F1218" s="150"/>
      <c r="G1218" s="147"/>
      <c r="H1218" s="147">
        <v>12041</v>
      </c>
      <c r="I1218" s="152">
        <f t="shared" si="28"/>
        <v>0.16252513936318114</v>
      </c>
      <c r="J1218" s="151"/>
      <c r="K1218" s="139"/>
    </row>
    <row r="1219" spans="1:11" ht="12.75" x14ac:dyDescent="0.2">
      <c r="A1219" s="147"/>
      <c r="B1219" s="147"/>
      <c r="C1219" s="169"/>
      <c r="D1219" s="148" t="s">
        <v>33</v>
      </c>
      <c r="E1219" s="165"/>
      <c r="F1219" s="150"/>
      <c r="G1219" s="147"/>
      <c r="H1219" s="167">
        <f>SUM(H1208:H1218)</f>
        <v>74087</v>
      </c>
      <c r="I1219" s="168">
        <f>SUM(I1208:I1218)</f>
        <v>1</v>
      </c>
      <c r="J1219" s="147"/>
      <c r="K1219" s="139"/>
    </row>
    <row r="1220" spans="1:11" ht="12.75" x14ac:dyDescent="0.2">
      <c r="A1220" s="147"/>
      <c r="B1220" s="147"/>
      <c r="C1220" s="169"/>
      <c r="D1220" s="148"/>
      <c r="E1220" s="165"/>
      <c r="F1220" s="150"/>
      <c r="G1220" s="147"/>
      <c r="H1220" s="147"/>
      <c r="I1220" s="152"/>
      <c r="J1220" s="147"/>
      <c r="K1220" s="139"/>
    </row>
    <row r="1221" spans="1:11" ht="12.75" x14ac:dyDescent="0.2">
      <c r="A1221" s="148" t="s">
        <v>20</v>
      </c>
      <c r="B1221" s="148"/>
      <c r="C1221" s="148" t="s">
        <v>289</v>
      </c>
      <c r="D1221" s="147" t="s">
        <v>683</v>
      </c>
      <c r="E1221" s="165">
        <v>43343</v>
      </c>
      <c r="F1221" s="150">
        <v>32120866</v>
      </c>
      <c r="G1221" s="147">
        <v>136786</v>
      </c>
      <c r="H1221" s="147"/>
      <c r="I1221" s="152"/>
      <c r="J1221" s="147"/>
      <c r="K1221" s="139"/>
    </row>
    <row r="1222" spans="1:11" ht="12.75" x14ac:dyDescent="0.2">
      <c r="A1222" s="147"/>
      <c r="B1222" s="147"/>
      <c r="C1222" s="169"/>
      <c r="D1222" s="147" t="s">
        <v>581</v>
      </c>
      <c r="E1222" s="165"/>
      <c r="F1222" s="150"/>
      <c r="G1222" s="147"/>
      <c r="H1222" s="147">
        <v>7425</v>
      </c>
      <c r="I1222" s="152">
        <f>(H1222/$H$1226)</f>
        <v>8.2030602662542126E-2</v>
      </c>
      <c r="J1222" s="151" t="s">
        <v>236</v>
      </c>
      <c r="K1222" s="139"/>
    </row>
    <row r="1223" spans="1:11" ht="12.75" x14ac:dyDescent="0.2">
      <c r="A1223" s="147"/>
      <c r="B1223" s="147"/>
      <c r="C1223" s="169"/>
      <c r="D1223" s="147" t="s">
        <v>627</v>
      </c>
      <c r="E1223" s="165"/>
      <c r="F1223" s="150"/>
      <c r="G1223" s="147"/>
      <c r="H1223" s="147">
        <v>1975</v>
      </c>
      <c r="I1223" s="152">
        <f>(H1223/$H$1226)</f>
        <v>2.1819587913605481E-2</v>
      </c>
      <c r="J1223" s="147"/>
      <c r="K1223" s="139"/>
    </row>
    <row r="1224" spans="1:11" ht="12.75" x14ac:dyDescent="0.2">
      <c r="A1224" s="147"/>
      <c r="B1224" s="147"/>
      <c r="C1224" s="169"/>
      <c r="D1224" s="147" t="s">
        <v>583</v>
      </c>
      <c r="E1224" s="165"/>
      <c r="F1224" s="150"/>
      <c r="G1224" s="147"/>
      <c r="H1224" s="147">
        <v>1725</v>
      </c>
      <c r="I1224" s="152">
        <f>(H1224/$H$1226)</f>
        <v>1.9057614759984534E-2</v>
      </c>
      <c r="J1224" s="147"/>
      <c r="K1224" s="139"/>
    </row>
    <row r="1225" spans="1:11" ht="12.75" x14ac:dyDescent="0.2">
      <c r="A1225" s="147"/>
      <c r="B1225" s="147"/>
      <c r="C1225" s="169"/>
      <c r="D1225" s="147" t="s">
        <v>589</v>
      </c>
      <c r="E1225" s="165"/>
      <c r="F1225" s="150"/>
      <c r="G1225" s="147"/>
      <c r="H1225" s="147">
        <v>79390</v>
      </c>
      <c r="I1225" s="152">
        <f>(H1225/$H$1226)</f>
        <v>0.8770921946638679</v>
      </c>
      <c r="J1225" s="151" t="s">
        <v>666</v>
      </c>
      <c r="K1225" s="139"/>
    </row>
    <row r="1226" spans="1:11" ht="12.75" x14ac:dyDescent="0.2">
      <c r="A1226" s="147"/>
      <c r="B1226" s="147"/>
      <c r="C1226" s="169"/>
      <c r="D1226" s="148" t="s">
        <v>33</v>
      </c>
      <c r="E1226" s="165"/>
      <c r="F1226" s="150"/>
      <c r="G1226" s="147"/>
      <c r="H1226" s="167">
        <f>SUM(H1222:H1225)</f>
        <v>90515</v>
      </c>
      <c r="I1226" s="168">
        <f>SUM(I1222:I1225)</f>
        <v>1</v>
      </c>
      <c r="J1226" s="147"/>
      <c r="K1226" s="139"/>
    </row>
    <row r="1227" spans="1:11" ht="12.75" x14ac:dyDescent="0.2">
      <c r="A1227" s="147"/>
      <c r="B1227" s="147"/>
      <c r="C1227" s="169"/>
      <c r="D1227" s="148"/>
      <c r="E1227" s="165"/>
      <c r="F1227" s="150"/>
      <c r="G1227" s="147"/>
      <c r="H1227" s="147"/>
      <c r="I1227" s="152"/>
      <c r="J1227" s="147"/>
      <c r="K1227" s="139"/>
    </row>
    <row r="1228" spans="1:11" ht="12.75" x14ac:dyDescent="0.2">
      <c r="A1228" s="173" t="s">
        <v>20</v>
      </c>
      <c r="B1228" s="173"/>
      <c r="C1228" s="173" t="s">
        <v>289</v>
      </c>
      <c r="D1228" s="177" t="s">
        <v>691</v>
      </c>
      <c r="E1228" s="175">
        <v>43708</v>
      </c>
      <c r="F1228" s="176">
        <v>51926939.270000003</v>
      </c>
      <c r="G1228" s="177">
        <v>148000</v>
      </c>
      <c r="H1228" s="177"/>
      <c r="I1228" s="178"/>
      <c r="J1228" s="177"/>
      <c r="K1228" s="139"/>
    </row>
    <row r="1229" spans="1:11" ht="12.75" x14ac:dyDescent="0.2">
      <c r="A1229" s="147"/>
      <c r="B1229" s="147"/>
      <c r="C1229" s="169"/>
      <c r="D1229" s="147" t="s">
        <v>581</v>
      </c>
      <c r="E1229" s="165"/>
      <c r="F1229" s="150"/>
      <c r="G1229" s="147"/>
      <c r="H1229" s="147">
        <v>32304</v>
      </c>
      <c r="I1229" s="152">
        <f t="shared" ref="I1229:I1236" si="29">(H1229/$H$1236)</f>
        <v>0.20807193373439653</v>
      </c>
      <c r="J1229" s="151"/>
      <c r="K1229" s="139"/>
    </row>
    <row r="1230" spans="1:11" ht="12.75" x14ac:dyDescent="0.2">
      <c r="A1230" s="147"/>
      <c r="B1230" s="147"/>
      <c r="C1230" s="169"/>
      <c r="D1230" s="147" t="s">
        <v>627</v>
      </c>
      <c r="E1230" s="165"/>
      <c r="F1230" s="150"/>
      <c r="G1230" s="147"/>
      <c r="H1230" s="147">
        <v>10041</v>
      </c>
      <c r="I1230" s="152">
        <f t="shared" si="29"/>
        <v>6.4674662166514227E-2</v>
      </c>
      <c r="J1230" s="147"/>
      <c r="K1230" s="139"/>
    </row>
    <row r="1231" spans="1:11" ht="12.75" x14ac:dyDescent="0.2">
      <c r="A1231" s="147"/>
      <c r="B1231" s="147"/>
      <c r="C1231" s="169"/>
      <c r="D1231" s="147" t="s">
        <v>583</v>
      </c>
      <c r="E1231" s="165"/>
      <c r="F1231" s="150"/>
      <c r="G1231" s="147"/>
      <c r="H1231" s="147">
        <v>10490</v>
      </c>
      <c r="I1231" s="152">
        <f t="shared" si="29"/>
        <v>6.7566697154340633E-2</v>
      </c>
      <c r="J1231" s="147"/>
      <c r="K1231" s="139"/>
    </row>
    <row r="1232" spans="1:11" ht="12.75" x14ac:dyDescent="0.2">
      <c r="A1232" s="147"/>
      <c r="B1232" s="147"/>
      <c r="C1232" s="169"/>
      <c r="D1232" s="191" t="s">
        <v>78</v>
      </c>
      <c r="E1232" s="165"/>
      <c r="F1232" s="150"/>
      <c r="G1232" s="147"/>
      <c r="H1232" s="147">
        <v>294</v>
      </c>
      <c r="I1232" s="152">
        <f t="shared" si="29"/>
        <v>1.8936710165277546E-3</v>
      </c>
      <c r="J1232" s="147"/>
      <c r="K1232" s="139"/>
    </row>
    <row r="1233" spans="1:17" ht="12.75" x14ac:dyDescent="0.2">
      <c r="A1233" s="147"/>
      <c r="B1233" s="147"/>
      <c r="C1233" s="169"/>
      <c r="D1233" s="147" t="s">
        <v>589</v>
      </c>
      <c r="E1233" s="165"/>
      <c r="F1233" s="150"/>
      <c r="G1233" s="147"/>
      <c r="H1233" s="147">
        <v>29085</v>
      </c>
      <c r="I1233" s="152">
        <f t="shared" si="29"/>
        <v>0.18733816842078144</v>
      </c>
      <c r="J1233" s="151"/>
      <c r="K1233" s="139"/>
    </row>
    <row r="1234" spans="1:17" s="20" customFormat="1" ht="12.75" x14ac:dyDescent="0.2">
      <c r="A1234" s="147"/>
      <c r="B1234" s="147"/>
      <c r="C1234" s="169"/>
      <c r="D1234" s="191" t="s">
        <v>98</v>
      </c>
      <c r="E1234" s="165"/>
      <c r="F1234" s="150"/>
      <c r="G1234" s="147"/>
      <c r="H1234" s="147">
        <v>1393</v>
      </c>
      <c r="I1234" s="152">
        <f t="shared" si="29"/>
        <v>8.9723936259291232E-3</v>
      </c>
      <c r="J1234" s="151"/>
      <c r="K1234" s="139"/>
      <c r="L1234" s="6"/>
      <c r="M1234" s="6"/>
      <c r="N1234" s="6"/>
      <c r="O1234" s="6"/>
      <c r="P1234" s="6"/>
      <c r="Q1234" s="6"/>
    </row>
    <row r="1235" spans="1:17" ht="12.75" x14ac:dyDescent="0.2">
      <c r="A1235" s="147"/>
      <c r="B1235" s="147"/>
      <c r="C1235" s="169"/>
      <c r="D1235" s="191" t="s">
        <v>669</v>
      </c>
      <c r="E1235" s="165"/>
      <c r="F1235" s="150"/>
      <c r="G1235" s="147"/>
      <c r="H1235" s="147">
        <v>71647</v>
      </c>
      <c r="I1235" s="152">
        <f t="shared" si="29"/>
        <v>0.46148247388151031</v>
      </c>
      <c r="J1235" s="151"/>
      <c r="K1235" s="139"/>
    </row>
    <row r="1236" spans="1:17" ht="12.75" x14ac:dyDescent="0.2">
      <c r="A1236" s="147"/>
      <c r="B1236" s="147"/>
      <c r="C1236" s="169"/>
      <c r="D1236" s="148" t="s">
        <v>33</v>
      </c>
      <c r="E1236" s="165"/>
      <c r="F1236" s="150"/>
      <c r="G1236" s="147"/>
      <c r="H1236" s="167">
        <f>SUM(H1229:H1235)</f>
        <v>155254</v>
      </c>
      <c r="I1236" s="168">
        <f t="shared" si="29"/>
        <v>1</v>
      </c>
      <c r="J1236" s="147"/>
      <c r="K1236" s="139"/>
    </row>
    <row r="1237" spans="1:17" ht="12.75" x14ac:dyDescent="0.2">
      <c r="A1237" s="147"/>
      <c r="B1237" s="147"/>
      <c r="C1237" s="169"/>
      <c r="D1237" s="148"/>
      <c r="E1237" s="165"/>
      <c r="F1237" s="150"/>
      <c r="G1237" s="147"/>
      <c r="H1237" s="147"/>
      <c r="I1237" s="152"/>
      <c r="J1237" s="147"/>
      <c r="K1237" s="139"/>
    </row>
    <row r="1238" spans="1:17" ht="12.75" x14ac:dyDescent="0.2">
      <c r="A1238" s="173" t="s">
        <v>20</v>
      </c>
      <c r="B1238" s="173"/>
      <c r="C1238" s="173" t="s">
        <v>289</v>
      </c>
      <c r="D1238" s="177" t="s">
        <v>692</v>
      </c>
      <c r="E1238" s="175" t="s">
        <v>693</v>
      </c>
      <c r="F1238" s="176">
        <v>5830863.8399999999</v>
      </c>
      <c r="G1238" s="177">
        <v>13086</v>
      </c>
      <c r="H1238" s="177"/>
      <c r="I1238" s="178"/>
      <c r="J1238" s="177"/>
      <c r="K1238" s="140"/>
      <c r="L1238" s="20"/>
      <c r="M1238" s="20"/>
      <c r="N1238" s="20"/>
      <c r="O1238" s="20"/>
      <c r="P1238" s="20"/>
      <c r="Q1238" s="20"/>
    </row>
    <row r="1239" spans="1:17" ht="12.75" x14ac:dyDescent="0.2">
      <c r="A1239" s="147"/>
      <c r="B1239" s="147"/>
      <c r="C1239" s="169"/>
      <c r="D1239" s="147" t="s">
        <v>603</v>
      </c>
      <c r="E1239" s="165"/>
      <c r="F1239" s="150"/>
      <c r="G1239" s="147"/>
      <c r="H1239" s="147">
        <v>2703</v>
      </c>
      <c r="I1239" s="152">
        <f>(H1239/$H$1243)</f>
        <v>0.23706367303981757</v>
      </c>
      <c r="J1239" s="147"/>
      <c r="K1239" s="139"/>
    </row>
    <row r="1240" spans="1:17" ht="12.75" x14ac:dyDescent="0.2">
      <c r="A1240" s="147"/>
      <c r="B1240" s="147"/>
      <c r="C1240" s="169"/>
      <c r="D1240" s="147" t="s">
        <v>583</v>
      </c>
      <c r="E1240" s="165"/>
      <c r="F1240" s="150"/>
      <c r="G1240" s="147"/>
      <c r="H1240" s="147">
        <v>287</v>
      </c>
      <c r="I1240" s="152">
        <f>(H1240/$H$1243)</f>
        <v>2.5171022627609192E-2</v>
      </c>
      <c r="J1240" s="147"/>
      <c r="K1240" s="139"/>
    </row>
    <row r="1241" spans="1:17" s="20" customFormat="1" ht="12.75" x14ac:dyDescent="0.2">
      <c r="A1241" s="147"/>
      <c r="B1241" s="147"/>
      <c r="C1241" s="169"/>
      <c r="D1241" s="147" t="s">
        <v>589</v>
      </c>
      <c r="E1241" s="165"/>
      <c r="F1241" s="150"/>
      <c r="G1241" s="147"/>
      <c r="H1241" s="147">
        <v>1417</v>
      </c>
      <c r="I1241" s="152">
        <f>(H1241/$H$1243)</f>
        <v>0.12427644272934572</v>
      </c>
      <c r="J1241" s="151"/>
      <c r="K1241" s="139"/>
      <c r="L1241" s="6"/>
      <c r="M1241" s="6"/>
      <c r="N1241" s="6"/>
      <c r="O1241" s="6"/>
      <c r="P1241" s="6"/>
      <c r="Q1241" s="6"/>
    </row>
    <row r="1242" spans="1:17" ht="12.75" x14ac:dyDescent="0.2">
      <c r="A1242" s="147"/>
      <c r="B1242" s="147"/>
      <c r="C1242" s="169"/>
      <c r="D1242" s="191" t="s">
        <v>669</v>
      </c>
      <c r="E1242" s="165"/>
      <c r="F1242" s="150"/>
      <c r="G1242" s="147"/>
      <c r="H1242" s="147">
        <v>6995</v>
      </c>
      <c r="I1242" s="152">
        <f>(H1242/$H$1243)</f>
        <v>0.61348886160322746</v>
      </c>
      <c r="J1242" s="151"/>
      <c r="K1242" s="139"/>
    </row>
    <row r="1243" spans="1:17" ht="12.75" x14ac:dyDescent="0.2">
      <c r="A1243" s="147"/>
      <c r="B1243" s="147"/>
      <c r="C1243" s="169"/>
      <c r="D1243" s="148" t="s">
        <v>33</v>
      </c>
      <c r="E1243" s="165"/>
      <c r="F1243" s="150"/>
      <c r="G1243" s="147"/>
      <c r="H1243" s="167">
        <f>SUM(H1239:H1242)</f>
        <v>11402</v>
      </c>
      <c r="I1243" s="168">
        <f>(H1243/$H$1243)</f>
        <v>1</v>
      </c>
      <c r="J1243" s="147"/>
      <c r="K1243" s="139"/>
    </row>
    <row r="1244" spans="1:17" ht="12.75" x14ac:dyDescent="0.2">
      <c r="A1244" s="147"/>
      <c r="B1244" s="147"/>
      <c r="C1244" s="169"/>
      <c r="D1244" s="148"/>
      <c r="E1244" s="165"/>
      <c r="F1244" s="150"/>
      <c r="G1244" s="147"/>
      <c r="H1244" s="147"/>
      <c r="I1244" s="152"/>
      <c r="J1244" s="147"/>
      <c r="K1244" s="139"/>
    </row>
    <row r="1245" spans="1:17" ht="12.75" x14ac:dyDescent="0.2">
      <c r="A1245" s="173" t="s">
        <v>20</v>
      </c>
      <c r="B1245" s="173"/>
      <c r="C1245" s="173" t="s">
        <v>289</v>
      </c>
      <c r="D1245" s="177" t="s">
        <v>694</v>
      </c>
      <c r="E1245" s="175">
        <v>43709</v>
      </c>
      <c r="F1245" s="176">
        <v>13071508.380000001</v>
      </c>
      <c r="G1245" s="177">
        <v>242136</v>
      </c>
      <c r="H1245" s="177"/>
      <c r="I1245" s="178"/>
      <c r="J1245" s="177"/>
      <c r="K1245" s="140"/>
      <c r="L1245" s="20"/>
      <c r="M1245" s="20"/>
      <c r="N1245" s="20"/>
      <c r="O1245" s="20"/>
      <c r="P1245" s="20"/>
      <c r="Q1245" s="20"/>
    </row>
    <row r="1246" spans="1:17" s="20" customFormat="1" ht="12.75" x14ac:dyDescent="0.2">
      <c r="A1246" s="147"/>
      <c r="B1246" s="147"/>
      <c r="C1246" s="169"/>
      <c r="D1246" s="191" t="s">
        <v>695</v>
      </c>
      <c r="E1246" s="165"/>
      <c r="F1246" s="150"/>
      <c r="G1246" s="147"/>
      <c r="H1246" s="147">
        <v>2733</v>
      </c>
      <c r="I1246" s="152">
        <f>(H1246/$H$1248)</f>
        <v>1.1881110642571155E-2</v>
      </c>
      <c r="J1246" s="147"/>
      <c r="K1246" s="139"/>
      <c r="L1246" s="6"/>
      <c r="M1246" s="6"/>
      <c r="N1246" s="6"/>
      <c r="O1246" s="6"/>
      <c r="P1246" s="6"/>
      <c r="Q1246" s="6"/>
    </row>
    <row r="1247" spans="1:17" ht="12.75" x14ac:dyDescent="0.2">
      <c r="A1247" s="147"/>
      <c r="B1247" s="147"/>
      <c r="C1247" s="169"/>
      <c r="D1247" s="191" t="s">
        <v>669</v>
      </c>
      <c r="E1247" s="165"/>
      <c r="F1247" s="150"/>
      <c r="G1247" s="147"/>
      <c r="H1247" s="147">
        <v>227296</v>
      </c>
      <c r="I1247" s="152">
        <f>(H1247/$H$1248)</f>
        <v>0.98811888935742886</v>
      </c>
      <c r="J1247" s="151"/>
      <c r="K1247" s="139"/>
    </row>
    <row r="1248" spans="1:17" ht="12.75" x14ac:dyDescent="0.2">
      <c r="A1248" s="147"/>
      <c r="B1248" s="147"/>
      <c r="C1248" s="169"/>
      <c r="D1248" s="148" t="s">
        <v>33</v>
      </c>
      <c r="E1248" s="165"/>
      <c r="F1248" s="150"/>
      <c r="G1248" s="147"/>
      <c r="H1248" s="167">
        <f>SUM(H1246:H1247)</f>
        <v>230029</v>
      </c>
      <c r="I1248" s="168">
        <f>(H1248/$H$1248)</f>
        <v>1</v>
      </c>
      <c r="J1248" s="147"/>
      <c r="K1248" s="139"/>
    </row>
    <row r="1249" spans="1:17" ht="12.75" x14ac:dyDescent="0.2">
      <c r="A1249" s="147"/>
      <c r="B1249" s="147"/>
      <c r="C1249" s="169"/>
      <c r="D1249" s="148"/>
      <c r="E1249" s="165"/>
      <c r="F1249" s="150"/>
      <c r="G1249" s="147"/>
      <c r="H1249" s="147"/>
      <c r="I1249" s="152"/>
      <c r="J1249" s="147"/>
      <c r="K1249" s="139"/>
    </row>
    <row r="1250" spans="1:17" ht="12.75" x14ac:dyDescent="0.2">
      <c r="A1250" s="173" t="s">
        <v>20</v>
      </c>
      <c r="B1250" s="173"/>
      <c r="C1250" s="173" t="s">
        <v>506</v>
      </c>
      <c r="D1250" s="177" t="s">
        <v>696</v>
      </c>
      <c r="E1250" s="175" t="s">
        <v>697</v>
      </c>
      <c r="F1250" s="176">
        <v>10480763.67</v>
      </c>
      <c r="G1250" s="177">
        <v>9221</v>
      </c>
      <c r="H1250" s="177"/>
      <c r="I1250" s="178"/>
      <c r="J1250" s="177"/>
      <c r="K1250" s="140"/>
      <c r="L1250" s="20"/>
      <c r="M1250" s="20"/>
      <c r="N1250" s="20"/>
      <c r="O1250" s="20"/>
      <c r="P1250" s="20"/>
      <c r="Q1250" s="20"/>
    </row>
    <row r="1251" spans="1:17" s="20" customFormat="1" ht="12.75" x14ac:dyDescent="0.2">
      <c r="A1251" s="147"/>
      <c r="B1251" s="147"/>
      <c r="C1251" s="169"/>
      <c r="D1251" s="191" t="s">
        <v>679</v>
      </c>
      <c r="E1251" s="165"/>
      <c r="F1251" s="150"/>
      <c r="G1251" s="147"/>
      <c r="H1251" s="147">
        <v>229</v>
      </c>
      <c r="I1251" s="152">
        <f>(H1251/$H$1253)</f>
        <v>2.6624811068480411E-2</v>
      </c>
      <c r="J1251" s="147"/>
      <c r="K1251" s="139"/>
      <c r="L1251" s="6"/>
      <c r="M1251" s="6"/>
      <c r="N1251" s="6"/>
      <c r="O1251" s="6"/>
      <c r="P1251" s="6"/>
      <c r="Q1251" s="6"/>
    </row>
    <row r="1252" spans="1:17" ht="12.75" x14ac:dyDescent="0.2">
      <c r="A1252" s="147"/>
      <c r="B1252" s="147"/>
      <c r="C1252" s="169"/>
      <c r="D1252" s="191" t="s">
        <v>669</v>
      </c>
      <c r="E1252" s="165"/>
      <c r="F1252" s="150"/>
      <c r="G1252" s="147"/>
      <c r="H1252" s="147">
        <v>8372</v>
      </c>
      <c r="I1252" s="152">
        <f>(H1252/$H$1253)</f>
        <v>0.97337518893151964</v>
      </c>
      <c r="J1252" s="151"/>
      <c r="K1252" s="139"/>
    </row>
    <row r="1253" spans="1:17" ht="12.75" x14ac:dyDescent="0.2">
      <c r="A1253" s="147"/>
      <c r="B1253" s="147"/>
      <c r="C1253" s="169"/>
      <c r="D1253" s="148" t="s">
        <v>33</v>
      </c>
      <c r="E1253" s="165"/>
      <c r="F1253" s="150"/>
      <c r="G1253" s="147"/>
      <c r="H1253" s="167">
        <f>SUM(H1251:H1252)</f>
        <v>8601</v>
      </c>
      <c r="I1253" s="168">
        <f>(H1253/$H$1253)</f>
        <v>1</v>
      </c>
      <c r="J1253" s="147"/>
      <c r="K1253" s="139"/>
    </row>
    <row r="1254" spans="1:17" ht="12.75" x14ac:dyDescent="0.2">
      <c r="A1254" s="147"/>
      <c r="B1254" s="147"/>
      <c r="C1254" s="169"/>
      <c r="D1254" s="148"/>
      <c r="E1254" s="165"/>
      <c r="F1254" s="150"/>
      <c r="G1254" s="147"/>
      <c r="H1254" s="147"/>
      <c r="I1254" s="152"/>
      <c r="J1254" s="147"/>
      <c r="K1254" s="139"/>
    </row>
    <row r="1255" spans="1:17" ht="12.75" x14ac:dyDescent="0.2">
      <c r="A1255" s="173" t="s">
        <v>20</v>
      </c>
      <c r="B1255" s="173"/>
      <c r="C1255" s="173" t="s">
        <v>289</v>
      </c>
      <c r="D1255" s="177" t="s">
        <v>698</v>
      </c>
      <c r="E1255" s="175">
        <v>43642</v>
      </c>
      <c r="F1255" s="176">
        <v>3375161.14</v>
      </c>
      <c r="G1255" s="177">
        <v>23852</v>
      </c>
      <c r="H1255" s="177"/>
      <c r="I1255" s="178"/>
      <c r="J1255" s="177"/>
      <c r="K1255" s="140"/>
      <c r="L1255" s="20"/>
      <c r="M1255" s="20"/>
      <c r="N1255" s="20"/>
      <c r="O1255" s="20"/>
      <c r="P1255" s="20"/>
      <c r="Q1255" s="20"/>
    </row>
    <row r="1256" spans="1:17" ht="12.75" x14ac:dyDescent="0.2">
      <c r="A1256" s="147"/>
      <c r="B1256" s="147"/>
      <c r="C1256" s="169"/>
      <c r="D1256" s="147" t="s">
        <v>581</v>
      </c>
      <c r="E1256" s="165"/>
      <c r="F1256" s="150"/>
      <c r="G1256" s="147"/>
      <c r="H1256" s="147">
        <v>4567</v>
      </c>
      <c r="I1256" s="152">
        <f>(H1256/$H$1260)</f>
        <v>0.20634346902814801</v>
      </c>
      <c r="J1256" s="151"/>
      <c r="K1256" s="139"/>
    </row>
    <row r="1257" spans="1:17" ht="12.75" x14ac:dyDescent="0.2">
      <c r="A1257" s="147"/>
      <c r="B1257" s="147"/>
      <c r="C1257" s="169"/>
      <c r="D1257" s="147" t="s">
        <v>627</v>
      </c>
      <c r="E1257" s="165"/>
      <c r="F1257" s="150"/>
      <c r="G1257" s="147"/>
      <c r="H1257" s="147">
        <v>3694</v>
      </c>
      <c r="I1257" s="152">
        <f>(H1257/$H$1260)</f>
        <v>0.16690010391722768</v>
      </c>
      <c r="J1257" s="147"/>
      <c r="K1257" s="139"/>
    </row>
    <row r="1258" spans="1:17" s="20" customFormat="1" ht="12.75" x14ac:dyDescent="0.2">
      <c r="A1258" s="147"/>
      <c r="B1258" s="147"/>
      <c r="C1258" s="169"/>
      <c r="D1258" s="147" t="s">
        <v>589</v>
      </c>
      <c r="E1258" s="165"/>
      <c r="F1258" s="150"/>
      <c r="G1258" s="147"/>
      <c r="H1258" s="147">
        <v>5912</v>
      </c>
      <c r="I1258" s="152">
        <f>(H1258/$H$1260)</f>
        <v>0.26711245651289928</v>
      </c>
      <c r="J1258" s="151" t="s">
        <v>596</v>
      </c>
      <c r="K1258" s="139"/>
      <c r="L1258" s="6"/>
      <c r="M1258" s="6"/>
      <c r="N1258" s="6"/>
      <c r="O1258" s="6"/>
      <c r="P1258" s="6"/>
      <c r="Q1258" s="6"/>
    </row>
    <row r="1259" spans="1:17" ht="12.75" x14ac:dyDescent="0.2">
      <c r="A1259" s="147"/>
      <c r="B1259" s="147"/>
      <c r="C1259" s="169"/>
      <c r="D1259" s="191" t="s">
        <v>669</v>
      </c>
      <c r="E1259" s="165"/>
      <c r="F1259" s="150"/>
      <c r="G1259" s="147"/>
      <c r="H1259" s="147">
        <v>7960</v>
      </c>
      <c r="I1259" s="152">
        <f>(H1259/$H$1260)</f>
        <v>0.35964397054172503</v>
      </c>
      <c r="J1259" s="151"/>
      <c r="K1259" s="139"/>
    </row>
    <row r="1260" spans="1:17" ht="12.75" x14ac:dyDescent="0.2">
      <c r="A1260" s="147"/>
      <c r="B1260" s="147"/>
      <c r="C1260" s="169"/>
      <c r="D1260" s="148" t="s">
        <v>33</v>
      </c>
      <c r="E1260" s="165"/>
      <c r="F1260" s="150"/>
      <c r="G1260" s="147"/>
      <c r="H1260" s="167">
        <f>SUM(H1256:H1259)</f>
        <v>22133</v>
      </c>
      <c r="I1260" s="168">
        <f>(H1260/$H$1260)</f>
        <v>1</v>
      </c>
      <c r="J1260" s="147"/>
      <c r="K1260" s="139"/>
    </row>
    <row r="1261" spans="1:17" ht="12.75" x14ac:dyDescent="0.2">
      <c r="A1261" s="147"/>
      <c r="B1261" s="147"/>
      <c r="C1261" s="169"/>
      <c r="D1261" s="148"/>
      <c r="E1261" s="165"/>
      <c r="F1261" s="150"/>
      <c r="G1261" s="147"/>
      <c r="H1261" s="177"/>
      <c r="I1261" s="152"/>
      <c r="J1261" s="147"/>
      <c r="K1261" s="139"/>
    </row>
    <row r="1262" spans="1:17" s="20" customFormat="1" ht="12.75" x14ac:dyDescent="0.2">
      <c r="A1262" s="173" t="s">
        <v>20</v>
      </c>
      <c r="B1262" s="173"/>
      <c r="C1262" s="173" t="s">
        <v>289</v>
      </c>
      <c r="D1262" s="177" t="s">
        <v>705</v>
      </c>
      <c r="E1262" s="175">
        <v>43913</v>
      </c>
      <c r="F1262" s="176">
        <v>21080731.789999999</v>
      </c>
      <c r="G1262" s="177">
        <v>47942</v>
      </c>
      <c r="H1262" s="177"/>
      <c r="I1262" s="178"/>
      <c r="J1262" s="177"/>
      <c r="K1262" s="140"/>
    </row>
    <row r="1263" spans="1:17" ht="12.75" x14ac:dyDescent="0.2">
      <c r="A1263" s="147"/>
      <c r="B1263" s="147"/>
      <c r="C1263" s="169"/>
      <c r="D1263" s="147" t="s">
        <v>581</v>
      </c>
      <c r="E1263" s="165"/>
      <c r="F1263" s="150"/>
      <c r="G1263" s="147"/>
      <c r="H1263" s="147">
        <v>2108</v>
      </c>
      <c r="I1263" s="152">
        <f>H1263/H1268</f>
        <v>6.1947162714155575E-2</v>
      </c>
      <c r="J1263" s="151"/>
      <c r="K1263" s="139"/>
    </row>
    <row r="1264" spans="1:17" ht="12.75" x14ac:dyDescent="0.2">
      <c r="A1264" s="147"/>
      <c r="B1264" s="147"/>
      <c r="C1264" s="169"/>
      <c r="D1264" s="191" t="s">
        <v>42</v>
      </c>
      <c r="E1264" s="165"/>
      <c r="F1264" s="150"/>
      <c r="G1264" s="147"/>
      <c r="H1264" s="147">
        <v>26783</v>
      </c>
      <c r="I1264" s="152">
        <f>H1264/H1268</f>
        <v>0.78706397484498514</v>
      </c>
      <c r="J1264" s="151" t="s">
        <v>42</v>
      </c>
      <c r="K1264" s="139"/>
    </row>
    <row r="1265" spans="1:17" ht="12.75" x14ac:dyDescent="0.2">
      <c r="A1265" s="147"/>
      <c r="B1265" s="147"/>
      <c r="C1265" s="169"/>
      <c r="D1265" s="191" t="s">
        <v>706</v>
      </c>
      <c r="E1265" s="165"/>
      <c r="F1265" s="150"/>
      <c r="G1265" s="147"/>
      <c r="H1265" s="147">
        <v>665</v>
      </c>
      <c r="I1265" s="152">
        <f>H1265/H1268</f>
        <v>1.954215522054718E-2</v>
      </c>
      <c r="J1265" s="147"/>
      <c r="K1265" s="139"/>
    </row>
    <row r="1266" spans="1:17" ht="12.75" x14ac:dyDescent="0.2">
      <c r="A1266" s="147"/>
      <c r="B1266" s="147"/>
      <c r="C1266" s="169"/>
      <c r="D1266" s="147" t="s">
        <v>589</v>
      </c>
      <c r="E1266" s="165"/>
      <c r="F1266" s="150"/>
      <c r="G1266" s="147"/>
      <c r="H1266" s="147">
        <v>4445</v>
      </c>
      <c r="I1266" s="152">
        <f>H1266/H1268</f>
        <v>0.13062387963207853</v>
      </c>
      <c r="J1266" s="151"/>
      <c r="K1266" s="140"/>
      <c r="L1266" s="20"/>
      <c r="M1266" s="20"/>
      <c r="N1266" s="20"/>
      <c r="O1266" s="20"/>
      <c r="P1266" s="20"/>
      <c r="Q1266" s="20"/>
    </row>
    <row r="1267" spans="1:17" ht="12.75" x14ac:dyDescent="0.2">
      <c r="A1267" s="147"/>
      <c r="B1267" s="147"/>
      <c r="C1267" s="169"/>
      <c r="D1267" s="191" t="s">
        <v>98</v>
      </c>
      <c r="E1267" s="165"/>
      <c r="F1267" s="150"/>
      <c r="G1267" s="147"/>
      <c r="H1267" s="147">
        <v>28</v>
      </c>
      <c r="I1267" s="152">
        <f>H1267/H1268</f>
        <v>8.2282758823356552E-4</v>
      </c>
      <c r="J1267" s="151"/>
      <c r="K1267" s="139"/>
    </row>
    <row r="1268" spans="1:17" ht="12.75" x14ac:dyDescent="0.2">
      <c r="A1268" s="147"/>
      <c r="B1268" s="147"/>
      <c r="C1268" s="169"/>
      <c r="D1268" s="148" t="s">
        <v>33</v>
      </c>
      <c r="E1268" s="165"/>
      <c r="F1268" s="150"/>
      <c r="G1268" s="147"/>
      <c r="H1268" s="167">
        <f>SUM(H1263:H1267)</f>
        <v>34029</v>
      </c>
      <c r="I1268" s="168">
        <f>SUM(I1263:I1267)</f>
        <v>1</v>
      </c>
      <c r="J1268" s="147"/>
      <c r="K1268" s="139"/>
    </row>
    <row r="1269" spans="1:17" ht="12.75" x14ac:dyDescent="0.2">
      <c r="A1269" s="147"/>
      <c r="B1269" s="147"/>
      <c r="C1269" s="169"/>
      <c r="D1269" s="148"/>
      <c r="E1269" s="165"/>
      <c r="F1269" s="150"/>
      <c r="G1269" s="147"/>
      <c r="H1269" s="177"/>
      <c r="I1269" s="152"/>
      <c r="J1269" s="147"/>
      <c r="K1269" s="139"/>
    </row>
    <row r="1270" spans="1:17" ht="12.75" x14ac:dyDescent="0.2">
      <c r="A1270" s="147"/>
      <c r="B1270" s="147"/>
      <c r="C1270" s="169"/>
      <c r="D1270" s="148"/>
      <c r="E1270" s="165"/>
      <c r="F1270" s="150"/>
      <c r="G1270" s="147"/>
      <c r="H1270" s="177"/>
      <c r="I1270" s="152"/>
      <c r="J1270" s="147"/>
      <c r="K1270" s="139"/>
    </row>
    <row r="1271" spans="1:17" ht="12.75" x14ac:dyDescent="0.2">
      <c r="A1271" s="147"/>
      <c r="B1271" s="147"/>
      <c r="C1271" s="169"/>
      <c r="D1271" s="148"/>
      <c r="E1271" s="165"/>
      <c r="F1271" s="150"/>
      <c r="G1271" s="147"/>
      <c r="H1271" s="147"/>
      <c r="I1271" s="152"/>
      <c r="J1271" s="147"/>
      <c r="K1271" s="139"/>
    </row>
    <row r="1272" spans="1:17" ht="12.75" x14ac:dyDescent="0.2">
      <c r="A1272" s="147"/>
      <c r="B1272" s="147"/>
      <c r="C1272" s="169"/>
      <c r="D1272" s="148"/>
      <c r="E1272" s="165"/>
      <c r="F1272" s="150"/>
      <c r="G1272" s="147"/>
      <c r="H1272" s="147"/>
      <c r="I1272" s="152"/>
      <c r="J1272" s="147"/>
      <c r="K1272" s="139"/>
    </row>
    <row r="1273" spans="1:17" ht="12.75" x14ac:dyDescent="0.2">
      <c r="A1273" s="148" t="s">
        <v>17</v>
      </c>
      <c r="B1273" s="148" t="s">
        <v>341</v>
      </c>
      <c r="C1273" s="148" t="s">
        <v>234</v>
      </c>
      <c r="D1273" s="149" t="s">
        <v>156</v>
      </c>
      <c r="E1273" s="165" t="s">
        <v>342</v>
      </c>
      <c r="F1273" s="150">
        <v>4849900</v>
      </c>
      <c r="G1273" s="147">
        <v>71500</v>
      </c>
      <c r="H1273" s="147"/>
      <c r="I1273" s="152"/>
      <c r="J1273" s="151"/>
      <c r="K1273" s="139"/>
    </row>
    <row r="1274" spans="1:17" ht="12.75" x14ac:dyDescent="0.2">
      <c r="A1274" s="151"/>
      <c r="B1274" s="151"/>
      <c r="C1274" s="148"/>
      <c r="D1274" s="149" t="s">
        <v>261</v>
      </c>
      <c r="E1274" s="165"/>
      <c r="F1274" s="150"/>
      <c r="G1274" s="147"/>
      <c r="H1274" s="147">
        <v>12825</v>
      </c>
      <c r="I1274" s="152">
        <f t="shared" ref="I1274:I1280" si="30">ROUND(H1274/$H$1281,4)</f>
        <v>0.31369999999999998</v>
      </c>
      <c r="J1274" s="153" t="s">
        <v>261</v>
      </c>
      <c r="K1274" s="139"/>
    </row>
    <row r="1275" spans="1:17" ht="12.75" x14ac:dyDescent="0.2">
      <c r="A1275" s="151"/>
      <c r="B1275" s="151"/>
      <c r="C1275" s="148"/>
      <c r="D1275" s="149" t="s">
        <v>238</v>
      </c>
      <c r="E1275" s="165"/>
      <c r="F1275" s="150"/>
      <c r="G1275" s="147"/>
      <c r="H1275" s="147">
        <v>4000</v>
      </c>
      <c r="I1275" s="152">
        <f t="shared" si="30"/>
        <v>9.7799999999999998E-2</v>
      </c>
      <c r="J1275" s="151"/>
      <c r="K1275" s="139"/>
    </row>
    <row r="1276" spans="1:17" ht="12.75" x14ac:dyDescent="0.2">
      <c r="A1276" s="151"/>
      <c r="B1276" s="151"/>
      <c r="C1276" s="148"/>
      <c r="D1276" s="149" t="s">
        <v>239</v>
      </c>
      <c r="E1276" s="165"/>
      <c r="F1276" s="150"/>
      <c r="G1276" s="147"/>
      <c r="H1276" s="147">
        <v>1200</v>
      </c>
      <c r="I1276" s="152">
        <f t="shared" si="30"/>
        <v>2.9399999999999999E-2</v>
      </c>
      <c r="J1276" s="151"/>
      <c r="K1276" s="139"/>
    </row>
    <row r="1277" spans="1:17" ht="12.75" x14ac:dyDescent="0.2">
      <c r="A1277" s="151"/>
      <c r="B1277" s="151"/>
      <c r="C1277" s="148"/>
      <c r="D1277" s="149" t="s">
        <v>240</v>
      </c>
      <c r="E1277" s="165"/>
      <c r="F1277" s="150"/>
      <c r="G1277" s="147"/>
      <c r="H1277" s="147">
        <v>19980</v>
      </c>
      <c r="I1277" s="152">
        <f t="shared" si="30"/>
        <v>0.48870000000000002</v>
      </c>
      <c r="J1277" s="153" t="s">
        <v>240</v>
      </c>
      <c r="K1277" s="139"/>
    </row>
    <row r="1278" spans="1:17" ht="12.75" x14ac:dyDescent="0.2">
      <c r="A1278" s="151"/>
      <c r="B1278" s="151"/>
      <c r="C1278" s="148"/>
      <c r="D1278" s="149" t="s">
        <v>242</v>
      </c>
      <c r="E1278" s="165"/>
      <c r="F1278" s="150"/>
      <c r="G1278" s="147"/>
      <c r="H1278" s="147">
        <v>600</v>
      </c>
      <c r="I1278" s="152">
        <f t="shared" si="30"/>
        <v>1.47E-2</v>
      </c>
      <c r="J1278" s="151"/>
      <c r="K1278" s="139"/>
    </row>
    <row r="1279" spans="1:17" ht="12.75" x14ac:dyDescent="0.2">
      <c r="A1279" s="151"/>
      <c r="B1279" s="151"/>
      <c r="C1279" s="148"/>
      <c r="D1279" s="149" t="s">
        <v>243</v>
      </c>
      <c r="E1279" s="165"/>
      <c r="F1279" s="150"/>
      <c r="G1279" s="147"/>
      <c r="H1279" s="147">
        <v>2000</v>
      </c>
      <c r="I1279" s="152">
        <f t="shared" si="30"/>
        <v>4.8899999999999999E-2</v>
      </c>
      <c r="J1279" s="151"/>
      <c r="K1279" s="139"/>
    </row>
    <row r="1280" spans="1:17" ht="12.75" x14ac:dyDescent="0.2">
      <c r="A1280" s="151"/>
      <c r="B1280" s="151"/>
      <c r="C1280" s="148"/>
      <c r="D1280" s="154" t="s">
        <v>244</v>
      </c>
      <c r="E1280" s="165"/>
      <c r="F1280" s="150"/>
      <c r="G1280" s="147"/>
      <c r="H1280" s="147">
        <v>280</v>
      </c>
      <c r="I1280" s="152">
        <f t="shared" si="30"/>
        <v>6.7999999999999996E-3</v>
      </c>
      <c r="J1280" s="151"/>
      <c r="K1280" s="139"/>
    </row>
    <row r="1281" spans="1:11" ht="12.75" x14ac:dyDescent="0.2">
      <c r="A1281" s="151"/>
      <c r="B1281" s="151"/>
      <c r="C1281" s="148"/>
      <c r="D1281" s="148" t="s">
        <v>33</v>
      </c>
      <c r="E1281" s="165"/>
      <c r="F1281" s="150"/>
      <c r="G1281" s="147"/>
      <c r="H1281" s="155">
        <f>SUM(H1274:H1280)</f>
        <v>40885</v>
      </c>
      <c r="I1281" s="156">
        <f>SUM(I1274:I1280)</f>
        <v>1</v>
      </c>
      <c r="J1281" s="151"/>
      <c r="K1281" s="139"/>
    </row>
    <row r="1282" spans="1:11" ht="12.75" x14ac:dyDescent="0.2">
      <c r="A1282" s="151"/>
      <c r="B1282" s="151"/>
      <c r="C1282" s="148"/>
      <c r="D1282" s="148"/>
      <c r="E1282" s="165"/>
      <c r="F1282" s="150"/>
      <c r="G1282" s="147"/>
      <c r="H1282" s="157"/>
      <c r="I1282" s="158"/>
      <c r="J1282" s="151"/>
      <c r="K1282" s="139"/>
    </row>
    <row r="1283" spans="1:11" ht="12.75" x14ac:dyDescent="0.2">
      <c r="A1283" s="148" t="s">
        <v>17</v>
      </c>
      <c r="B1283" s="148" t="s">
        <v>343</v>
      </c>
      <c r="C1283" s="148" t="s">
        <v>234</v>
      </c>
      <c r="D1283" s="149" t="s">
        <v>45</v>
      </c>
      <c r="E1283" s="165" t="s">
        <v>344</v>
      </c>
      <c r="F1283" s="150">
        <v>4885500</v>
      </c>
      <c r="G1283" s="147">
        <v>78403</v>
      </c>
      <c r="H1283" s="147"/>
      <c r="I1283" s="152"/>
      <c r="J1283" s="151"/>
      <c r="K1283" s="139"/>
    </row>
    <row r="1284" spans="1:11" ht="12.75" x14ac:dyDescent="0.2">
      <c r="A1284" s="151"/>
      <c r="B1284" s="151"/>
      <c r="C1284" s="148"/>
      <c r="D1284" s="149" t="s">
        <v>261</v>
      </c>
      <c r="E1284" s="165"/>
      <c r="F1284" s="150"/>
      <c r="G1284" s="147"/>
      <c r="H1284" s="147">
        <v>2600</v>
      </c>
      <c r="I1284" s="152">
        <f>ROUND(H1284/$H$1289,4)</f>
        <v>4.07E-2</v>
      </c>
      <c r="J1284" s="151"/>
      <c r="K1284" s="139"/>
    </row>
    <row r="1285" spans="1:11" ht="12.75" x14ac:dyDescent="0.2">
      <c r="A1285" s="151"/>
      <c r="B1285" s="151"/>
      <c r="C1285" s="148"/>
      <c r="D1285" s="149" t="s">
        <v>238</v>
      </c>
      <c r="E1285" s="165"/>
      <c r="F1285" s="150"/>
      <c r="G1285" s="147"/>
      <c r="H1285" s="147">
        <v>800</v>
      </c>
      <c r="I1285" s="152">
        <f>ROUND(H1285/$H$1289,4)</f>
        <v>1.2500000000000001E-2</v>
      </c>
      <c r="J1285" s="151"/>
      <c r="K1285" s="139"/>
    </row>
    <row r="1286" spans="1:11" ht="12.75" x14ac:dyDescent="0.2">
      <c r="A1286" s="151"/>
      <c r="B1286" s="151"/>
      <c r="C1286" s="148"/>
      <c r="D1286" s="149" t="s">
        <v>241</v>
      </c>
      <c r="E1286" s="165"/>
      <c r="F1286" s="150"/>
      <c r="G1286" s="147"/>
      <c r="H1286" s="147">
        <v>56952</v>
      </c>
      <c r="I1286" s="152">
        <f>ROUND(H1286/$H$1289,4)</f>
        <v>0.89239999999999997</v>
      </c>
      <c r="J1286" s="153" t="s">
        <v>241</v>
      </c>
      <c r="K1286" s="139"/>
    </row>
    <row r="1287" spans="1:11" ht="12.75" x14ac:dyDescent="0.2">
      <c r="A1287" s="151"/>
      <c r="B1287" s="151"/>
      <c r="C1287" s="148"/>
      <c r="D1287" s="149" t="s">
        <v>240</v>
      </c>
      <c r="E1287" s="165"/>
      <c r="F1287" s="150"/>
      <c r="G1287" s="147"/>
      <c r="H1287" s="147">
        <v>2820</v>
      </c>
      <c r="I1287" s="152">
        <f>ROUND(H1287/$H$1289,4)</f>
        <v>4.4200000000000003E-2</v>
      </c>
      <c r="J1287" s="151"/>
      <c r="K1287" s="139"/>
    </row>
    <row r="1288" spans="1:11" ht="12.75" x14ac:dyDescent="0.2">
      <c r="A1288" s="151"/>
      <c r="B1288" s="151"/>
      <c r="C1288" s="148"/>
      <c r="D1288" s="149" t="s">
        <v>243</v>
      </c>
      <c r="E1288" s="165"/>
      <c r="F1288" s="150"/>
      <c r="G1288" s="147"/>
      <c r="H1288" s="147">
        <v>645</v>
      </c>
      <c r="I1288" s="152">
        <f>ROUND(H1288/$H$1289,4)+0.0001</f>
        <v>1.0199999999999999E-2</v>
      </c>
      <c r="J1288" s="151"/>
      <c r="K1288" s="139"/>
    </row>
    <row r="1289" spans="1:11" ht="12.75" x14ac:dyDescent="0.2">
      <c r="A1289" s="151"/>
      <c r="B1289" s="151"/>
      <c r="C1289" s="148"/>
      <c r="D1289" s="148" t="s">
        <v>33</v>
      </c>
      <c r="E1289" s="165"/>
      <c r="F1289" s="150"/>
      <c r="G1289" s="147"/>
      <c r="H1289" s="155">
        <f>SUM(H1284:H1288)</f>
        <v>63817</v>
      </c>
      <c r="I1289" s="156">
        <f>SUM(I1284:I1288)</f>
        <v>1</v>
      </c>
      <c r="J1289" s="151"/>
      <c r="K1289" s="139"/>
    </row>
    <row r="1290" spans="1:11" ht="12.75" x14ac:dyDescent="0.2">
      <c r="A1290" s="151"/>
      <c r="B1290" s="151"/>
      <c r="C1290" s="148"/>
      <c r="D1290" s="148"/>
      <c r="E1290" s="165"/>
      <c r="F1290" s="150"/>
      <c r="G1290" s="147"/>
      <c r="H1290" s="157"/>
      <c r="I1290" s="158"/>
      <c r="J1290" s="151"/>
      <c r="K1290" s="139"/>
    </row>
    <row r="1291" spans="1:11" ht="12.75" x14ac:dyDescent="0.2">
      <c r="A1291" s="148" t="s">
        <v>17</v>
      </c>
      <c r="B1291" s="148" t="s">
        <v>345</v>
      </c>
      <c r="C1291" s="148" t="s">
        <v>234</v>
      </c>
      <c r="D1291" s="149" t="s">
        <v>346</v>
      </c>
      <c r="E1291" s="165" t="s">
        <v>347</v>
      </c>
      <c r="F1291" s="150">
        <v>1486102</v>
      </c>
      <c r="G1291" s="147">
        <v>20886</v>
      </c>
      <c r="H1291" s="147"/>
      <c r="I1291" s="152"/>
      <c r="J1291" s="151"/>
      <c r="K1291" s="139"/>
    </row>
    <row r="1292" spans="1:11" ht="12.75" x14ac:dyDescent="0.2">
      <c r="A1292" s="151"/>
      <c r="B1292" s="151"/>
      <c r="C1292" s="148"/>
      <c r="D1292" s="149" t="s">
        <v>261</v>
      </c>
      <c r="E1292" s="165"/>
      <c r="F1292" s="150"/>
      <c r="G1292" s="147"/>
      <c r="H1292" s="147">
        <v>412</v>
      </c>
      <c r="I1292" s="152">
        <f>ROUND(H1292/$H$1296,4)</f>
        <v>2.52E-2</v>
      </c>
      <c r="J1292" s="151"/>
      <c r="K1292" s="139"/>
    </row>
    <row r="1293" spans="1:11" ht="12.75" x14ac:dyDescent="0.2">
      <c r="A1293" s="151"/>
      <c r="B1293" s="151"/>
      <c r="C1293" s="148"/>
      <c r="D1293" s="149" t="s">
        <v>238</v>
      </c>
      <c r="E1293" s="165"/>
      <c r="F1293" s="150"/>
      <c r="G1293" s="147"/>
      <c r="H1293" s="147">
        <v>6988</v>
      </c>
      <c r="I1293" s="152">
        <f>ROUND(H1293/$H$1296,4)</f>
        <v>0.42799999999999999</v>
      </c>
      <c r="J1293" s="153" t="s">
        <v>238</v>
      </c>
      <c r="K1293" s="139"/>
    </row>
    <row r="1294" spans="1:11" ht="12.75" x14ac:dyDescent="0.2">
      <c r="A1294" s="151"/>
      <c r="B1294" s="151"/>
      <c r="C1294" s="148"/>
      <c r="D1294" s="149" t="s">
        <v>240</v>
      </c>
      <c r="E1294" s="165"/>
      <c r="F1294" s="150"/>
      <c r="G1294" s="147"/>
      <c r="H1294" s="147">
        <v>1580</v>
      </c>
      <c r="I1294" s="152">
        <f>ROUND(H1294/$H$1296,4)</f>
        <v>9.6799999999999997E-2</v>
      </c>
      <c r="J1294" s="151"/>
      <c r="K1294" s="139"/>
    </row>
    <row r="1295" spans="1:11" ht="12.75" x14ac:dyDescent="0.2">
      <c r="A1295" s="151"/>
      <c r="B1295" s="151"/>
      <c r="C1295" s="148"/>
      <c r="D1295" s="149" t="s">
        <v>262</v>
      </c>
      <c r="E1295" s="165"/>
      <c r="F1295" s="150"/>
      <c r="G1295" s="147"/>
      <c r="H1295" s="147">
        <v>7346</v>
      </c>
      <c r="I1295" s="152">
        <f>ROUND(H1295/$H$1296,4)</f>
        <v>0.45</v>
      </c>
      <c r="J1295" s="153" t="s">
        <v>262</v>
      </c>
      <c r="K1295" s="139"/>
    </row>
    <row r="1296" spans="1:11" ht="12.75" x14ac:dyDescent="0.2">
      <c r="A1296" s="151"/>
      <c r="B1296" s="151"/>
      <c r="C1296" s="148"/>
      <c r="D1296" s="148" t="s">
        <v>33</v>
      </c>
      <c r="E1296" s="165"/>
      <c r="F1296" s="150"/>
      <c r="G1296" s="147"/>
      <c r="H1296" s="196">
        <f>SUM(H1292:H1295)</f>
        <v>16326</v>
      </c>
      <c r="I1296" s="197">
        <f>SUM(I1292:I1295)</f>
        <v>1</v>
      </c>
      <c r="J1296" s="151"/>
      <c r="K1296" s="139"/>
    </row>
    <row r="1297" spans="1:11" ht="12.75" x14ac:dyDescent="0.2">
      <c r="A1297" s="151"/>
      <c r="B1297" s="151"/>
      <c r="C1297" s="148"/>
      <c r="D1297" s="148"/>
      <c r="E1297" s="165"/>
      <c r="F1297" s="150"/>
      <c r="G1297" s="147"/>
      <c r="H1297" s="157"/>
      <c r="I1297" s="158"/>
      <c r="J1297" s="151"/>
      <c r="K1297" s="139"/>
    </row>
    <row r="1298" spans="1:11" ht="12.75" x14ac:dyDescent="0.2">
      <c r="A1298" s="148" t="s">
        <v>17</v>
      </c>
      <c r="B1298" s="148" t="s">
        <v>348</v>
      </c>
      <c r="C1298" s="148" t="s">
        <v>234</v>
      </c>
      <c r="D1298" s="149" t="s">
        <v>349</v>
      </c>
      <c r="E1298" s="165" t="s">
        <v>257</v>
      </c>
      <c r="F1298" s="150">
        <v>1597000</v>
      </c>
      <c r="G1298" s="147">
        <v>22161</v>
      </c>
      <c r="H1298" s="147"/>
      <c r="I1298" s="152"/>
      <c r="J1298" s="151"/>
      <c r="K1298" s="139"/>
    </row>
    <row r="1299" spans="1:11" ht="12.75" x14ac:dyDescent="0.2">
      <c r="A1299" s="151"/>
      <c r="B1299" s="151"/>
      <c r="C1299" s="148"/>
      <c r="D1299" s="149" t="s">
        <v>240</v>
      </c>
      <c r="E1299" s="165"/>
      <c r="F1299" s="150"/>
      <c r="G1299" s="147"/>
      <c r="H1299" s="147">
        <v>6220</v>
      </c>
      <c r="I1299" s="152">
        <f>ROUND(H1299/$H$1301,4)</f>
        <v>0.42899999999999999</v>
      </c>
      <c r="J1299" s="151"/>
      <c r="K1299" s="139"/>
    </row>
    <row r="1300" spans="1:11" ht="12.75" x14ac:dyDescent="0.2">
      <c r="A1300" s="151"/>
      <c r="B1300" s="151"/>
      <c r="C1300" s="148"/>
      <c r="D1300" s="149" t="s">
        <v>242</v>
      </c>
      <c r="E1300" s="165"/>
      <c r="F1300" s="150"/>
      <c r="G1300" s="147"/>
      <c r="H1300" s="147">
        <v>8280</v>
      </c>
      <c r="I1300" s="152">
        <f>ROUND(H1300/$H$1301,4)</f>
        <v>0.57099999999999995</v>
      </c>
      <c r="J1300" s="153" t="s">
        <v>242</v>
      </c>
      <c r="K1300" s="139"/>
    </row>
    <row r="1301" spans="1:11" ht="12.75" x14ac:dyDescent="0.2">
      <c r="A1301" s="151"/>
      <c r="B1301" s="151"/>
      <c r="C1301" s="148"/>
      <c r="D1301" s="148" t="s">
        <v>33</v>
      </c>
      <c r="E1301" s="165"/>
      <c r="F1301" s="150"/>
      <c r="G1301" s="147"/>
      <c r="H1301" s="155">
        <f>SUM(H1299:H1300)</f>
        <v>14500</v>
      </c>
      <c r="I1301" s="156">
        <f>SUM(I1299:I1300)</f>
        <v>1</v>
      </c>
      <c r="J1301" s="151"/>
      <c r="K1301" s="139"/>
    </row>
    <row r="1302" spans="1:11" ht="12.75" x14ac:dyDescent="0.2">
      <c r="A1302" s="151"/>
      <c r="B1302" s="151"/>
      <c r="C1302" s="148"/>
      <c r="D1302" s="148"/>
      <c r="E1302" s="165"/>
      <c r="F1302" s="150"/>
      <c r="G1302" s="147"/>
      <c r="H1302" s="157"/>
      <c r="I1302" s="158"/>
      <c r="J1302" s="151"/>
      <c r="K1302" s="139"/>
    </row>
    <row r="1303" spans="1:11" ht="12.75" x14ac:dyDescent="0.2">
      <c r="A1303" s="148" t="s">
        <v>17</v>
      </c>
      <c r="B1303" s="148" t="s">
        <v>350</v>
      </c>
      <c r="C1303" s="148" t="s">
        <v>234</v>
      </c>
      <c r="D1303" s="149" t="s">
        <v>162</v>
      </c>
      <c r="E1303" s="165" t="s">
        <v>351</v>
      </c>
      <c r="F1303" s="150">
        <v>8122000</v>
      </c>
      <c r="G1303" s="147">
        <v>75486</v>
      </c>
      <c r="H1303" s="147"/>
      <c r="I1303" s="147"/>
      <c r="J1303" s="151"/>
      <c r="K1303" s="139"/>
    </row>
    <row r="1304" spans="1:11" ht="12.75" x14ac:dyDescent="0.2">
      <c r="A1304" s="151"/>
      <c r="B1304" s="151"/>
      <c r="C1304" s="148"/>
      <c r="D1304" s="149" t="s">
        <v>261</v>
      </c>
      <c r="E1304" s="165"/>
      <c r="F1304" s="150"/>
      <c r="G1304" s="147"/>
      <c r="H1304" s="147">
        <v>17170</v>
      </c>
      <c r="I1304" s="152">
        <f>ROUND(H1304/$H$1309,4)</f>
        <v>0.29780000000000001</v>
      </c>
      <c r="J1304" s="153" t="s">
        <v>261</v>
      </c>
      <c r="K1304" s="139"/>
    </row>
    <row r="1305" spans="1:11" ht="12.75" x14ac:dyDescent="0.2">
      <c r="A1305" s="151"/>
      <c r="B1305" s="151"/>
      <c r="C1305" s="148"/>
      <c r="D1305" s="149" t="s">
        <v>238</v>
      </c>
      <c r="E1305" s="165"/>
      <c r="F1305" s="150"/>
      <c r="G1305" s="147"/>
      <c r="H1305" s="147">
        <v>10520</v>
      </c>
      <c r="I1305" s="152">
        <f>ROUND(H1305/$H$1309,4)</f>
        <v>0.1825</v>
      </c>
      <c r="J1305" s="151"/>
      <c r="K1305" s="139"/>
    </row>
    <row r="1306" spans="1:11" ht="12.75" x14ac:dyDescent="0.2">
      <c r="A1306" s="151"/>
      <c r="B1306" s="151"/>
      <c r="C1306" s="148"/>
      <c r="D1306" s="149" t="s">
        <v>239</v>
      </c>
      <c r="E1306" s="165"/>
      <c r="F1306" s="150"/>
      <c r="G1306" s="147"/>
      <c r="H1306" s="147">
        <v>14850</v>
      </c>
      <c r="I1306" s="152">
        <f>ROUND(H1306/$H$1309,4)</f>
        <v>0.2576</v>
      </c>
      <c r="J1306" s="153" t="s">
        <v>239</v>
      </c>
      <c r="K1306" s="139"/>
    </row>
    <row r="1307" spans="1:11" ht="12.75" x14ac:dyDescent="0.2">
      <c r="A1307" s="151"/>
      <c r="B1307" s="151"/>
      <c r="C1307" s="148"/>
      <c r="D1307" s="149" t="s">
        <v>240</v>
      </c>
      <c r="E1307" s="165"/>
      <c r="F1307" s="150"/>
      <c r="G1307" s="147"/>
      <c r="H1307" s="147">
        <v>12520</v>
      </c>
      <c r="I1307" s="152">
        <f>ROUND(H1307/$H$1309,4)</f>
        <v>0.2172</v>
      </c>
      <c r="J1307" s="151" t="s">
        <v>240</v>
      </c>
      <c r="K1307" s="139"/>
    </row>
    <row r="1308" spans="1:11" ht="12.75" x14ac:dyDescent="0.2">
      <c r="A1308" s="151"/>
      <c r="B1308" s="151"/>
      <c r="C1308" s="148"/>
      <c r="D1308" s="154" t="s">
        <v>244</v>
      </c>
      <c r="E1308" s="165"/>
      <c r="F1308" s="150"/>
      <c r="G1308" s="147"/>
      <c r="H1308" s="147">
        <v>2590</v>
      </c>
      <c r="I1308" s="152">
        <f>ROUND(H1308/$H$1309,4)</f>
        <v>4.4900000000000002E-2</v>
      </c>
      <c r="J1308" s="151"/>
      <c r="K1308" s="139"/>
    </row>
    <row r="1309" spans="1:11" ht="12.75" x14ac:dyDescent="0.2">
      <c r="A1309" s="151"/>
      <c r="B1309" s="151"/>
      <c r="C1309" s="148"/>
      <c r="D1309" s="148" t="s">
        <v>33</v>
      </c>
      <c r="E1309" s="165"/>
      <c r="F1309" s="150"/>
      <c r="G1309" s="147"/>
      <c r="H1309" s="155">
        <f>SUM(H1304:H1308)</f>
        <v>57650</v>
      </c>
      <c r="I1309" s="156">
        <f>SUM(I1304:I1308)</f>
        <v>1</v>
      </c>
      <c r="J1309" s="151"/>
      <c r="K1309" s="139"/>
    </row>
    <row r="1310" spans="1:11" ht="12.75" x14ac:dyDescent="0.2">
      <c r="A1310" s="151"/>
      <c r="B1310" s="151"/>
      <c r="C1310" s="148"/>
      <c r="D1310" s="147"/>
      <c r="E1310" s="165"/>
      <c r="F1310" s="150"/>
      <c r="G1310" s="147"/>
      <c r="H1310" s="147"/>
      <c r="I1310" s="147"/>
      <c r="J1310" s="151"/>
      <c r="K1310" s="139"/>
    </row>
    <row r="1311" spans="1:11" ht="12.75" x14ac:dyDescent="0.2">
      <c r="A1311" s="148" t="s">
        <v>17</v>
      </c>
      <c r="B1311" s="148" t="s">
        <v>352</v>
      </c>
      <c r="C1311" s="148" t="s">
        <v>234</v>
      </c>
      <c r="D1311" s="154" t="s">
        <v>163</v>
      </c>
      <c r="E1311" s="165" t="s">
        <v>302</v>
      </c>
      <c r="F1311" s="150">
        <v>7160300</v>
      </c>
      <c r="G1311" s="147">
        <v>81301</v>
      </c>
      <c r="H1311" s="147"/>
      <c r="I1311" s="147"/>
      <c r="J1311" s="151"/>
      <c r="K1311" s="139"/>
    </row>
    <row r="1312" spans="1:11" ht="12.75" x14ac:dyDescent="0.2">
      <c r="A1312" s="151"/>
      <c r="B1312" s="151"/>
      <c r="C1312" s="148"/>
      <c r="D1312" s="149" t="s">
        <v>261</v>
      </c>
      <c r="E1312" s="165"/>
      <c r="F1312" s="150"/>
      <c r="G1312" s="147"/>
      <c r="H1312" s="147">
        <v>10725</v>
      </c>
      <c r="I1312" s="152">
        <f>ROUND(H1312/$H$1318,4)</f>
        <v>0.2049</v>
      </c>
      <c r="J1312" s="151" t="s">
        <v>261</v>
      </c>
      <c r="K1312" s="139"/>
    </row>
    <row r="1313" spans="1:11" ht="12.75" x14ac:dyDescent="0.2">
      <c r="A1313" s="151"/>
      <c r="B1313" s="151"/>
      <c r="C1313" s="148"/>
      <c r="D1313" s="149" t="s">
        <v>238</v>
      </c>
      <c r="E1313" s="165"/>
      <c r="F1313" s="150"/>
      <c r="G1313" s="147"/>
      <c r="H1313" s="147">
        <v>17615</v>
      </c>
      <c r="I1313" s="152">
        <f>ROUND(H1313/$H$1318,4)</f>
        <v>0.33650000000000002</v>
      </c>
      <c r="J1313" s="153" t="s">
        <v>238</v>
      </c>
      <c r="K1313" s="139"/>
    </row>
    <row r="1314" spans="1:11" ht="12.75" x14ac:dyDescent="0.2">
      <c r="A1314" s="151"/>
      <c r="B1314" s="151"/>
      <c r="C1314" s="148"/>
      <c r="D1314" s="149" t="s">
        <v>239</v>
      </c>
      <c r="E1314" s="165"/>
      <c r="F1314" s="150"/>
      <c r="G1314" s="147"/>
      <c r="H1314" s="147">
        <v>1370</v>
      </c>
      <c r="I1314" s="152">
        <f>ROUND(H1314/$H$1318,4)-0.0001</f>
        <v>2.6100000000000002E-2</v>
      </c>
      <c r="J1314" s="151"/>
      <c r="K1314" s="139"/>
    </row>
    <row r="1315" spans="1:11" ht="12.75" x14ac:dyDescent="0.2">
      <c r="A1315" s="151"/>
      <c r="B1315" s="151"/>
      <c r="C1315" s="148"/>
      <c r="D1315" s="149" t="s">
        <v>240</v>
      </c>
      <c r="E1315" s="165"/>
      <c r="F1315" s="150"/>
      <c r="G1315" s="147"/>
      <c r="H1315" s="147">
        <v>20840</v>
      </c>
      <c r="I1315" s="152">
        <f>ROUND(H1315/$H$1318,4)</f>
        <v>0.39810000000000001</v>
      </c>
      <c r="J1315" s="153" t="s">
        <v>240</v>
      </c>
      <c r="K1315" s="139"/>
    </row>
    <row r="1316" spans="1:11" ht="12.75" x14ac:dyDescent="0.2">
      <c r="A1316" s="151"/>
      <c r="B1316" s="151"/>
      <c r="C1316" s="148"/>
      <c r="D1316" s="149" t="s">
        <v>242</v>
      </c>
      <c r="E1316" s="165"/>
      <c r="F1316" s="150"/>
      <c r="G1316" s="147"/>
      <c r="H1316" s="147">
        <v>900</v>
      </c>
      <c r="I1316" s="152">
        <f>ROUND(H1316/$H$1318,4)</f>
        <v>1.72E-2</v>
      </c>
      <c r="J1316" s="151"/>
      <c r="K1316" s="139"/>
    </row>
    <row r="1317" spans="1:11" ht="12.75" x14ac:dyDescent="0.2">
      <c r="A1317" s="151"/>
      <c r="B1317" s="151"/>
      <c r="C1317" s="148"/>
      <c r="D1317" s="149" t="s">
        <v>243</v>
      </c>
      <c r="E1317" s="165"/>
      <c r="F1317" s="150"/>
      <c r="G1317" s="147"/>
      <c r="H1317" s="147">
        <v>900</v>
      </c>
      <c r="I1317" s="152">
        <f>ROUND(H1317/$H$1318,4)</f>
        <v>1.72E-2</v>
      </c>
      <c r="J1317" s="151"/>
      <c r="K1317" s="139"/>
    </row>
    <row r="1318" spans="1:11" ht="12.75" x14ac:dyDescent="0.2">
      <c r="A1318" s="151"/>
      <c r="B1318" s="151"/>
      <c r="C1318" s="148"/>
      <c r="D1318" s="148" t="s">
        <v>33</v>
      </c>
      <c r="E1318" s="165"/>
      <c r="F1318" s="150"/>
      <c r="G1318" s="147"/>
      <c r="H1318" s="155">
        <f>SUM(H1312:H1317)</f>
        <v>52350</v>
      </c>
      <c r="I1318" s="156">
        <f>SUM(I1312:I1317)</f>
        <v>1</v>
      </c>
      <c r="J1318" s="151"/>
      <c r="K1318" s="139"/>
    </row>
    <row r="1319" spans="1:11" ht="12.75" x14ac:dyDescent="0.2">
      <c r="A1319" s="151"/>
      <c r="B1319" s="151"/>
      <c r="C1319" s="148"/>
      <c r="D1319" s="147"/>
      <c r="E1319" s="165"/>
      <c r="F1319" s="150"/>
      <c r="G1319" s="147"/>
      <c r="H1319" s="147"/>
      <c r="I1319" s="147"/>
      <c r="J1319" s="151"/>
      <c r="K1319" s="139"/>
    </row>
    <row r="1320" spans="1:11" ht="12.75" x14ac:dyDescent="0.2">
      <c r="A1320" s="148" t="s">
        <v>17</v>
      </c>
      <c r="B1320" s="148" t="s">
        <v>353</v>
      </c>
      <c r="C1320" s="148" t="s">
        <v>234</v>
      </c>
      <c r="D1320" s="149" t="s">
        <v>184</v>
      </c>
      <c r="E1320" s="165" t="s">
        <v>354</v>
      </c>
      <c r="F1320" s="150">
        <v>7124700</v>
      </c>
      <c r="G1320" s="147">
        <v>60000</v>
      </c>
      <c r="H1320" s="147"/>
      <c r="I1320" s="147"/>
      <c r="J1320" s="151"/>
      <c r="K1320" s="139"/>
    </row>
    <row r="1321" spans="1:11" ht="12.75" x14ac:dyDescent="0.2">
      <c r="A1321" s="151"/>
      <c r="B1321" s="151"/>
      <c r="C1321" s="148"/>
      <c r="D1321" s="149" t="s">
        <v>261</v>
      </c>
      <c r="E1321" s="165"/>
      <c r="F1321" s="150"/>
      <c r="G1321" s="147"/>
      <c r="H1321" s="147">
        <v>2650</v>
      </c>
      <c r="I1321" s="152">
        <f>ROUND(H1321/$H$1326,4)</f>
        <v>6.6299999999999998E-2</v>
      </c>
      <c r="J1321" s="151"/>
      <c r="K1321" s="139"/>
    </row>
    <row r="1322" spans="1:11" ht="12.75" x14ac:dyDescent="0.2">
      <c r="A1322" s="151"/>
      <c r="B1322" s="151"/>
      <c r="C1322" s="148"/>
      <c r="D1322" s="149" t="s">
        <v>238</v>
      </c>
      <c r="E1322" s="165"/>
      <c r="F1322" s="150"/>
      <c r="G1322" s="147"/>
      <c r="H1322" s="147">
        <v>600</v>
      </c>
      <c r="I1322" s="152">
        <f>ROUND(H1322/$H$1326,4)</f>
        <v>1.4999999999999999E-2</v>
      </c>
      <c r="J1322" s="151"/>
      <c r="K1322" s="139"/>
    </row>
    <row r="1323" spans="1:11" ht="12.75" x14ac:dyDescent="0.2">
      <c r="A1323" s="151"/>
      <c r="B1323" s="151"/>
      <c r="C1323" s="148"/>
      <c r="D1323" s="149" t="s">
        <v>239</v>
      </c>
      <c r="E1323" s="165"/>
      <c r="F1323" s="150"/>
      <c r="G1323" s="147"/>
      <c r="H1323" s="147">
        <v>30350</v>
      </c>
      <c r="I1323" s="152">
        <f>ROUND(H1323/$H$1326,4)</f>
        <v>0.75880000000000003</v>
      </c>
      <c r="J1323" s="153" t="s">
        <v>239</v>
      </c>
      <c r="K1323" s="139"/>
    </row>
    <row r="1324" spans="1:11" ht="12.75" x14ac:dyDescent="0.2">
      <c r="A1324" s="151"/>
      <c r="B1324" s="151"/>
      <c r="C1324" s="148"/>
      <c r="D1324" s="149" t="s">
        <v>240</v>
      </c>
      <c r="E1324" s="165"/>
      <c r="F1324" s="150"/>
      <c r="G1324" s="147"/>
      <c r="H1324" s="147">
        <v>5800</v>
      </c>
      <c r="I1324" s="152">
        <f>ROUND(H1324/$H$1326,4)</f>
        <v>0.14499999999999999</v>
      </c>
      <c r="J1324" s="151"/>
      <c r="K1324" s="139"/>
    </row>
    <row r="1325" spans="1:11" ht="12.75" x14ac:dyDescent="0.2">
      <c r="A1325" s="151"/>
      <c r="B1325" s="151"/>
      <c r="C1325" s="148"/>
      <c r="D1325" s="149" t="s">
        <v>243</v>
      </c>
      <c r="E1325" s="165"/>
      <c r="F1325" s="150"/>
      <c r="G1325" s="147"/>
      <c r="H1325" s="147">
        <v>600</v>
      </c>
      <c r="I1325" s="152">
        <f>ROUND(H1325/$H$1326,4)-0.0001</f>
        <v>1.49E-2</v>
      </c>
      <c r="J1325" s="151"/>
      <c r="K1325" s="139"/>
    </row>
    <row r="1326" spans="1:11" ht="12.75" x14ac:dyDescent="0.2">
      <c r="A1326" s="151"/>
      <c r="B1326" s="151"/>
      <c r="C1326" s="148"/>
      <c r="D1326" s="148" t="s">
        <v>33</v>
      </c>
      <c r="E1326" s="165"/>
      <c r="F1326" s="150"/>
      <c r="G1326" s="147"/>
      <c r="H1326" s="155">
        <f>SUM(H1321:H1325)</f>
        <v>40000</v>
      </c>
      <c r="I1326" s="156">
        <f>SUM(I1321:I1325)</f>
        <v>1</v>
      </c>
      <c r="J1326" s="151"/>
      <c r="K1326" s="139"/>
    </row>
    <row r="1327" spans="1:11" ht="12.75" x14ac:dyDescent="0.2">
      <c r="A1327" s="151"/>
      <c r="B1327" s="151"/>
      <c r="C1327" s="148"/>
      <c r="D1327" s="147"/>
      <c r="E1327" s="165"/>
      <c r="F1327" s="150"/>
      <c r="G1327" s="147"/>
      <c r="H1327" s="147"/>
      <c r="I1327" s="147"/>
      <c r="J1327" s="151"/>
      <c r="K1327" s="139"/>
    </row>
    <row r="1328" spans="1:11" ht="12.75" x14ac:dyDescent="0.2">
      <c r="A1328" s="148" t="s">
        <v>17</v>
      </c>
      <c r="B1328" s="148" t="s">
        <v>355</v>
      </c>
      <c r="C1328" s="148" t="s">
        <v>234</v>
      </c>
      <c r="D1328" s="154" t="s">
        <v>198</v>
      </c>
      <c r="E1328" s="165" t="s">
        <v>306</v>
      </c>
      <c r="F1328" s="150">
        <v>813910</v>
      </c>
      <c r="G1328" s="147">
        <v>11908</v>
      </c>
      <c r="H1328" s="147"/>
      <c r="I1328" s="147"/>
      <c r="J1328" s="151"/>
      <c r="K1328" s="139"/>
    </row>
    <row r="1329" spans="1:11" ht="12.75" x14ac:dyDescent="0.2">
      <c r="A1329" s="151"/>
      <c r="B1329" s="151"/>
      <c r="C1329" s="148"/>
      <c r="D1329" s="149" t="s">
        <v>240</v>
      </c>
      <c r="E1329" s="165"/>
      <c r="F1329" s="150"/>
      <c r="G1329" s="147"/>
      <c r="H1329" s="155">
        <v>10804</v>
      </c>
      <c r="I1329" s="156">
        <f>ROUND(H1329/$H$1329,4)</f>
        <v>1</v>
      </c>
      <c r="J1329" s="153" t="s">
        <v>240</v>
      </c>
      <c r="K1329" s="139"/>
    </row>
    <row r="1330" spans="1:11" ht="12.75" x14ac:dyDescent="0.2">
      <c r="A1330" s="151"/>
      <c r="B1330" s="151"/>
      <c r="C1330" s="148"/>
      <c r="D1330" s="147"/>
      <c r="E1330" s="165"/>
      <c r="F1330" s="150"/>
      <c r="G1330" s="147"/>
      <c r="H1330" s="147"/>
      <c r="I1330" s="147"/>
      <c r="J1330" s="151"/>
      <c r="K1330" s="139"/>
    </row>
    <row r="1331" spans="1:11" ht="12.75" x14ac:dyDescent="0.2">
      <c r="A1331" s="148" t="s">
        <v>17</v>
      </c>
      <c r="B1331" s="148" t="s">
        <v>356</v>
      </c>
      <c r="C1331" s="148" t="s">
        <v>234</v>
      </c>
      <c r="D1331" s="149" t="s">
        <v>357</v>
      </c>
      <c r="E1331" s="165" t="s">
        <v>306</v>
      </c>
      <c r="F1331" s="150">
        <v>1651610</v>
      </c>
      <c r="G1331" s="147">
        <v>19327</v>
      </c>
      <c r="H1331" s="147"/>
      <c r="I1331" s="147"/>
      <c r="J1331" s="151"/>
      <c r="K1331" s="139"/>
    </row>
    <row r="1332" spans="1:11" ht="12.75" x14ac:dyDescent="0.2">
      <c r="A1332" s="151"/>
      <c r="B1332" s="151"/>
      <c r="C1332" s="148"/>
      <c r="D1332" s="149" t="s">
        <v>261</v>
      </c>
      <c r="E1332" s="165"/>
      <c r="F1332" s="150"/>
      <c r="G1332" s="147"/>
      <c r="H1332" s="147">
        <v>555</v>
      </c>
      <c r="I1332" s="152">
        <f>ROUND(H1332/$H$1337,4)</f>
        <v>0.03</v>
      </c>
      <c r="J1332" s="151"/>
      <c r="K1332" s="139"/>
    </row>
    <row r="1333" spans="1:11" ht="12.75" x14ac:dyDescent="0.2">
      <c r="A1333" s="151"/>
      <c r="B1333" s="151"/>
      <c r="C1333" s="148"/>
      <c r="D1333" s="149" t="s">
        <v>238</v>
      </c>
      <c r="E1333" s="165"/>
      <c r="F1333" s="150"/>
      <c r="G1333" s="147"/>
      <c r="H1333" s="147">
        <v>13445</v>
      </c>
      <c r="I1333" s="152">
        <f>ROUND(H1333/$H$1337,4)</f>
        <v>0.72729999999999995</v>
      </c>
      <c r="J1333" s="153" t="s">
        <v>358</v>
      </c>
      <c r="K1333" s="139"/>
    </row>
    <row r="1334" spans="1:11" ht="12.75" x14ac:dyDescent="0.2">
      <c r="A1334" s="151"/>
      <c r="B1334" s="151"/>
      <c r="C1334" s="148"/>
      <c r="D1334" s="149" t="s">
        <v>240</v>
      </c>
      <c r="E1334" s="165"/>
      <c r="F1334" s="150"/>
      <c r="G1334" s="147"/>
      <c r="H1334" s="147">
        <v>1416</v>
      </c>
      <c r="I1334" s="152">
        <f>ROUND(H1334/$H$1337,4)</f>
        <v>7.6600000000000001E-2</v>
      </c>
      <c r="J1334" s="151"/>
      <c r="K1334" s="139"/>
    </row>
    <row r="1335" spans="1:11" ht="12.75" x14ac:dyDescent="0.2">
      <c r="A1335" s="151"/>
      <c r="B1335" s="151"/>
      <c r="C1335" s="148"/>
      <c r="D1335" s="154" t="s">
        <v>262</v>
      </c>
      <c r="E1335" s="165"/>
      <c r="F1335" s="150"/>
      <c r="G1335" s="147"/>
      <c r="H1335" s="147">
        <v>2777</v>
      </c>
      <c r="I1335" s="152">
        <f>ROUND(H1335/$H$1337,4)</f>
        <v>0.1502</v>
      </c>
      <c r="J1335" s="151"/>
      <c r="K1335" s="139"/>
    </row>
    <row r="1336" spans="1:11" ht="12.75" x14ac:dyDescent="0.2">
      <c r="A1336" s="151"/>
      <c r="B1336" s="151"/>
      <c r="C1336" s="148"/>
      <c r="D1336" s="154" t="s">
        <v>244</v>
      </c>
      <c r="E1336" s="165"/>
      <c r="F1336" s="150"/>
      <c r="G1336" s="147"/>
      <c r="H1336" s="147">
        <v>294</v>
      </c>
      <c r="I1336" s="152">
        <f>ROUND(H1336/$H$1337,4)</f>
        <v>1.5900000000000001E-2</v>
      </c>
      <c r="J1336" s="151"/>
      <c r="K1336" s="139"/>
    </row>
    <row r="1337" spans="1:11" ht="12.75" x14ac:dyDescent="0.2">
      <c r="A1337" s="151"/>
      <c r="B1337" s="151"/>
      <c r="C1337" s="148"/>
      <c r="D1337" s="148" t="s">
        <v>33</v>
      </c>
      <c r="E1337" s="165"/>
      <c r="F1337" s="150"/>
      <c r="G1337" s="147"/>
      <c r="H1337" s="155">
        <f>SUM(H1332:H1336)</f>
        <v>18487</v>
      </c>
      <c r="I1337" s="156">
        <f>SUM(I1332:I1336)</f>
        <v>1</v>
      </c>
      <c r="J1337" s="151"/>
      <c r="K1337" s="139"/>
    </row>
    <row r="1338" spans="1:11" ht="12.75" x14ac:dyDescent="0.2">
      <c r="A1338" s="151"/>
      <c r="B1338" s="151"/>
      <c r="C1338" s="148"/>
      <c r="D1338" s="147"/>
      <c r="E1338" s="165"/>
      <c r="F1338" s="150"/>
      <c r="G1338" s="147"/>
      <c r="H1338" s="147"/>
      <c r="I1338" s="147"/>
      <c r="J1338" s="151"/>
      <c r="K1338" s="139"/>
    </row>
    <row r="1339" spans="1:11" ht="12.75" x14ac:dyDescent="0.2">
      <c r="A1339" s="148" t="s">
        <v>17</v>
      </c>
      <c r="B1339" s="148" t="s">
        <v>359</v>
      </c>
      <c r="C1339" s="148" t="s">
        <v>234</v>
      </c>
      <c r="D1339" s="149" t="s">
        <v>94</v>
      </c>
      <c r="E1339" s="165" t="s">
        <v>277</v>
      </c>
      <c r="F1339" s="150">
        <v>7858000</v>
      </c>
      <c r="G1339" s="147">
        <v>90382</v>
      </c>
      <c r="H1339" s="147"/>
      <c r="I1339" s="147"/>
      <c r="J1339" s="151"/>
      <c r="K1339" s="139"/>
    </row>
    <row r="1340" spans="1:11" ht="12.75" x14ac:dyDescent="0.2">
      <c r="A1340" s="151"/>
      <c r="B1340" s="151"/>
      <c r="C1340" s="148"/>
      <c r="D1340" s="149" t="s">
        <v>240</v>
      </c>
      <c r="E1340" s="165"/>
      <c r="F1340" s="150"/>
      <c r="G1340" s="147"/>
      <c r="H1340" s="147">
        <v>2580</v>
      </c>
      <c r="I1340" s="152">
        <f>ROUND(H1340/$H$1342,4)</f>
        <v>3.8699999999999998E-2</v>
      </c>
      <c r="J1340" s="151"/>
      <c r="K1340" s="139"/>
    </row>
    <row r="1341" spans="1:11" ht="12.75" x14ac:dyDescent="0.2">
      <c r="A1341" s="151"/>
      <c r="B1341" s="151"/>
      <c r="C1341" s="148"/>
      <c r="D1341" s="149" t="s">
        <v>303</v>
      </c>
      <c r="E1341" s="165"/>
      <c r="F1341" s="150"/>
      <c r="G1341" s="147"/>
      <c r="H1341" s="147">
        <v>64049</v>
      </c>
      <c r="I1341" s="152">
        <f>ROUND(H1341/$H$1342,4)</f>
        <v>0.96130000000000004</v>
      </c>
      <c r="J1341" s="153" t="s">
        <v>303</v>
      </c>
      <c r="K1341" s="139"/>
    </row>
    <row r="1342" spans="1:11" ht="12.75" x14ac:dyDescent="0.2">
      <c r="A1342" s="151"/>
      <c r="B1342" s="151"/>
      <c r="C1342" s="148"/>
      <c r="D1342" s="148" t="s">
        <v>33</v>
      </c>
      <c r="E1342" s="165"/>
      <c r="F1342" s="150"/>
      <c r="G1342" s="147"/>
      <c r="H1342" s="155">
        <f>SUM(H1340:H1341)</f>
        <v>66629</v>
      </c>
      <c r="I1342" s="156">
        <f>SUM(I1340:I1341)</f>
        <v>1</v>
      </c>
      <c r="J1342" s="151"/>
      <c r="K1342" s="139"/>
    </row>
    <row r="1343" spans="1:11" ht="12.75" x14ac:dyDescent="0.2">
      <c r="A1343" s="151"/>
      <c r="B1343" s="151"/>
      <c r="C1343" s="148"/>
      <c r="D1343" s="147"/>
      <c r="E1343" s="165"/>
      <c r="F1343" s="150"/>
      <c r="G1343" s="147"/>
      <c r="H1343" s="147"/>
      <c r="I1343" s="147"/>
      <c r="J1343" s="151"/>
      <c r="K1343" s="139"/>
    </row>
    <row r="1344" spans="1:11" ht="12.75" x14ac:dyDescent="0.2">
      <c r="A1344" s="148" t="s">
        <v>17</v>
      </c>
      <c r="B1344" s="148">
        <v>502</v>
      </c>
      <c r="C1344" s="148" t="s">
        <v>234</v>
      </c>
      <c r="D1344" s="149" t="s">
        <v>67</v>
      </c>
      <c r="E1344" s="165" t="s">
        <v>360</v>
      </c>
      <c r="F1344" s="150">
        <v>2431900</v>
      </c>
      <c r="G1344" s="147">
        <v>23936</v>
      </c>
      <c r="H1344" s="147"/>
      <c r="I1344" s="147"/>
      <c r="J1344" s="151"/>
      <c r="K1344" s="139"/>
    </row>
    <row r="1345" spans="1:11" ht="12.75" x14ac:dyDescent="0.2">
      <c r="A1345" s="151"/>
      <c r="B1345" s="151"/>
      <c r="C1345" s="148"/>
      <c r="D1345" s="149" t="s">
        <v>284</v>
      </c>
      <c r="E1345" s="165"/>
      <c r="F1345" s="150"/>
      <c r="G1345" s="147"/>
      <c r="H1345" s="147">
        <v>1000</v>
      </c>
      <c r="I1345" s="152">
        <f>ROUND(H1345/$H$1347,4)</f>
        <v>6.2700000000000006E-2</v>
      </c>
      <c r="J1345" s="151"/>
      <c r="K1345" s="139"/>
    </row>
    <row r="1346" spans="1:11" ht="12.75" x14ac:dyDescent="0.2">
      <c r="A1346" s="151"/>
      <c r="B1346" s="151"/>
      <c r="C1346" s="148"/>
      <c r="D1346" s="149" t="s">
        <v>240</v>
      </c>
      <c r="E1346" s="165"/>
      <c r="F1346" s="150"/>
      <c r="G1346" s="147"/>
      <c r="H1346" s="147">
        <v>14957</v>
      </c>
      <c r="I1346" s="152">
        <f>ROUND(H1346/$H$1347,4)</f>
        <v>0.93730000000000002</v>
      </c>
      <c r="J1346" s="153" t="s">
        <v>240</v>
      </c>
      <c r="K1346" s="139"/>
    </row>
    <row r="1347" spans="1:11" ht="12.75" x14ac:dyDescent="0.2">
      <c r="A1347" s="151"/>
      <c r="B1347" s="151"/>
      <c r="C1347" s="148"/>
      <c r="D1347" s="148" t="s">
        <v>33</v>
      </c>
      <c r="E1347" s="165"/>
      <c r="F1347" s="150"/>
      <c r="G1347" s="147"/>
      <c r="H1347" s="155">
        <f>SUM(H1345:H1346)</f>
        <v>15957</v>
      </c>
      <c r="I1347" s="156">
        <f>SUM(I1345:I1346)</f>
        <v>1</v>
      </c>
      <c r="J1347" s="151"/>
      <c r="K1347" s="139"/>
    </row>
    <row r="1348" spans="1:11" ht="12.75" x14ac:dyDescent="0.2">
      <c r="A1348" s="151"/>
      <c r="B1348" s="151"/>
      <c r="C1348" s="148"/>
      <c r="D1348" s="148"/>
      <c r="E1348" s="165"/>
      <c r="F1348" s="150"/>
      <c r="G1348" s="147"/>
      <c r="H1348" s="147"/>
      <c r="I1348" s="152"/>
      <c r="J1348" s="151"/>
      <c r="K1348" s="139"/>
    </row>
    <row r="1349" spans="1:11" ht="12.75" x14ac:dyDescent="0.2">
      <c r="A1349" s="148" t="s">
        <v>17</v>
      </c>
      <c r="B1349" s="148">
        <v>589</v>
      </c>
      <c r="C1349" s="148" t="s">
        <v>234</v>
      </c>
      <c r="D1349" s="147" t="s">
        <v>31</v>
      </c>
      <c r="E1349" s="204" t="s">
        <v>361</v>
      </c>
      <c r="F1349" s="150">
        <v>612000</v>
      </c>
      <c r="G1349" s="147">
        <v>6285</v>
      </c>
      <c r="H1349" s="147"/>
      <c r="I1349" s="152"/>
      <c r="J1349" s="151"/>
      <c r="K1349" s="139"/>
    </row>
    <row r="1350" spans="1:11" ht="12.75" x14ac:dyDescent="0.2">
      <c r="A1350" s="151"/>
      <c r="B1350" s="151"/>
      <c r="C1350" s="148"/>
      <c r="D1350" s="149" t="s">
        <v>261</v>
      </c>
      <c r="E1350" s="165"/>
      <c r="F1350" s="150"/>
      <c r="G1350" s="147"/>
      <c r="H1350" s="147">
        <v>5163</v>
      </c>
      <c r="I1350" s="152">
        <f>ROUND(H1350/$H$1352,4)</f>
        <v>0.96409999999999996</v>
      </c>
      <c r="J1350" s="151" t="s">
        <v>261</v>
      </c>
      <c r="K1350" s="139"/>
    </row>
    <row r="1351" spans="1:11" ht="12.75" x14ac:dyDescent="0.2">
      <c r="A1351" s="151"/>
      <c r="B1351" s="151"/>
      <c r="C1351" s="148"/>
      <c r="D1351" s="149" t="s">
        <v>240</v>
      </c>
      <c r="E1351" s="165"/>
      <c r="F1351" s="150"/>
      <c r="G1351" s="147"/>
      <c r="H1351" s="147">
        <v>192</v>
      </c>
      <c r="I1351" s="152">
        <f>ROUND(H1351/$H$1352,4)</f>
        <v>3.5900000000000001E-2</v>
      </c>
      <c r="J1351" s="151"/>
      <c r="K1351" s="139"/>
    </row>
    <row r="1352" spans="1:11" ht="12.75" x14ac:dyDescent="0.2">
      <c r="A1352" s="151"/>
      <c r="B1352" s="151"/>
      <c r="C1352" s="148"/>
      <c r="D1352" s="148" t="s">
        <v>33</v>
      </c>
      <c r="E1352" s="165"/>
      <c r="F1352" s="150"/>
      <c r="G1352" s="147"/>
      <c r="H1352" s="155">
        <f>SUM(H1350:H1351)</f>
        <v>5355</v>
      </c>
      <c r="I1352" s="156">
        <f>SUM(I1350:I1351)</f>
        <v>1</v>
      </c>
      <c r="J1352" s="151"/>
      <c r="K1352" s="139"/>
    </row>
    <row r="1353" spans="1:11" ht="12.75" x14ac:dyDescent="0.2">
      <c r="A1353" s="151"/>
      <c r="B1353" s="151"/>
      <c r="C1353" s="148"/>
      <c r="D1353" s="147"/>
      <c r="E1353" s="165"/>
      <c r="F1353" s="150"/>
      <c r="G1353" s="147"/>
      <c r="H1353" s="147"/>
      <c r="I1353" s="147"/>
      <c r="J1353" s="151"/>
      <c r="K1353" s="139"/>
    </row>
    <row r="1354" spans="1:11" ht="12.75" x14ac:dyDescent="0.2">
      <c r="A1354" s="148" t="s">
        <v>17</v>
      </c>
      <c r="B1354" s="160">
        <v>529</v>
      </c>
      <c r="C1354" s="148" t="s">
        <v>289</v>
      </c>
      <c r="D1354" s="147" t="s">
        <v>121</v>
      </c>
      <c r="E1354" s="204">
        <v>35977</v>
      </c>
      <c r="F1354" s="150">
        <v>9735880</v>
      </c>
      <c r="G1354" s="147">
        <v>48132</v>
      </c>
      <c r="H1354" s="147"/>
      <c r="I1354" s="152"/>
      <c r="J1354" s="147"/>
      <c r="K1354" s="139"/>
    </row>
    <row r="1355" spans="1:11" ht="12.75" x14ac:dyDescent="0.2">
      <c r="A1355" s="147"/>
      <c r="B1355" s="147"/>
      <c r="C1355" s="169"/>
      <c r="D1355" s="149" t="s">
        <v>291</v>
      </c>
      <c r="E1355" s="165"/>
      <c r="F1355" s="150"/>
      <c r="G1355" s="147"/>
      <c r="H1355" s="147">
        <v>21340</v>
      </c>
      <c r="I1355" s="152">
        <f>H1355/H1357</f>
        <v>0.74683278504934558</v>
      </c>
      <c r="J1355" s="153" t="s">
        <v>239</v>
      </c>
      <c r="K1355" s="139"/>
    </row>
    <row r="1356" spans="1:11" ht="12.75" x14ac:dyDescent="0.2">
      <c r="A1356" s="147"/>
      <c r="B1356" s="147"/>
      <c r="C1356" s="169"/>
      <c r="D1356" s="149" t="s">
        <v>288</v>
      </c>
      <c r="E1356" s="165"/>
      <c r="F1356" s="150"/>
      <c r="G1356" s="147"/>
      <c r="H1356" s="147">
        <v>7234</v>
      </c>
      <c r="I1356" s="152">
        <f>H1356/H1357</f>
        <v>0.25316721495065442</v>
      </c>
      <c r="J1356" s="153" t="s">
        <v>288</v>
      </c>
      <c r="K1356" s="139"/>
    </row>
    <row r="1357" spans="1:11" ht="12.75" x14ac:dyDescent="0.2">
      <c r="A1357" s="147"/>
      <c r="B1357" s="147"/>
      <c r="C1357" s="169"/>
      <c r="D1357" s="148" t="s">
        <v>33</v>
      </c>
      <c r="E1357" s="165"/>
      <c r="F1357" s="150"/>
      <c r="G1357" s="147"/>
      <c r="H1357" s="155">
        <f>SUM(H1355:H1356)</f>
        <v>28574</v>
      </c>
      <c r="I1357" s="156">
        <f>SUM(I1355:I1356)</f>
        <v>1</v>
      </c>
      <c r="J1357" s="147"/>
      <c r="K1357" s="139"/>
    </row>
    <row r="1358" spans="1:11" ht="12.75" x14ac:dyDescent="0.2">
      <c r="A1358" s="148" t="s">
        <v>17</v>
      </c>
      <c r="B1358" s="160">
        <v>550</v>
      </c>
      <c r="C1358" s="148" t="s">
        <v>289</v>
      </c>
      <c r="D1358" s="147" t="s">
        <v>362</v>
      </c>
      <c r="E1358" s="204">
        <v>35765</v>
      </c>
      <c r="F1358" s="150">
        <v>572155</v>
      </c>
      <c r="G1358" s="147">
        <v>4023</v>
      </c>
      <c r="H1358" s="147"/>
      <c r="I1358" s="152"/>
      <c r="J1358" s="147"/>
      <c r="K1358" s="139"/>
    </row>
    <row r="1359" spans="1:11" ht="12.75" x14ac:dyDescent="0.2">
      <c r="A1359" s="147"/>
      <c r="B1359" s="147"/>
      <c r="C1359" s="169"/>
      <c r="D1359" s="149" t="s">
        <v>262</v>
      </c>
      <c r="E1359" s="165"/>
      <c r="F1359" s="150"/>
      <c r="G1359" s="147"/>
      <c r="H1359" s="147">
        <v>2635</v>
      </c>
      <c r="I1359" s="152">
        <f>H1359/H1362</f>
        <v>0.88422818791946312</v>
      </c>
      <c r="J1359" s="153" t="s">
        <v>262</v>
      </c>
      <c r="K1359" s="139"/>
    </row>
    <row r="1360" spans="1:11" ht="12.75" x14ac:dyDescent="0.2">
      <c r="A1360" s="147"/>
      <c r="B1360" s="147"/>
      <c r="C1360" s="169"/>
      <c r="D1360" s="149" t="s">
        <v>288</v>
      </c>
      <c r="E1360" s="165"/>
      <c r="F1360" s="150"/>
      <c r="G1360" s="147"/>
      <c r="H1360" s="147">
        <v>145</v>
      </c>
      <c r="I1360" s="152">
        <f>H1360/H1362</f>
        <v>4.8657718120805368E-2</v>
      </c>
      <c r="J1360" s="153"/>
      <c r="K1360" s="139"/>
    </row>
    <row r="1361" spans="1:11" ht="12.75" x14ac:dyDescent="0.2">
      <c r="A1361" s="147"/>
      <c r="B1361" s="147"/>
      <c r="C1361" s="169"/>
      <c r="D1361" s="149" t="s">
        <v>292</v>
      </c>
      <c r="E1361" s="165"/>
      <c r="F1361" s="150"/>
      <c r="G1361" s="147"/>
      <c r="H1361" s="147">
        <v>200</v>
      </c>
      <c r="I1361" s="152">
        <f>H1361/H1362</f>
        <v>6.7114093959731544E-2</v>
      </c>
      <c r="J1361" s="153"/>
      <c r="K1361" s="139"/>
    </row>
    <row r="1362" spans="1:11" ht="12.75" x14ac:dyDescent="0.2">
      <c r="A1362" s="147"/>
      <c r="B1362" s="147"/>
      <c r="C1362" s="169"/>
      <c r="D1362" s="148" t="s">
        <v>33</v>
      </c>
      <c r="E1362" s="165"/>
      <c r="F1362" s="150"/>
      <c r="G1362" s="147"/>
      <c r="H1362" s="155">
        <f>SUM(H1359:H1361)</f>
        <v>2980</v>
      </c>
      <c r="I1362" s="156">
        <f>SUM(I1359:I1361)</f>
        <v>1</v>
      </c>
      <c r="J1362" s="147"/>
      <c r="K1362" s="139"/>
    </row>
    <row r="1363" spans="1:11" ht="12.75" x14ac:dyDescent="0.2">
      <c r="A1363" s="148" t="s">
        <v>17</v>
      </c>
      <c r="B1363" s="160">
        <v>562</v>
      </c>
      <c r="C1363" s="148" t="s">
        <v>289</v>
      </c>
      <c r="D1363" s="147" t="s">
        <v>122</v>
      </c>
      <c r="E1363" s="204">
        <v>35278</v>
      </c>
      <c r="F1363" s="150">
        <v>8214772</v>
      </c>
      <c r="G1363" s="147">
        <v>52130</v>
      </c>
      <c r="H1363" s="147"/>
      <c r="I1363" s="152"/>
      <c r="J1363" s="147"/>
      <c r="K1363" s="139"/>
    </row>
    <row r="1364" spans="1:11" ht="12.75" x14ac:dyDescent="0.2">
      <c r="A1364" s="147"/>
      <c r="B1364" s="147"/>
      <c r="C1364" s="169"/>
      <c r="D1364" s="149" t="s">
        <v>261</v>
      </c>
      <c r="E1364" s="165"/>
      <c r="F1364" s="150"/>
      <c r="G1364" s="147"/>
      <c r="H1364" s="147">
        <v>1582</v>
      </c>
      <c r="I1364" s="152">
        <f>H1364/H1368</f>
        <v>5.7302231237322518E-2</v>
      </c>
      <c r="J1364" s="153"/>
      <c r="K1364" s="139"/>
    </row>
    <row r="1365" spans="1:11" ht="12.75" x14ac:dyDescent="0.2">
      <c r="A1365" s="147"/>
      <c r="B1365" s="147"/>
      <c r="C1365" s="169"/>
      <c r="D1365" s="149" t="s">
        <v>291</v>
      </c>
      <c r="E1365" s="165"/>
      <c r="F1365" s="150"/>
      <c r="G1365" s="147"/>
      <c r="H1365" s="147">
        <v>15446</v>
      </c>
      <c r="I1365" s="152">
        <f>H1365/H1368</f>
        <v>0.55947551434366849</v>
      </c>
      <c r="J1365" s="153" t="s">
        <v>239</v>
      </c>
      <c r="K1365" s="139"/>
    </row>
    <row r="1366" spans="1:11" ht="12.75" x14ac:dyDescent="0.2">
      <c r="A1366" s="147"/>
      <c r="B1366" s="147"/>
      <c r="C1366" s="169"/>
      <c r="D1366" s="149" t="s">
        <v>288</v>
      </c>
      <c r="E1366" s="165"/>
      <c r="F1366" s="150"/>
      <c r="G1366" s="147"/>
      <c r="H1366" s="147">
        <v>5752</v>
      </c>
      <c r="I1366" s="152">
        <f>H1366/H1368</f>
        <v>0.20834540712836858</v>
      </c>
      <c r="J1366" s="153" t="s">
        <v>288</v>
      </c>
      <c r="K1366" s="139"/>
    </row>
    <row r="1367" spans="1:11" ht="12.75" x14ac:dyDescent="0.2">
      <c r="A1367" s="147"/>
      <c r="B1367" s="147"/>
      <c r="C1367" s="169"/>
      <c r="D1367" s="149" t="s">
        <v>292</v>
      </c>
      <c r="E1367" s="165"/>
      <c r="F1367" s="150"/>
      <c r="G1367" s="147"/>
      <c r="H1367" s="147">
        <v>4828</v>
      </c>
      <c r="I1367" s="152">
        <f>H1367/H1368</f>
        <v>0.1748768472906404</v>
      </c>
      <c r="J1367" s="153" t="s">
        <v>292</v>
      </c>
      <c r="K1367" s="139"/>
    </row>
    <row r="1368" spans="1:11" ht="12.75" x14ac:dyDescent="0.2">
      <c r="A1368" s="147"/>
      <c r="B1368" s="147"/>
      <c r="C1368" s="169"/>
      <c r="D1368" s="148" t="s">
        <v>33</v>
      </c>
      <c r="E1368" s="165"/>
      <c r="F1368" s="150"/>
      <c r="G1368" s="147"/>
      <c r="H1368" s="155">
        <f>SUM(H1364:H1367)</f>
        <v>27608</v>
      </c>
      <c r="I1368" s="156">
        <f>SUM(I1364:I1367)</f>
        <v>1</v>
      </c>
      <c r="J1368" s="147"/>
      <c r="K1368" s="139"/>
    </row>
    <row r="1369" spans="1:11" ht="12.75" x14ac:dyDescent="0.2">
      <c r="A1369" s="148" t="s">
        <v>17</v>
      </c>
      <c r="B1369" s="160">
        <v>566</v>
      </c>
      <c r="C1369" s="148" t="s">
        <v>289</v>
      </c>
      <c r="D1369" s="147" t="s">
        <v>114</v>
      </c>
      <c r="E1369" s="204">
        <v>35034</v>
      </c>
      <c r="F1369" s="150">
        <v>9920215</v>
      </c>
      <c r="G1369" s="147">
        <v>85670</v>
      </c>
      <c r="H1369" s="147"/>
      <c r="I1369" s="152"/>
      <c r="J1369" s="147"/>
      <c r="K1369" s="139"/>
    </row>
    <row r="1370" spans="1:11" ht="12.75" x14ac:dyDescent="0.2">
      <c r="A1370" s="147"/>
      <c r="B1370" s="147"/>
      <c r="C1370" s="169"/>
      <c r="D1370" s="149" t="s">
        <v>261</v>
      </c>
      <c r="E1370" s="165"/>
      <c r="F1370" s="150"/>
      <c r="G1370" s="147"/>
      <c r="H1370" s="147">
        <v>8034</v>
      </c>
      <c r="I1370" s="152">
        <f>H1370/H1377</f>
        <v>0.14341562684089326</v>
      </c>
      <c r="J1370" s="153"/>
      <c r="K1370" s="139"/>
    </row>
    <row r="1371" spans="1:11" ht="12.75" x14ac:dyDescent="0.2">
      <c r="A1371" s="147"/>
      <c r="B1371" s="147"/>
      <c r="C1371" s="169"/>
      <c r="D1371" s="149" t="s">
        <v>290</v>
      </c>
      <c r="E1371" s="165"/>
      <c r="F1371" s="150"/>
      <c r="G1371" s="147"/>
      <c r="H1371" s="147">
        <v>9049</v>
      </c>
      <c r="I1371" s="152">
        <f>H1371/H1377</f>
        <v>0.16153447937306986</v>
      </c>
      <c r="J1371" s="153"/>
      <c r="K1371" s="139"/>
    </row>
    <row r="1372" spans="1:11" ht="12.75" x14ac:dyDescent="0.2">
      <c r="A1372" s="147"/>
      <c r="B1372" s="147"/>
      <c r="C1372" s="169"/>
      <c r="D1372" s="149" t="s">
        <v>291</v>
      </c>
      <c r="E1372" s="165"/>
      <c r="F1372" s="150"/>
      <c r="G1372" s="147"/>
      <c r="H1372" s="147">
        <v>6228</v>
      </c>
      <c r="I1372" s="152">
        <f>H1372/H1377</f>
        <v>0.11117656509398596</v>
      </c>
      <c r="J1372" s="153"/>
      <c r="K1372" s="139"/>
    </row>
    <row r="1373" spans="1:11" ht="12.75" x14ac:dyDescent="0.2">
      <c r="A1373" s="147"/>
      <c r="B1373" s="147"/>
      <c r="C1373" s="169"/>
      <c r="D1373" s="149" t="s">
        <v>284</v>
      </c>
      <c r="E1373" s="165"/>
      <c r="F1373" s="150"/>
      <c r="G1373" s="147"/>
      <c r="H1373" s="147">
        <v>2277</v>
      </c>
      <c r="I1373" s="152">
        <f>H1373/H1377</f>
        <v>4.0646923365286775E-2</v>
      </c>
      <c r="J1373" s="153"/>
      <c r="K1373" s="139"/>
    </row>
    <row r="1374" spans="1:11" ht="12.75" x14ac:dyDescent="0.2">
      <c r="A1374" s="147"/>
      <c r="B1374" s="147"/>
      <c r="C1374" s="169"/>
      <c r="D1374" s="149" t="s">
        <v>262</v>
      </c>
      <c r="E1374" s="165"/>
      <c r="F1374" s="150"/>
      <c r="G1374" s="147"/>
      <c r="H1374" s="147">
        <v>2839</v>
      </c>
      <c r="I1374" s="152">
        <f>H1374/H1377</f>
        <v>5.0679233831378637E-2</v>
      </c>
      <c r="J1374" s="153"/>
      <c r="K1374" s="139"/>
    </row>
    <row r="1375" spans="1:11" ht="12.75" x14ac:dyDescent="0.2">
      <c r="A1375" s="147"/>
      <c r="B1375" s="147"/>
      <c r="C1375" s="169"/>
      <c r="D1375" s="149" t="s">
        <v>293</v>
      </c>
      <c r="E1375" s="165"/>
      <c r="F1375" s="150"/>
      <c r="G1375" s="147"/>
      <c r="H1375" s="147">
        <v>1231</v>
      </c>
      <c r="I1375" s="152">
        <f>H1375/H1377</f>
        <v>2.1974687159713669E-2</v>
      </c>
      <c r="J1375" s="153"/>
      <c r="K1375" s="139"/>
    </row>
    <row r="1376" spans="1:11" ht="12.75" x14ac:dyDescent="0.2">
      <c r="A1376" s="147"/>
      <c r="B1376" s="147"/>
      <c r="C1376" s="169"/>
      <c r="D1376" s="149" t="s">
        <v>288</v>
      </c>
      <c r="E1376" s="165"/>
      <c r="F1376" s="150"/>
      <c r="G1376" s="147"/>
      <c r="H1376" s="147">
        <v>26361</v>
      </c>
      <c r="I1376" s="152">
        <f>H1376/H1377</f>
        <v>0.47057248433567184</v>
      </c>
      <c r="J1376" s="153" t="s">
        <v>288</v>
      </c>
      <c r="K1376" s="139"/>
    </row>
    <row r="1377" spans="1:11" ht="12.75" x14ac:dyDescent="0.2">
      <c r="A1377" s="147"/>
      <c r="B1377" s="147"/>
      <c r="C1377" s="169"/>
      <c r="D1377" s="148" t="s">
        <v>33</v>
      </c>
      <c r="E1377" s="165"/>
      <c r="F1377" s="150"/>
      <c r="G1377" s="147"/>
      <c r="H1377" s="155">
        <f>SUM(H1370:H1376)</f>
        <v>56019</v>
      </c>
      <c r="I1377" s="156">
        <f>SUM(I1370:I1376)</f>
        <v>1</v>
      </c>
      <c r="J1377" s="147"/>
      <c r="K1377" s="139"/>
    </row>
    <row r="1378" spans="1:11" ht="12.75" x14ac:dyDescent="0.2">
      <c r="A1378" s="147"/>
      <c r="B1378" s="147"/>
      <c r="C1378" s="169"/>
      <c r="D1378" s="148"/>
      <c r="E1378" s="165"/>
      <c r="F1378" s="150"/>
      <c r="G1378" s="147"/>
      <c r="H1378" s="147"/>
      <c r="I1378" s="152"/>
      <c r="J1378" s="147"/>
      <c r="K1378" s="139"/>
    </row>
    <row r="1379" spans="1:11" ht="12.75" x14ac:dyDescent="0.2">
      <c r="A1379" s="148" t="s">
        <v>17</v>
      </c>
      <c r="B1379" s="160">
        <v>522</v>
      </c>
      <c r="C1379" s="148" t="s">
        <v>289</v>
      </c>
      <c r="D1379" s="147" t="s">
        <v>363</v>
      </c>
      <c r="E1379" s="204">
        <v>36312</v>
      </c>
      <c r="F1379" s="150">
        <v>4864068</v>
      </c>
      <c r="G1379" s="147">
        <v>26996</v>
      </c>
      <c r="H1379" s="147"/>
      <c r="I1379" s="152"/>
      <c r="J1379" s="147"/>
      <c r="K1379" s="139"/>
    </row>
    <row r="1380" spans="1:11" ht="12.75" x14ac:dyDescent="0.2">
      <c r="A1380" s="147"/>
      <c r="B1380" s="147"/>
      <c r="C1380" s="169"/>
      <c r="D1380" s="149" t="s">
        <v>242</v>
      </c>
      <c r="E1380" s="165"/>
      <c r="F1380" s="150"/>
      <c r="G1380" s="147"/>
      <c r="H1380" s="147">
        <v>10130</v>
      </c>
      <c r="I1380" s="152">
        <f>H1380/H1382</f>
        <v>0.63919737506309948</v>
      </c>
      <c r="J1380" s="153" t="s">
        <v>242</v>
      </c>
      <c r="K1380" s="139"/>
    </row>
    <row r="1381" spans="1:11" ht="12.75" x14ac:dyDescent="0.2">
      <c r="A1381" s="147"/>
      <c r="B1381" s="147"/>
      <c r="C1381" s="169"/>
      <c r="D1381" s="149" t="s">
        <v>288</v>
      </c>
      <c r="E1381" s="165"/>
      <c r="F1381" s="150"/>
      <c r="G1381" s="147"/>
      <c r="H1381" s="147">
        <v>5718</v>
      </c>
      <c r="I1381" s="152">
        <f>H1381/H1382</f>
        <v>0.36080262493690057</v>
      </c>
      <c r="J1381" s="153"/>
      <c r="K1381" s="139"/>
    </row>
    <row r="1382" spans="1:11" ht="12.75" x14ac:dyDescent="0.2">
      <c r="A1382" s="147"/>
      <c r="B1382" s="147"/>
      <c r="C1382" s="169"/>
      <c r="D1382" s="148" t="s">
        <v>33</v>
      </c>
      <c r="E1382" s="165"/>
      <c r="F1382" s="150"/>
      <c r="G1382" s="147"/>
      <c r="H1382" s="155">
        <f>SUM(H1380:H1381)</f>
        <v>15848</v>
      </c>
      <c r="I1382" s="156">
        <f>SUM(I1380:I1381)</f>
        <v>1</v>
      </c>
      <c r="J1382" s="147"/>
      <c r="K1382" s="139"/>
    </row>
    <row r="1383" spans="1:11" ht="12.75" x14ac:dyDescent="0.2">
      <c r="A1383" s="147"/>
      <c r="B1383" s="147"/>
      <c r="C1383" s="169"/>
      <c r="D1383" s="148"/>
      <c r="E1383" s="165"/>
      <c r="F1383" s="150"/>
      <c r="G1383" s="147"/>
      <c r="H1383" s="147"/>
      <c r="I1383" s="152"/>
      <c r="J1383" s="147"/>
      <c r="K1383" s="139"/>
    </row>
    <row r="1384" spans="1:11" ht="12.75" x14ac:dyDescent="0.2">
      <c r="A1384" s="148" t="s">
        <v>17</v>
      </c>
      <c r="B1384" s="160">
        <v>523</v>
      </c>
      <c r="C1384" s="148" t="s">
        <v>289</v>
      </c>
      <c r="D1384" s="147" t="s">
        <v>155</v>
      </c>
      <c r="E1384" s="204">
        <v>36161</v>
      </c>
      <c r="F1384" s="150">
        <v>1993805</v>
      </c>
      <c r="G1384" s="147">
        <v>8920</v>
      </c>
      <c r="H1384" s="147"/>
      <c r="I1384" s="152"/>
      <c r="J1384" s="147"/>
      <c r="K1384" s="139"/>
    </row>
    <row r="1385" spans="1:11" ht="12.75" x14ac:dyDescent="0.2">
      <c r="A1385" s="147"/>
      <c r="B1385" s="147"/>
      <c r="C1385" s="169"/>
      <c r="D1385" s="149" t="s">
        <v>261</v>
      </c>
      <c r="E1385" s="165"/>
      <c r="F1385" s="150"/>
      <c r="G1385" s="147"/>
      <c r="H1385" s="147">
        <v>340</v>
      </c>
      <c r="I1385" s="152">
        <f>H1385/H1389</f>
        <v>5.7171683201614261E-2</v>
      </c>
      <c r="J1385" s="153"/>
      <c r="K1385" s="139"/>
    </row>
    <row r="1386" spans="1:11" ht="12.75" x14ac:dyDescent="0.2">
      <c r="A1386" s="147"/>
      <c r="B1386" s="147"/>
      <c r="C1386" s="169"/>
      <c r="D1386" s="149" t="s">
        <v>290</v>
      </c>
      <c r="E1386" s="165"/>
      <c r="F1386" s="150"/>
      <c r="G1386" s="147"/>
      <c r="H1386" s="147">
        <v>800</v>
      </c>
      <c r="I1386" s="152">
        <f>H1386/H1389</f>
        <v>0.13452160753321002</v>
      </c>
      <c r="J1386" s="153"/>
      <c r="K1386" s="139"/>
    </row>
    <row r="1387" spans="1:11" ht="12.75" x14ac:dyDescent="0.2">
      <c r="A1387" s="147"/>
      <c r="B1387" s="147"/>
      <c r="C1387" s="169"/>
      <c r="D1387" s="149" t="s">
        <v>291</v>
      </c>
      <c r="E1387" s="165"/>
      <c r="F1387" s="150"/>
      <c r="G1387" s="147"/>
      <c r="H1387" s="147">
        <v>4607</v>
      </c>
      <c r="I1387" s="152">
        <f>H1387/H1389</f>
        <v>0.77467630738187321</v>
      </c>
      <c r="J1387" s="153" t="s">
        <v>291</v>
      </c>
      <c r="K1387" s="139"/>
    </row>
    <row r="1388" spans="1:11" ht="12.75" x14ac:dyDescent="0.2">
      <c r="A1388" s="147"/>
      <c r="B1388" s="147"/>
      <c r="C1388" s="169"/>
      <c r="D1388" s="149" t="s">
        <v>288</v>
      </c>
      <c r="E1388" s="165"/>
      <c r="F1388" s="150"/>
      <c r="G1388" s="147"/>
      <c r="H1388" s="147">
        <v>200</v>
      </c>
      <c r="I1388" s="152">
        <f>H1388/H1389</f>
        <v>3.3630401883302505E-2</v>
      </c>
      <c r="J1388" s="153"/>
      <c r="K1388" s="139"/>
    </row>
    <row r="1389" spans="1:11" ht="12.75" x14ac:dyDescent="0.2">
      <c r="A1389" s="147"/>
      <c r="B1389" s="147"/>
      <c r="C1389" s="169"/>
      <c r="D1389" s="148" t="s">
        <v>33</v>
      </c>
      <c r="E1389" s="165"/>
      <c r="F1389" s="150"/>
      <c r="G1389" s="147"/>
      <c r="H1389" s="155">
        <f>SUM(H1385:H1388)</f>
        <v>5947</v>
      </c>
      <c r="I1389" s="156">
        <f>SUM(I1385:I1388)</f>
        <v>1</v>
      </c>
      <c r="J1389" s="147"/>
      <c r="K1389" s="139"/>
    </row>
    <row r="1390" spans="1:11" ht="12.75" x14ac:dyDescent="0.2">
      <c r="A1390" s="147"/>
      <c r="B1390" s="147"/>
      <c r="C1390" s="169"/>
      <c r="D1390" s="148"/>
      <c r="E1390" s="165"/>
      <c r="F1390" s="150"/>
      <c r="G1390" s="147"/>
      <c r="H1390" s="147"/>
      <c r="I1390" s="152"/>
      <c r="J1390" s="147"/>
      <c r="K1390" s="139"/>
    </row>
    <row r="1391" spans="1:11" ht="12.75" x14ac:dyDescent="0.2">
      <c r="A1391" s="148" t="s">
        <v>17</v>
      </c>
      <c r="B1391" s="160">
        <v>511</v>
      </c>
      <c r="C1391" s="148" t="s">
        <v>289</v>
      </c>
      <c r="D1391" s="147" t="s">
        <v>420</v>
      </c>
      <c r="E1391" s="204">
        <v>36770</v>
      </c>
      <c r="F1391" s="150">
        <v>9202598</v>
      </c>
      <c r="G1391" s="147">
        <v>52265</v>
      </c>
      <c r="H1391" s="147"/>
      <c r="I1391" s="152"/>
      <c r="J1391" s="147"/>
      <c r="K1391" s="139"/>
    </row>
    <row r="1392" spans="1:11" ht="12.75" x14ac:dyDescent="0.2">
      <c r="A1392" s="147"/>
      <c r="B1392" s="147"/>
      <c r="C1392" s="169"/>
      <c r="D1392" s="149" t="s">
        <v>261</v>
      </c>
      <c r="E1392" s="165"/>
      <c r="F1392" s="150"/>
      <c r="G1392" s="147"/>
      <c r="H1392" s="147">
        <v>908</v>
      </c>
      <c r="I1392" s="152">
        <f>H1392/$H$1399</f>
        <v>2.8401626524867062E-2</v>
      </c>
      <c r="J1392" s="153"/>
      <c r="K1392" s="139"/>
    </row>
    <row r="1393" spans="1:11" ht="12.75" x14ac:dyDescent="0.2">
      <c r="A1393" s="147"/>
      <c r="B1393" s="147"/>
      <c r="C1393" s="169"/>
      <c r="D1393" s="149" t="s">
        <v>290</v>
      </c>
      <c r="E1393" s="165"/>
      <c r="F1393" s="150"/>
      <c r="G1393" s="147"/>
      <c r="H1393" s="147">
        <v>11741</v>
      </c>
      <c r="I1393" s="152">
        <f t="shared" ref="I1393:I1398" si="31">H1393/$H$1399</f>
        <v>0.36725054738817642</v>
      </c>
      <c r="J1393" s="153" t="s">
        <v>290</v>
      </c>
      <c r="K1393" s="139"/>
    </row>
    <row r="1394" spans="1:11" ht="12.75" x14ac:dyDescent="0.2">
      <c r="A1394" s="147"/>
      <c r="B1394" s="147"/>
      <c r="C1394" s="169"/>
      <c r="D1394" s="149" t="s">
        <v>291</v>
      </c>
      <c r="E1394" s="165"/>
      <c r="F1394" s="150"/>
      <c r="G1394" s="147"/>
      <c r="H1394" s="147">
        <v>4593</v>
      </c>
      <c r="I1394" s="152">
        <f t="shared" si="31"/>
        <v>0.14366593681576478</v>
      </c>
      <c r="J1394" s="153"/>
      <c r="K1394" s="139"/>
    </row>
    <row r="1395" spans="1:11" ht="12.75" x14ac:dyDescent="0.2">
      <c r="A1395" s="147"/>
      <c r="B1395" s="147"/>
      <c r="C1395" s="169"/>
      <c r="D1395" s="149" t="s">
        <v>284</v>
      </c>
      <c r="E1395" s="165"/>
      <c r="F1395" s="150"/>
      <c r="G1395" s="147"/>
      <c r="H1395" s="147">
        <v>1286</v>
      </c>
      <c r="I1395" s="152">
        <f t="shared" si="31"/>
        <v>4.0225211135439476E-2</v>
      </c>
      <c r="J1395" s="153"/>
      <c r="K1395" s="139"/>
    </row>
    <row r="1396" spans="1:11" ht="12.75" x14ac:dyDescent="0.2">
      <c r="A1396" s="147"/>
      <c r="B1396" s="147"/>
      <c r="C1396" s="169"/>
      <c r="D1396" s="149" t="s">
        <v>293</v>
      </c>
      <c r="E1396" s="165"/>
      <c r="F1396" s="150"/>
      <c r="G1396" s="147"/>
      <c r="H1396" s="147">
        <v>1050</v>
      </c>
      <c r="I1396" s="152">
        <f t="shared" si="31"/>
        <v>3.2843290584923364E-2</v>
      </c>
      <c r="J1396" s="153"/>
      <c r="K1396" s="139"/>
    </row>
    <row r="1397" spans="1:11" ht="12.75" x14ac:dyDescent="0.2">
      <c r="A1397" s="147"/>
      <c r="B1397" s="147"/>
      <c r="C1397" s="169"/>
      <c r="D1397" s="149" t="s">
        <v>288</v>
      </c>
      <c r="E1397" s="165"/>
      <c r="F1397" s="150"/>
      <c r="G1397" s="147"/>
      <c r="H1397" s="147">
        <v>12180</v>
      </c>
      <c r="I1397" s="152">
        <f t="shared" si="31"/>
        <v>0.38098217078511104</v>
      </c>
      <c r="J1397" s="153" t="s">
        <v>288</v>
      </c>
      <c r="K1397" s="139"/>
    </row>
    <row r="1398" spans="1:11" ht="12.75" x14ac:dyDescent="0.2">
      <c r="A1398" s="147"/>
      <c r="B1398" s="147"/>
      <c r="C1398" s="169"/>
      <c r="D1398" s="149" t="s">
        <v>292</v>
      </c>
      <c r="E1398" s="165"/>
      <c r="F1398" s="150"/>
      <c r="G1398" s="147"/>
      <c r="H1398" s="147">
        <v>212</v>
      </c>
      <c r="I1398" s="152">
        <f t="shared" si="31"/>
        <v>6.6312167657178603E-3</v>
      </c>
      <c r="J1398" s="153"/>
      <c r="K1398" s="139"/>
    </row>
    <row r="1399" spans="1:11" ht="12.75" x14ac:dyDescent="0.2">
      <c r="A1399" s="147"/>
      <c r="B1399" s="147"/>
      <c r="C1399" s="169"/>
      <c r="D1399" s="148" t="s">
        <v>33</v>
      </c>
      <c r="E1399" s="165"/>
      <c r="F1399" s="150"/>
      <c r="G1399" s="147"/>
      <c r="H1399" s="155">
        <f>SUM(H1392:H1398)</f>
        <v>31970</v>
      </c>
      <c r="I1399" s="156">
        <f>SUM(I1392:I1398)</f>
        <v>1.0000000000000002</v>
      </c>
      <c r="J1399" s="147"/>
      <c r="K1399" s="139"/>
    </row>
    <row r="1400" spans="1:11" ht="12.75" x14ac:dyDescent="0.2">
      <c r="A1400" s="147"/>
      <c r="B1400" s="147"/>
      <c r="C1400" s="169"/>
      <c r="D1400" s="148"/>
      <c r="E1400" s="165"/>
      <c r="F1400" s="150"/>
      <c r="G1400" s="147"/>
      <c r="H1400" s="147"/>
      <c r="I1400" s="152"/>
      <c r="J1400" s="147"/>
      <c r="K1400" s="139"/>
    </row>
    <row r="1401" spans="1:11" ht="12.75" x14ac:dyDescent="0.2">
      <c r="A1401" s="148" t="s">
        <v>17</v>
      </c>
      <c r="B1401" s="160">
        <v>587</v>
      </c>
      <c r="C1401" s="148" t="s">
        <v>289</v>
      </c>
      <c r="D1401" s="147" t="s">
        <v>471</v>
      </c>
      <c r="E1401" s="204">
        <v>37973</v>
      </c>
      <c r="F1401" s="150">
        <v>7208972</v>
      </c>
      <c r="G1401" s="147">
        <v>44505</v>
      </c>
      <c r="H1401" s="147"/>
      <c r="I1401" s="152"/>
      <c r="J1401" s="147"/>
      <c r="K1401" s="139"/>
    </row>
    <row r="1402" spans="1:11" ht="12.75" x14ac:dyDescent="0.2">
      <c r="A1402" s="147"/>
      <c r="B1402" s="147"/>
      <c r="C1402" s="169"/>
      <c r="D1402" s="149" t="s">
        <v>261</v>
      </c>
      <c r="E1402" s="165"/>
      <c r="F1402" s="150"/>
      <c r="G1402" s="147"/>
      <c r="H1402" s="147">
        <v>14875</v>
      </c>
      <c r="I1402" s="152">
        <f>H1402/H1406</f>
        <v>0.50134816312773844</v>
      </c>
      <c r="J1402" s="151" t="s">
        <v>261</v>
      </c>
      <c r="K1402" s="139"/>
    </row>
    <row r="1403" spans="1:11" ht="12.75" x14ac:dyDescent="0.2">
      <c r="A1403" s="147"/>
      <c r="B1403" s="147"/>
      <c r="C1403" s="169"/>
      <c r="D1403" s="149" t="s">
        <v>262</v>
      </c>
      <c r="E1403" s="165"/>
      <c r="F1403" s="150"/>
      <c r="G1403" s="147"/>
      <c r="H1403" s="147">
        <v>2600</v>
      </c>
      <c r="I1403" s="152">
        <f>H1403/H1406</f>
        <v>8.7630603302999668E-2</v>
      </c>
      <c r="J1403" s="153"/>
      <c r="K1403" s="139"/>
    </row>
    <row r="1404" spans="1:11" ht="12.75" x14ac:dyDescent="0.2">
      <c r="A1404" s="147"/>
      <c r="B1404" s="147"/>
      <c r="C1404" s="169"/>
      <c r="D1404" s="149" t="s">
        <v>288</v>
      </c>
      <c r="E1404" s="165"/>
      <c r="F1404" s="150"/>
      <c r="G1404" s="147"/>
      <c r="H1404" s="147">
        <v>4895</v>
      </c>
      <c r="I1404" s="152">
        <f>H1404/H1406</f>
        <v>0.1649814627569936</v>
      </c>
      <c r="J1404" s="153"/>
      <c r="K1404" s="139"/>
    </row>
    <row r="1405" spans="1:11" ht="12.75" x14ac:dyDescent="0.2">
      <c r="A1405" s="147"/>
      <c r="B1405" s="147"/>
      <c r="C1405" s="169"/>
      <c r="D1405" s="149" t="s">
        <v>292</v>
      </c>
      <c r="E1405" s="165"/>
      <c r="F1405" s="150"/>
      <c r="G1405" s="147"/>
      <c r="H1405" s="147">
        <v>7300</v>
      </c>
      <c r="I1405" s="152">
        <f>H1405/H1406</f>
        <v>0.24603977081226827</v>
      </c>
      <c r="J1405" s="153"/>
      <c r="K1405" s="139"/>
    </row>
    <row r="1406" spans="1:11" ht="12.75" x14ac:dyDescent="0.2">
      <c r="A1406" s="147"/>
      <c r="B1406" s="147"/>
      <c r="C1406" s="169"/>
      <c r="D1406" s="148" t="s">
        <v>33</v>
      </c>
      <c r="E1406" s="165"/>
      <c r="F1406" s="150"/>
      <c r="G1406" s="147"/>
      <c r="H1406" s="155">
        <f>SUM(H1402:H1405)</f>
        <v>29670</v>
      </c>
      <c r="I1406" s="156">
        <f>SUM(I1402:I1405)</f>
        <v>0.99999999999999989</v>
      </c>
      <c r="J1406" s="147"/>
      <c r="K1406" s="139"/>
    </row>
    <row r="1407" spans="1:11" ht="12.75" x14ac:dyDescent="0.2">
      <c r="A1407" s="147"/>
      <c r="B1407" s="147"/>
      <c r="C1407" s="169"/>
      <c r="D1407" s="148"/>
      <c r="E1407" s="165"/>
      <c r="F1407" s="150"/>
      <c r="G1407" s="147"/>
      <c r="H1407" s="147"/>
      <c r="I1407" s="152"/>
      <c r="J1407" s="147"/>
      <c r="K1407" s="139"/>
    </row>
    <row r="1408" spans="1:11" ht="12.75" x14ac:dyDescent="0.2">
      <c r="A1408" s="148" t="s">
        <v>17</v>
      </c>
      <c r="B1408" s="160">
        <v>549</v>
      </c>
      <c r="C1408" s="148" t="s">
        <v>289</v>
      </c>
      <c r="D1408" s="147" t="s">
        <v>472</v>
      </c>
      <c r="E1408" s="204">
        <v>37720</v>
      </c>
      <c r="F1408" s="150">
        <v>15040910</v>
      </c>
      <c r="G1408" s="147">
        <v>75592</v>
      </c>
      <c r="H1408" s="147"/>
      <c r="I1408" s="152"/>
      <c r="J1408" s="147"/>
      <c r="K1408" s="139"/>
    </row>
    <row r="1409" spans="1:11" ht="12.75" x14ac:dyDescent="0.2">
      <c r="A1409" s="147"/>
      <c r="B1409" s="147"/>
      <c r="C1409" s="169"/>
      <c r="D1409" s="149" t="s">
        <v>261</v>
      </c>
      <c r="E1409" s="165"/>
      <c r="F1409" s="150"/>
      <c r="G1409" s="147"/>
      <c r="H1409" s="147">
        <v>2957</v>
      </c>
      <c r="I1409" s="152">
        <f t="shared" ref="I1409:I1414" si="32">H1409/$H$1415</f>
        <v>6.9361043347720017E-2</v>
      </c>
      <c r="J1409" s="153"/>
      <c r="K1409" s="139"/>
    </row>
    <row r="1410" spans="1:11" ht="12.75" x14ac:dyDescent="0.2">
      <c r="A1410" s="147"/>
      <c r="B1410" s="147"/>
      <c r="C1410" s="169"/>
      <c r="D1410" s="149" t="s">
        <v>290</v>
      </c>
      <c r="E1410" s="165"/>
      <c r="F1410" s="150"/>
      <c r="G1410" s="147"/>
      <c r="H1410" s="147">
        <v>11604</v>
      </c>
      <c r="I1410" s="152">
        <f t="shared" si="32"/>
        <v>0.27218990429724149</v>
      </c>
      <c r="J1410" s="153"/>
      <c r="K1410" s="139"/>
    </row>
    <row r="1411" spans="1:11" ht="12.75" x14ac:dyDescent="0.2">
      <c r="A1411" s="147"/>
      <c r="B1411" s="147"/>
      <c r="C1411" s="169"/>
      <c r="D1411" s="149" t="s">
        <v>291</v>
      </c>
      <c r="E1411" s="165"/>
      <c r="F1411" s="150"/>
      <c r="G1411" s="147"/>
      <c r="H1411" s="147">
        <v>19058</v>
      </c>
      <c r="I1411" s="152">
        <f t="shared" si="32"/>
        <v>0.44703509101144678</v>
      </c>
      <c r="J1411" s="153" t="s">
        <v>291</v>
      </c>
      <c r="K1411" s="139"/>
    </row>
    <row r="1412" spans="1:11" ht="12.75" x14ac:dyDescent="0.2">
      <c r="A1412" s="147"/>
      <c r="B1412" s="147"/>
      <c r="C1412" s="169"/>
      <c r="D1412" s="149" t="s">
        <v>293</v>
      </c>
      <c r="E1412" s="165"/>
      <c r="F1412" s="150"/>
      <c r="G1412" s="147"/>
      <c r="H1412" s="147">
        <v>978</v>
      </c>
      <c r="I1412" s="152">
        <f t="shared" si="32"/>
        <v>2.2940514167761307E-2</v>
      </c>
      <c r="J1412" s="153"/>
      <c r="K1412" s="139"/>
    </row>
    <row r="1413" spans="1:11" ht="12.75" x14ac:dyDescent="0.2">
      <c r="A1413" s="147"/>
      <c r="B1413" s="147"/>
      <c r="C1413" s="169"/>
      <c r="D1413" s="149" t="s">
        <v>288</v>
      </c>
      <c r="E1413" s="165"/>
      <c r="F1413" s="150"/>
      <c r="G1413" s="147"/>
      <c r="H1413" s="147">
        <v>6823</v>
      </c>
      <c r="I1413" s="152">
        <f t="shared" si="32"/>
        <v>0.16004409832989303</v>
      </c>
      <c r="J1413" s="153"/>
      <c r="K1413" s="139"/>
    </row>
    <row r="1414" spans="1:11" ht="12.75" x14ac:dyDescent="0.2">
      <c r="A1414" s="147"/>
      <c r="B1414" s="147"/>
      <c r="C1414" s="169"/>
      <c r="D1414" s="149" t="s">
        <v>292</v>
      </c>
      <c r="E1414" s="165"/>
      <c r="F1414" s="150"/>
      <c r="G1414" s="147"/>
      <c r="H1414" s="147">
        <v>1212</v>
      </c>
      <c r="I1414" s="152">
        <f t="shared" si="32"/>
        <v>2.8429348845937324E-2</v>
      </c>
      <c r="J1414" s="153"/>
      <c r="K1414" s="139"/>
    </row>
    <row r="1415" spans="1:11" ht="12.75" x14ac:dyDescent="0.2">
      <c r="A1415" s="147"/>
      <c r="B1415" s="147"/>
      <c r="C1415" s="169"/>
      <c r="D1415" s="148" t="s">
        <v>33</v>
      </c>
      <c r="E1415" s="165"/>
      <c r="F1415" s="150"/>
      <c r="G1415" s="147"/>
      <c r="H1415" s="155">
        <f>SUM(H1409:H1414)</f>
        <v>42632</v>
      </c>
      <c r="I1415" s="156">
        <f>SUM(I1409:I1414)</f>
        <v>1</v>
      </c>
      <c r="J1415" s="147"/>
      <c r="K1415" s="139"/>
    </row>
    <row r="1416" spans="1:11" ht="12.75" x14ac:dyDescent="0.2">
      <c r="A1416" s="147"/>
      <c r="B1416" s="147"/>
      <c r="C1416" s="169"/>
      <c r="D1416" s="148"/>
      <c r="E1416" s="165"/>
      <c r="F1416" s="150"/>
      <c r="G1416" s="147"/>
      <c r="H1416" s="147"/>
      <c r="I1416" s="152"/>
      <c r="J1416" s="147"/>
      <c r="K1416" s="139"/>
    </row>
    <row r="1417" spans="1:11" ht="12.75" x14ac:dyDescent="0.2">
      <c r="A1417" s="148" t="s">
        <v>17</v>
      </c>
      <c r="B1417" s="160">
        <v>515</v>
      </c>
      <c r="C1417" s="148" t="s">
        <v>289</v>
      </c>
      <c r="D1417" s="147" t="s">
        <v>488</v>
      </c>
      <c r="E1417" s="204">
        <v>37987</v>
      </c>
      <c r="F1417" s="150">
        <v>7898615</v>
      </c>
      <c r="G1417" s="147">
        <v>60001</v>
      </c>
      <c r="H1417" s="147"/>
      <c r="I1417" s="152"/>
      <c r="J1417" s="147"/>
      <c r="K1417" s="139"/>
    </row>
    <row r="1418" spans="1:11" ht="12.75" x14ac:dyDescent="0.2">
      <c r="A1418" s="147"/>
      <c r="B1418" s="147"/>
      <c r="C1418" s="169"/>
      <c r="D1418" s="149" t="s">
        <v>288</v>
      </c>
      <c r="E1418" s="165"/>
      <c r="F1418" s="150"/>
      <c r="G1418" s="147"/>
      <c r="H1418" s="147">
        <v>28630</v>
      </c>
      <c r="I1418" s="152">
        <f>H1418/$H$1420</f>
        <v>0.75608725505730734</v>
      </c>
      <c r="J1418" s="153" t="s">
        <v>288</v>
      </c>
      <c r="K1418" s="139"/>
    </row>
    <row r="1419" spans="1:11" ht="12.75" x14ac:dyDescent="0.2">
      <c r="A1419" s="147"/>
      <c r="B1419" s="147"/>
      <c r="C1419" s="169"/>
      <c r="D1419" s="149" t="s">
        <v>473</v>
      </c>
      <c r="E1419" s="165"/>
      <c r="F1419" s="150"/>
      <c r="G1419" s="147"/>
      <c r="H1419" s="147">
        <v>9236</v>
      </c>
      <c r="I1419" s="152">
        <f>H1419/$H$1420</f>
        <v>0.24391274494269266</v>
      </c>
      <c r="J1419" s="153"/>
      <c r="K1419" s="139"/>
    </row>
    <row r="1420" spans="1:11" ht="12.75" x14ac:dyDescent="0.2">
      <c r="A1420" s="147"/>
      <c r="B1420" s="147"/>
      <c r="C1420" s="169"/>
      <c r="D1420" s="148" t="s">
        <v>33</v>
      </c>
      <c r="E1420" s="165"/>
      <c r="F1420" s="150"/>
      <c r="G1420" s="147"/>
      <c r="H1420" s="155">
        <f>SUM(H1418:H1419)</f>
        <v>37866</v>
      </c>
      <c r="I1420" s="156">
        <f>SUM(I1418:I1419)</f>
        <v>1</v>
      </c>
      <c r="J1420" s="147"/>
      <c r="K1420" s="139"/>
    </row>
    <row r="1421" spans="1:11" ht="12.75" x14ac:dyDescent="0.2">
      <c r="A1421" s="147"/>
      <c r="B1421" s="147"/>
      <c r="C1421" s="169"/>
      <c r="D1421" s="148"/>
      <c r="E1421" s="165"/>
      <c r="F1421" s="150"/>
      <c r="G1421" s="147"/>
      <c r="H1421" s="147"/>
      <c r="I1421" s="152"/>
      <c r="J1421" s="147"/>
      <c r="K1421" s="139"/>
    </row>
    <row r="1422" spans="1:11" ht="12.75" x14ac:dyDescent="0.2">
      <c r="A1422" s="148" t="s">
        <v>17</v>
      </c>
      <c r="B1422" s="160">
        <v>515</v>
      </c>
      <c r="C1422" s="148" t="s">
        <v>289</v>
      </c>
      <c r="D1422" s="147" t="s">
        <v>489</v>
      </c>
      <c r="E1422" s="204">
        <v>38086</v>
      </c>
      <c r="F1422" s="150">
        <v>7698598</v>
      </c>
      <c r="G1422" s="147">
        <v>56716</v>
      </c>
      <c r="H1422" s="147"/>
      <c r="I1422" s="152"/>
      <c r="J1422" s="147"/>
      <c r="K1422" s="139"/>
    </row>
    <row r="1423" spans="1:11" ht="12.75" x14ac:dyDescent="0.2">
      <c r="A1423" s="147"/>
      <c r="B1423" s="147"/>
      <c r="C1423" s="169"/>
      <c r="D1423" s="149" t="s">
        <v>261</v>
      </c>
      <c r="E1423" s="165"/>
      <c r="F1423" s="150"/>
      <c r="G1423" s="147"/>
      <c r="H1423" s="147">
        <v>10506</v>
      </c>
      <c r="I1423" s="152">
        <f t="shared" ref="I1423:I1428" si="33">H1423/$H$1429</f>
        <v>0.27044559425438258</v>
      </c>
      <c r="J1423" s="153" t="s">
        <v>261</v>
      </c>
      <c r="K1423" s="139"/>
    </row>
    <row r="1424" spans="1:11" ht="12.75" x14ac:dyDescent="0.2">
      <c r="A1424" s="147"/>
      <c r="B1424" s="147"/>
      <c r="C1424" s="169"/>
      <c r="D1424" s="149" t="s">
        <v>290</v>
      </c>
      <c r="E1424" s="165"/>
      <c r="F1424" s="150"/>
      <c r="G1424" s="147"/>
      <c r="H1424" s="147">
        <v>3431</v>
      </c>
      <c r="I1424" s="152">
        <f t="shared" si="33"/>
        <v>8.8320848456766285E-2</v>
      </c>
      <c r="J1424" s="153"/>
      <c r="K1424" s="139"/>
    </row>
    <row r="1425" spans="1:11" ht="12.75" x14ac:dyDescent="0.2">
      <c r="A1425" s="147"/>
      <c r="B1425" s="147"/>
      <c r="C1425" s="169"/>
      <c r="D1425" s="149" t="s">
        <v>284</v>
      </c>
      <c r="E1425" s="165"/>
      <c r="F1425" s="150"/>
      <c r="G1425" s="147"/>
      <c r="H1425" s="147">
        <v>2339</v>
      </c>
      <c r="I1425" s="152">
        <f t="shared" si="33"/>
        <v>6.0210569670759648E-2</v>
      </c>
      <c r="J1425" s="153"/>
      <c r="K1425" s="139"/>
    </row>
    <row r="1426" spans="1:11" ht="12.75" x14ac:dyDescent="0.2">
      <c r="A1426" s="147"/>
      <c r="B1426" s="147"/>
      <c r="C1426" s="169"/>
      <c r="D1426" s="149" t="s">
        <v>262</v>
      </c>
      <c r="E1426" s="165"/>
      <c r="F1426" s="150"/>
      <c r="G1426" s="147"/>
      <c r="H1426" s="147">
        <v>7626</v>
      </c>
      <c r="I1426" s="152">
        <f t="shared" si="33"/>
        <v>0.19630859525832112</v>
      </c>
      <c r="J1426" s="153"/>
      <c r="K1426" s="139"/>
    </row>
    <row r="1427" spans="1:11" ht="12.75" x14ac:dyDescent="0.2">
      <c r="A1427" s="147"/>
      <c r="B1427" s="147"/>
      <c r="C1427" s="169"/>
      <c r="D1427" s="149" t="s">
        <v>288</v>
      </c>
      <c r="E1427" s="165"/>
      <c r="F1427" s="150"/>
      <c r="G1427" s="147"/>
      <c r="H1427" s="147">
        <v>13695</v>
      </c>
      <c r="I1427" s="152">
        <f t="shared" si="33"/>
        <v>0.35253687543439649</v>
      </c>
      <c r="J1427" s="153" t="s">
        <v>288</v>
      </c>
      <c r="K1427" s="139"/>
    </row>
    <row r="1428" spans="1:11" ht="12.75" x14ac:dyDescent="0.2">
      <c r="A1428" s="147"/>
      <c r="B1428" s="147"/>
      <c r="C1428" s="169"/>
      <c r="D1428" s="149" t="s">
        <v>292</v>
      </c>
      <c r="E1428" s="165"/>
      <c r="F1428" s="150"/>
      <c r="G1428" s="147"/>
      <c r="H1428" s="147">
        <v>1250</v>
      </c>
      <c r="I1428" s="152">
        <f t="shared" si="33"/>
        <v>3.2177516925373906E-2</v>
      </c>
      <c r="J1428" s="153"/>
      <c r="K1428" s="139"/>
    </row>
    <row r="1429" spans="1:11" ht="12.75" x14ac:dyDescent="0.2">
      <c r="A1429" s="147"/>
      <c r="B1429" s="147"/>
      <c r="C1429" s="169"/>
      <c r="D1429" s="148" t="s">
        <v>33</v>
      </c>
      <c r="E1429" s="165"/>
      <c r="F1429" s="150"/>
      <c r="G1429" s="147"/>
      <c r="H1429" s="155">
        <f>SUM(H1423:H1428)</f>
        <v>38847</v>
      </c>
      <c r="I1429" s="156">
        <f>SUM(I1423:I1428)</f>
        <v>1</v>
      </c>
      <c r="J1429" s="147"/>
      <c r="K1429" s="139"/>
    </row>
    <row r="1430" spans="1:11" ht="12.75" x14ac:dyDescent="0.2">
      <c r="A1430" s="147"/>
      <c r="B1430" s="147"/>
      <c r="C1430" s="169"/>
      <c r="D1430" s="148"/>
      <c r="E1430" s="165"/>
      <c r="F1430" s="150"/>
      <c r="G1430" s="147"/>
      <c r="H1430" s="147"/>
      <c r="I1430" s="152"/>
      <c r="J1430" s="147"/>
      <c r="K1430" s="139"/>
    </row>
    <row r="1431" spans="1:11" ht="12.75" x14ac:dyDescent="0.2">
      <c r="A1431" s="148" t="s">
        <v>17</v>
      </c>
      <c r="B1431" s="160">
        <v>501</v>
      </c>
      <c r="C1431" s="148" t="s">
        <v>289</v>
      </c>
      <c r="D1431" s="147" t="s">
        <v>490</v>
      </c>
      <c r="E1431" s="204">
        <v>38169</v>
      </c>
      <c r="F1431" s="150">
        <v>3800000</v>
      </c>
      <c r="G1431" s="147">
        <v>15237</v>
      </c>
      <c r="H1431" s="147"/>
      <c r="I1431" s="152"/>
      <c r="J1431" s="147"/>
      <c r="K1431" s="139"/>
    </row>
    <row r="1432" spans="1:11" ht="12.75" x14ac:dyDescent="0.2">
      <c r="A1432" s="147"/>
      <c r="B1432" s="147"/>
      <c r="C1432" s="169"/>
      <c r="D1432" s="149" t="s">
        <v>291</v>
      </c>
      <c r="E1432" s="165"/>
      <c r="F1432" s="150"/>
      <c r="G1432" s="147"/>
      <c r="H1432" s="147">
        <v>6701</v>
      </c>
      <c r="I1432" s="152">
        <f>H1432/H$1435</f>
        <v>0.64296680099788905</v>
      </c>
      <c r="J1432" s="153" t="s">
        <v>239</v>
      </c>
      <c r="K1432" s="139"/>
    </row>
    <row r="1433" spans="1:11" ht="12.75" x14ac:dyDescent="0.2">
      <c r="A1433" s="147"/>
      <c r="B1433" s="147"/>
      <c r="C1433" s="169"/>
      <c r="D1433" s="149" t="s">
        <v>288</v>
      </c>
      <c r="E1433" s="165"/>
      <c r="F1433" s="150"/>
      <c r="G1433" s="147"/>
      <c r="H1433" s="147">
        <v>1312</v>
      </c>
      <c r="I1433" s="152">
        <f>H1433/H$1435</f>
        <v>0.12588754557666476</v>
      </c>
      <c r="J1433" s="153"/>
      <c r="K1433" s="139"/>
    </row>
    <row r="1434" spans="1:11" ht="12.75" x14ac:dyDescent="0.2">
      <c r="A1434" s="147"/>
      <c r="B1434" s="147"/>
      <c r="C1434" s="169"/>
      <c r="D1434" s="149" t="s">
        <v>292</v>
      </c>
      <c r="E1434" s="165"/>
      <c r="F1434" s="150"/>
      <c r="G1434" s="147"/>
      <c r="H1434" s="147">
        <v>2409</v>
      </c>
      <c r="I1434" s="152">
        <f>H1434/H$1435</f>
        <v>0.23114565342544618</v>
      </c>
      <c r="J1434" s="153"/>
      <c r="K1434" s="139"/>
    </row>
    <row r="1435" spans="1:11" ht="12.75" x14ac:dyDescent="0.2">
      <c r="A1435" s="147"/>
      <c r="B1435" s="147"/>
      <c r="C1435" s="169"/>
      <c r="D1435" s="148" t="s">
        <v>33</v>
      </c>
      <c r="E1435" s="165"/>
      <c r="F1435" s="150"/>
      <c r="G1435" s="147"/>
      <c r="H1435" s="155">
        <f>SUM(H1432:H1434)</f>
        <v>10422</v>
      </c>
      <c r="I1435" s="156">
        <f>SUM(I1432:I1434)</f>
        <v>1</v>
      </c>
      <c r="J1435" s="147"/>
      <c r="K1435" s="139"/>
    </row>
    <row r="1436" spans="1:11" ht="12.75" x14ac:dyDescent="0.2">
      <c r="A1436" s="147"/>
      <c r="B1436" s="147"/>
      <c r="C1436" s="169"/>
      <c r="D1436" s="148"/>
      <c r="E1436" s="165"/>
      <c r="F1436" s="150"/>
      <c r="G1436" s="198"/>
      <c r="H1436" s="147"/>
      <c r="I1436" s="152"/>
      <c r="J1436" s="147"/>
      <c r="K1436" s="139"/>
    </row>
    <row r="1437" spans="1:11" ht="12.75" x14ac:dyDescent="0.2">
      <c r="A1437" s="148" t="s">
        <v>17</v>
      </c>
      <c r="B1437" s="160">
        <v>589</v>
      </c>
      <c r="C1437" s="148" t="s">
        <v>289</v>
      </c>
      <c r="D1437" s="147" t="s">
        <v>491</v>
      </c>
      <c r="E1437" s="204">
        <v>38338</v>
      </c>
      <c r="F1437" s="150">
        <v>15333469</v>
      </c>
      <c r="G1437" s="147">
        <v>98089</v>
      </c>
      <c r="H1437" s="147"/>
      <c r="I1437" s="152"/>
      <c r="J1437" s="147"/>
      <c r="K1437" s="139"/>
    </row>
    <row r="1438" spans="1:11" ht="12.75" x14ac:dyDescent="0.2">
      <c r="A1438" s="147"/>
      <c r="B1438" s="147"/>
      <c r="C1438" s="169"/>
      <c r="D1438" s="149" t="s">
        <v>261</v>
      </c>
      <c r="E1438" s="165"/>
      <c r="F1438" s="199"/>
      <c r="G1438" s="199"/>
      <c r="H1438" s="147">
        <v>16504</v>
      </c>
      <c r="I1438" s="152">
        <f t="shared" ref="I1438:I1443" si="34">H1438/$H$1444</f>
        <v>0.28283036005004025</v>
      </c>
      <c r="J1438" s="153" t="s">
        <v>261</v>
      </c>
      <c r="K1438" s="139"/>
    </row>
    <row r="1439" spans="1:11" ht="12.75" x14ac:dyDescent="0.2">
      <c r="A1439" s="147"/>
      <c r="B1439" s="147"/>
      <c r="C1439" s="169"/>
      <c r="D1439" s="149" t="s">
        <v>284</v>
      </c>
      <c r="E1439" s="165"/>
      <c r="F1439" s="150"/>
      <c r="G1439" s="147"/>
      <c r="H1439" s="147">
        <v>1264</v>
      </c>
      <c r="I1439" s="152">
        <f t="shared" si="34"/>
        <v>2.1661268486624509E-2</v>
      </c>
      <c r="J1439" s="153"/>
      <c r="K1439" s="139"/>
    </row>
    <row r="1440" spans="1:11" ht="12.75" x14ac:dyDescent="0.2">
      <c r="A1440" s="147"/>
      <c r="B1440" s="147"/>
      <c r="C1440" s="169"/>
      <c r="D1440" s="149" t="s">
        <v>262</v>
      </c>
      <c r="E1440" s="165"/>
      <c r="F1440" s="150"/>
      <c r="G1440" s="147"/>
      <c r="H1440" s="147">
        <v>3375</v>
      </c>
      <c r="I1440" s="152">
        <f t="shared" si="34"/>
        <v>5.7837643308827312E-2</v>
      </c>
      <c r="J1440" s="153"/>
      <c r="K1440" s="139"/>
    </row>
    <row r="1441" spans="1:11" ht="12.75" x14ac:dyDescent="0.2">
      <c r="A1441" s="147"/>
      <c r="B1441" s="147"/>
      <c r="C1441" s="169"/>
      <c r="D1441" s="149" t="s">
        <v>243</v>
      </c>
      <c r="E1441" s="165"/>
      <c r="F1441" s="150"/>
      <c r="G1441" s="147"/>
      <c r="H1441" s="147">
        <v>18000</v>
      </c>
      <c r="I1441" s="152">
        <f t="shared" si="34"/>
        <v>0.30846743098041229</v>
      </c>
      <c r="J1441" s="153" t="s">
        <v>243</v>
      </c>
      <c r="K1441" s="139"/>
    </row>
    <row r="1442" spans="1:11" ht="12.75" x14ac:dyDescent="0.2">
      <c r="A1442" s="147"/>
      <c r="B1442" s="147"/>
      <c r="C1442" s="169"/>
      <c r="D1442" s="149" t="s">
        <v>288</v>
      </c>
      <c r="E1442" s="165"/>
      <c r="F1442" s="150"/>
      <c r="G1442" s="147"/>
      <c r="H1442" s="147">
        <v>17810</v>
      </c>
      <c r="I1442" s="152">
        <f t="shared" si="34"/>
        <v>0.30521138587561908</v>
      </c>
      <c r="J1442" s="153" t="s">
        <v>288</v>
      </c>
      <c r="K1442" s="139"/>
    </row>
    <row r="1443" spans="1:11" ht="12.75" x14ac:dyDescent="0.2">
      <c r="A1443" s="147"/>
      <c r="B1443" s="147"/>
      <c r="C1443" s="169"/>
      <c r="D1443" s="149" t="s">
        <v>292</v>
      </c>
      <c r="E1443" s="165"/>
      <c r="F1443" s="150"/>
      <c r="G1443" s="147"/>
      <c r="H1443" s="147">
        <v>1400</v>
      </c>
      <c r="I1443" s="152">
        <f t="shared" si="34"/>
        <v>2.3991911298476512E-2</v>
      </c>
      <c r="J1443" s="153"/>
      <c r="K1443" s="139"/>
    </row>
    <row r="1444" spans="1:11" ht="12.75" x14ac:dyDescent="0.2">
      <c r="A1444" s="147"/>
      <c r="B1444" s="147"/>
      <c r="C1444" s="169"/>
      <c r="D1444" s="148" t="s">
        <v>33</v>
      </c>
      <c r="E1444" s="165"/>
      <c r="F1444" s="150"/>
      <c r="G1444" s="147"/>
      <c r="H1444" s="155">
        <f>SUM(H1438:H1443)</f>
        <v>58353</v>
      </c>
      <c r="I1444" s="156">
        <f>SUM(I1438:I1443)</f>
        <v>1</v>
      </c>
      <c r="J1444" s="147"/>
      <c r="K1444" s="139"/>
    </row>
    <row r="1445" spans="1:11" ht="12.75" x14ac:dyDescent="0.2">
      <c r="A1445" s="147"/>
      <c r="B1445" s="147"/>
      <c r="C1445" s="169"/>
      <c r="D1445" s="148"/>
      <c r="E1445" s="165"/>
      <c r="F1445" s="150"/>
      <c r="G1445" s="147"/>
      <c r="H1445" s="147"/>
      <c r="I1445" s="152"/>
      <c r="J1445" s="147"/>
      <c r="K1445" s="139"/>
    </row>
    <row r="1446" spans="1:11" ht="12.75" x14ac:dyDescent="0.2">
      <c r="A1446" s="148" t="s">
        <v>17</v>
      </c>
      <c r="B1446" s="160">
        <v>597</v>
      </c>
      <c r="C1446" s="148" t="s">
        <v>537</v>
      </c>
      <c r="D1446" s="147" t="s">
        <v>538</v>
      </c>
      <c r="E1446" s="204">
        <v>38899</v>
      </c>
      <c r="F1446" s="150">
        <v>9261791</v>
      </c>
      <c r="G1446" s="147">
        <v>52897</v>
      </c>
      <c r="H1446" s="147"/>
      <c r="I1446" s="152"/>
      <c r="J1446" s="147"/>
      <c r="K1446" s="139"/>
    </row>
    <row r="1447" spans="1:11" ht="12.75" x14ac:dyDescent="0.2">
      <c r="A1447" s="147"/>
      <c r="B1447" s="147"/>
      <c r="C1447" s="169"/>
      <c r="D1447" s="149" t="s">
        <v>261</v>
      </c>
      <c r="E1447" s="165"/>
      <c r="F1447" s="150"/>
      <c r="G1447" s="147"/>
      <c r="H1447" s="147">
        <v>4582</v>
      </c>
      <c r="I1447" s="152">
        <f>H1447/$H$1455</f>
        <v>0.12844808252971518</v>
      </c>
      <c r="J1447" s="153"/>
      <c r="K1447" s="139"/>
    </row>
    <row r="1448" spans="1:11" ht="12.75" x14ac:dyDescent="0.2">
      <c r="A1448" s="147"/>
      <c r="B1448" s="147"/>
      <c r="C1448" s="169"/>
      <c r="D1448" s="149" t="s">
        <v>290</v>
      </c>
      <c r="E1448" s="165"/>
      <c r="F1448" s="150"/>
      <c r="G1448" s="147"/>
      <c r="H1448" s="147">
        <v>980</v>
      </c>
      <c r="I1448" s="152">
        <f t="shared" ref="I1448:I1454" si="35">H1448/$H$1455</f>
        <v>2.7472527472527472E-2</v>
      </c>
      <c r="J1448" s="153"/>
      <c r="K1448" s="139"/>
    </row>
    <row r="1449" spans="1:11" ht="12.75" x14ac:dyDescent="0.2">
      <c r="A1449" s="147"/>
      <c r="B1449" s="147"/>
      <c r="C1449" s="169"/>
      <c r="D1449" s="149" t="s">
        <v>242</v>
      </c>
      <c r="E1449" s="165"/>
      <c r="F1449" s="150"/>
      <c r="G1449" s="147"/>
      <c r="H1449" s="147">
        <v>6094</v>
      </c>
      <c r="I1449" s="152">
        <f t="shared" si="35"/>
        <v>0.17083426777304328</v>
      </c>
      <c r="J1449" s="153"/>
      <c r="K1449" s="139"/>
    </row>
    <row r="1450" spans="1:11" ht="12.75" x14ac:dyDescent="0.2">
      <c r="A1450" s="147"/>
      <c r="B1450" s="147"/>
      <c r="C1450" s="169"/>
      <c r="D1450" s="149" t="s">
        <v>262</v>
      </c>
      <c r="E1450" s="165"/>
      <c r="F1450" s="150"/>
      <c r="G1450" s="147"/>
      <c r="H1450" s="147">
        <v>3643</v>
      </c>
      <c r="I1450" s="152">
        <f t="shared" si="35"/>
        <v>0.10212491590042611</v>
      </c>
      <c r="J1450" s="153"/>
      <c r="K1450" s="139"/>
    </row>
    <row r="1451" spans="1:11" ht="12.75" x14ac:dyDescent="0.2">
      <c r="A1451" s="147"/>
      <c r="B1451" s="147"/>
      <c r="C1451" s="169"/>
      <c r="D1451" s="149" t="s">
        <v>243</v>
      </c>
      <c r="E1451" s="165"/>
      <c r="F1451" s="150"/>
      <c r="G1451" s="147"/>
      <c r="H1451" s="147">
        <v>1208</v>
      </c>
      <c r="I1451" s="152">
        <f t="shared" si="35"/>
        <v>3.3864095088584886E-2</v>
      </c>
      <c r="J1451" s="153"/>
      <c r="K1451" s="139"/>
    </row>
    <row r="1452" spans="1:11" ht="12.75" x14ac:dyDescent="0.2">
      <c r="A1452" s="147"/>
      <c r="B1452" s="147"/>
      <c r="C1452" s="169"/>
      <c r="D1452" s="149" t="s">
        <v>288</v>
      </c>
      <c r="E1452" s="165"/>
      <c r="F1452" s="150"/>
      <c r="G1452" s="147"/>
      <c r="H1452" s="147">
        <v>10530</v>
      </c>
      <c r="I1452" s="152">
        <f t="shared" si="35"/>
        <v>0.29518950437317787</v>
      </c>
      <c r="J1452" s="153" t="s">
        <v>288</v>
      </c>
      <c r="K1452" s="139"/>
    </row>
    <row r="1453" spans="1:11" ht="12.75" x14ac:dyDescent="0.2">
      <c r="A1453" s="147"/>
      <c r="B1453" s="147"/>
      <c r="C1453" s="169"/>
      <c r="D1453" s="149" t="s">
        <v>292</v>
      </c>
      <c r="E1453" s="165"/>
      <c r="F1453" s="150"/>
      <c r="G1453" s="147"/>
      <c r="H1453" s="147">
        <v>4761</v>
      </c>
      <c r="I1453" s="152">
        <f t="shared" si="35"/>
        <v>0.13346602377214623</v>
      </c>
      <c r="J1453" s="153"/>
      <c r="K1453" s="139"/>
    </row>
    <row r="1454" spans="1:11" ht="12.75" x14ac:dyDescent="0.2">
      <c r="A1454" s="147"/>
      <c r="B1454" s="147"/>
      <c r="C1454" s="169"/>
      <c r="D1454" s="149" t="s">
        <v>473</v>
      </c>
      <c r="E1454" s="165"/>
      <c r="F1454" s="150"/>
      <c r="G1454" s="147"/>
      <c r="H1454" s="147">
        <v>3874</v>
      </c>
      <c r="I1454" s="152">
        <f t="shared" si="35"/>
        <v>0.10860058309037901</v>
      </c>
      <c r="J1454" s="153"/>
      <c r="K1454" s="139"/>
    </row>
    <row r="1455" spans="1:11" ht="12.75" x14ac:dyDescent="0.2">
      <c r="A1455" s="147"/>
      <c r="B1455" s="147"/>
      <c r="C1455" s="169"/>
      <c r="D1455" s="148" t="s">
        <v>33</v>
      </c>
      <c r="E1455" s="165"/>
      <c r="F1455" s="150"/>
      <c r="G1455" s="147"/>
      <c r="H1455" s="155">
        <f>SUM(H1447:H1454)</f>
        <v>35672</v>
      </c>
      <c r="I1455" s="156">
        <f>SUM(I1447:I1454)</f>
        <v>1</v>
      </c>
      <c r="J1455" s="147"/>
      <c r="K1455" s="139"/>
    </row>
    <row r="1456" spans="1:11" ht="12.75" x14ac:dyDescent="0.2">
      <c r="A1456" s="147"/>
      <c r="B1456" s="147"/>
      <c r="C1456" s="169"/>
      <c r="D1456" s="148"/>
      <c r="E1456" s="165"/>
      <c r="F1456" s="150"/>
      <c r="G1456" s="147"/>
      <c r="H1456" s="147"/>
      <c r="I1456" s="152"/>
      <c r="J1456" s="147"/>
      <c r="K1456" s="139"/>
    </row>
    <row r="1457" spans="1:11" ht="12.75" x14ac:dyDescent="0.2">
      <c r="A1457" s="148" t="s">
        <v>17</v>
      </c>
      <c r="B1457" s="160"/>
      <c r="C1457" s="148" t="s">
        <v>289</v>
      </c>
      <c r="D1457" s="147" t="s">
        <v>557</v>
      </c>
      <c r="E1457" s="204">
        <v>39657</v>
      </c>
      <c r="F1457" s="150">
        <v>8950000</v>
      </c>
      <c r="G1457" s="147">
        <v>34466</v>
      </c>
      <c r="H1457" s="147"/>
      <c r="I1457" s="152"/>
      <c r="J1457" s="147"/>
      <c r="K1457" s="139"/>
    </row>
    <row r="1458" spans="1:11" ht="12.75" x14ac:dyDescent="0.2">
      <c r="A1458" s="148"/>
      <c r="B1458" s="160"/>
      <c r="C1458" s="148"/>
      <c r="D1458" s="149" t="s">
        <v>261</v>
      </c>
      <c r="E1458" s="204"/>
      <c r="F1458" s="150"/>
      <c r="G1458" s="147"/>
      <c r="H1458" s="147">
        <v>8519</v>
      </c>
      <c r="I1458" s="152">
        <f>H1458/$H$1463</f>
        <v>0.39216498641992359</v>
      </c>
      <c r="J1458" s="153" t="s">
        <v>261</v>
      </c>
      <c r="K1458" s="139"/>
    </row>
    <row r="1459" spans="1:11" ht="12.75" x14ac:dyDescent="0.2">
      <c r="A1459" s="148"/>
      <c r="B1459" s="160"/>
      <c r="C1459" s="148"/>
      <c r="D1459" s="149" t="s">
        <v>290</v>
      </c>
      <c r="E1459" s="204"/>
      <c r="F1459" s="150"/>
      <c r="G1459" s="147"/>
      <c r="H1459" s="147">
        <v>6198</v>
      </c>
      <c r="I1459" s="152">
        <f>H1459/$H$1463</f>
        <v>0.28531970722275929</v>
      </c>
      <c r="J1459" s="153" t="s">
        <v>238</v>
      </c>
      <c r="K1459" s="139"/>
    </row>
    <row r="1460" spans="1:11" ht="12.75" x14ac:dyDescent="0.2">
      <c r="A1460" s="148"/>
      <c r="B1460" s="160"/>
      <c r="C1460" s="148"/>
      <c r="D1460" s="149" t="s">
        <v>291</v>
      </c>
      <c r="E1460" s="204"/>
      <c r="F1460" s="150"/>
      <c r="G1460" s="147"/>
      <c r="H1460" s="147">
        <v>5506</v>
      </c>
      <c r="I1460" s="152">
        <f>H1460/$H$1463</f>
        <v>0.25346407034019242</v>
      </c>
      <c r="J1460" s="153" t="s">
        <v>239</v>
      </c>
      <c r="K1460" s="139"/>
    </row>
    <row r="1461" spans="1:11" ht="12.75" x14ac:dyDescent="0.2">
      <c r="A1461" s="147"/>
      <c r="B1461" s="147"/>
      <c r="C1461" s="169"/>
      <c r="D1461" s="149" t="s">
        <v>284</v>
      </c>
      <c r="E1461" s="165"/>
      <c r="F1461" s="150"/>
      <c r="G1461" s="147"/>
      <c r="H1461" s="147">
        <v>638</v>
      </c>
      <c r="I1461" s="152">
        <f>H1461/$H$1463</f>
        <v>2.9369792385950375E-2</v>
      </c>
      <c r="J1461" s="147"/>
      <c r="K1461" s="139"/>
    </row>
    <row r="1462" spans="1:11" ht="12.75" x14ac:dyDescent="0.2">
      <c r="A1462" s="147"/>
      <c r="B1462" s="147"/>
      <c r="C1462" s="169"/>
      <c r="D1462" s="149" t="s">
        <v>292</v>
      </c>
      <c r="E1462" s="165"/>
      <c r="F1462" s="150"/>
      <c r="G1462" s="147"/>
      <c r="H1462" s="147">
        <v>862</v>
      </c>
      <c r="I1462" s="152">
        <f>H1462/$H$1463</f>
        <v>3.9681443631174332E-2</v>
      </c>
      <c r="J1462" s="147"/>
      <c r="K1462" s="139"/>
    </row>
    <row r="1463" spans="1:11" ht="12.75" x14ac:dyDescent="0.2">
      <c r="A1463" s="147"/>
      <c r="B1463" s="147"/>
      <c r="C1463" s="169"/>
      <c r="D1463" s="148" t="s">
        <v>33</v>
      </c>
      <c r="E1463" s="165"/>
      <c r="F1463" s="150"/>
      <c r="G1463" s="147"/>
      <c r="H1463" s="155">
        <f>SUM(H1458:H1462)</f>
        <v>21723</v>
      </c>
      <c r="I1463" s="156">
        <f>SUM(I1458:I1462)</f>
        <v>1</v>
      </c>
      <c r="J1463" s="147"/>
      <c r="K1463" s="139"/>
    </row>
    <row r="1464" spans="1:11" ht="12.75" x14ac:dyDescent="0.2">
      <c r="A1464" s="147"/>
      <c r="B1464" s="147"/>
      <c r="C1464" s="169"/>
      <c r="D1464" s="148"/>
      <c r="E1464" s="165"/>
      <c r="F1464" s="150"/>
      <c r="G1464" s="147"/>
      <c r="H1464" s="147"/>
      <c r="I1464" s="152"/>
      <c r="J1464" s="147"/>
      <c r="K1464" s="139"/>
    </row>
    <row r="1465" spans="1:11" ht="12.75" x14ac:dyDescent="0.2">
      <c r="A1465" s="148" t="s">
        <v>17</v>
      </c>
      <c r="B1465" s="160"/>
      <c r="C1465" s="148" t="s">
        <v>289</v>
      </c>
      <c r="D1465" s="147" t="s">
        <v>568</v>
      </c>
      <c r="E1465" s="204">
        <v>39814</v>
      </c>
      <c r="F1465" s="150">
        <v>35573448</v>
      </c>
      <c r="G1465" s="147">
        <v>113535</v>
      </c>
      <c r="H1465" s="147"/>
      <c r="I1465" s="152"/>
      <c r="J1465" s="147"/>
      <c r="K1465" s="139"/>
    </row>
    <row r="1466" spans="1:11" ht="12.75" x14ac:dyDescent="0.2">
      <c r="A1466" s="148"/>
      <c r="B1466" s="160"/>
      <c r="C1466" s="148"/>
      <c r="D1466" s="149" t="s">
        <v>261</v>
      </c>
      <c r="E1466" s="204"/>
      <c r="F1466" s="150"/>
      <c r="G1466" s="147"/>
      <c r="H1466" s="147">
        <v>7444</v>
      </c>
      <c r="I1466" s="152">
        <f t="shared" ref="I1466:I1471" si="36">H1466/$H$1472</f>
        <v>0.1165620155645679</v>
      </c>
      <c r="J1466" s="147"/>
      <c r="K1466" s="139"/>
    </row>
    <row r="1467" spans="1:11" ht="12.75" x14ac:dyDescent="0.2">
      <c r="A1467" s="148"/>
      <c r="B1467" s="160"/>
      <c r="C1467" s="148"/>
      <c r="D1467" s="149" t="s">
        <v>291</v>
      </c>
      <c r="E1467" s="204"/>
      <c r="F1467" s="150"/>
      <c r="G1467" s="147"/>
      <c r="H1467" s="147">
        <v>20369</v>
      </c>
      <c r="I1467" s="152">
        <f t="shared" si="36"/>
        <v>0.31894837386280006</v>
      </c>
      <c r="J1467" s="151" t="s">
        <v>108</v>
      </c>
      <c r="K1467" s="139"/>
    </row>
    <row r="1468" spans="1:11" ht="12.75" x14ac:dyDescent="0.2">
      <c r="A1468" s="148"/>
      <c r="B1468" s="160"/>
      <c r="C1468" s="148"/>
      <c r="D1468" s="149" t="s">
        <v>284</v>
      </c>
      <c r="E1468" s="204"/>
      <c r="F1468" s="150"/>
      <c r="G1468" s="147"/>
      <c r="H1468" s="147">
        <v>2211</v>
      </c>
      <c r="I1468" s="152">
        <f t="shared" si="36"/>
        <v>3.4620985547186948E-2</v>
      </c>
      <c r="J1468" s="151"/>
      <c r="K1468" s="139"/>
    </row>
    <row r="1469" spans="1:11" ht="12.75" x14ac:dyDescent="0.2">
      <c r="A1469" s="147"/>
      <c r="B1469" s="147"/>
      <c r="C1469" s="169"/>
      <c r="D1469" s="149" t="s">
        <v>262</v>
      </c>
      <c r="E1469" s="165"/>
      <c r="F1469" s="150"/>
      <c r="G1469" s="147"/>
      <c r="H1469" s="147">
        <v>15468</v>
      </c>
      <c r="I1469" s="152">
        <f t="shared" si="36"/>
        <v>0.24220597215915318</v>
      </c>
      <c r="J1469" s="151" t="s">
        <v>74</v>
      </c>
      <c r="K1469" s="139"/>
    </row>
    <row r="1470" spans="1:11" ht="12.75" x14ac:dyDescent="0.2">
      <c r="A1470" s="147"/>
      <c r="B1470" s="147"/>
      <c r="C1470" s="169"/>
      <c r="D1470" s="149" t="s">
        <v>288</v>
      </c>
      <c r="E1470" s="165"/>
      <c r="F1470" s="150"/>
      <c r="G1470" s="147"/>
      <c r="H1470" s="147">
        <v>15485</v>
      </c>
      <c r="I1470" s="152">
        <f t="shared" si="36"/>
        <v>0.24247216698244681</v>
      </c>
      <c r="J1470" s="151" t="s">
        <v>63</v>
      </c>
      <c r="K1470" s="139"/>
    </row>
    <row r="1471" spans="1:11" ht="12.75" x14ac:dyDescent="0.2">
      <c r="A1471" s="147"/>
      <c r="B1471" s="147"/>
      <c r="C1471" s="169"/>
      <c r="D1471" s="149" t="s">
        <v>292</v>
      </c>
      <c r="E1471" s="165"/>
      <c r="F1471" s="150"/>
      <c r="G1471" s="147"/>
      <c r="H1471" s="147">
        <v>2886</v>
      </c>
      <c r="I1471" s="152">
        <f t="shared" si="36"/>
        <v>4.5190485883845104E-2</v>
      </c>
      <c r="J1471" s="151"/>
      <c r="K1471" s="139"/>
    </row>
    <row r="1472" spans="1:11" ht="12.75" x14ac:dyDescent="0.2">
      <c r="A1472" s="147"/>
      <c r="B1472" s="147"/>
      <c r="C1472" s="169"/>
      <c r="D1472" s="148" t="s">
        <v>33</v>
      </c>
      <c r="E1472" s="165"/>
      <c r="F1472" s="150"/>
      <c r="G1472" s="147"/>
      <c r="H1472" s="155">
        <f>SUM(H1466:H1471)</f>
        <v>63863</v>
      </c>
      <c r="I1472" s="156">
        <f>SUM(I1466:I1471)</f>
        <v>1</v>
      </c>
      <c r="J1472" s="151"/>
      <c r="K1472" s="139"/>
    </row>
    <row r="1473" spans="1:17" ht="12.75" x14ac:dyDescent="0.2">
      <c r="A1473" s="147"/>
      <c r="B1473" s="147"/>
      <c r="C1473" s="169"/>
      <c r="D1473" s="148"/>
      <c r="E1473" s="165"/>
      <c r="F1473" s="150"/>
      <c r="G1473" s="147"/>
      <c r="H1473" s="147"/>
      <c r="I1473" s="152"/>
      <c r="J1473" s="151"/>
      <c r="K1473" s="139"/>
    </row>
    <row r="1474" spans="1:17" ht="12.75" x14ac:dyDescent="0.2">
      <c r="A1474" s="148" t="s">
        <v>17</v>
      </c>
      <c r="B1474" s="160"/>
      <c r="C1474" s="148" t="s">
        <v>506</v>
      </c>
      <c r="D1474" s="147" t="s">
        <v>569</v>
      </c>
      <c r="E1474" s="204">
        <v>40118</v>
      </c>
      <c r="F1474" s="150">
        <v>18865248</v>
      </c>
      <c r="G1474" s="147">
        <v>74788</v>
      </c>
      <c r="H1474" s="147"/>
      <c r="I1474" s="152"/>
      <c r="J1474" s="151"/>
      <c r="K1474" s="139"/>
    </row>
    <row r="1475" spans="1:17" ht="12.75" x14ac:dyDescent="0.2">
      <c r="A1475" s="148"/>
      <c r="B1475" s="160"/>
      <c r="C1475" s="148"/>
      <c r="D1475" s="149" t="s">
        <v>284</v>
      </c>
      <c r="E1475" s="204"/>
      <c r="F1475" s="150"/>
      <c r="G1475" s="147"/>
      <c r="H1475" s="147">
        <v>653</v>
      </c>
      <c r="I1475" s="152">
        <f>H1475/$H$1480</f>
        <v>1.6098414811527746E-2</v>
      </c>
      <c r="J1475" s="151"/>
      <c r="K1475" s="139"/>
    </row>
    <row r="1476" spans="1:17" s="7" customFormat="1" ht="12.75" x14ac:dyDescent="0.2">
      <c r="A1476" s="148"/>
      <c r="B1476" s="160"/>
      <c r="C1476" s="148"/>
      <c r="D1476" s="149" t="s">
        <v>262</v>
      </c>
      <c r="E1476" s="204"/>
      <c r="F1476" s="150"/>
      <c r="G1476" s="147"/>
      <c r="H1476" s="147">
        <v>4370</v>
      </c>
      <c r="I1476" s="152">
        <f>H1476/$H$1480</f>
        <v>0.10773364889184725</v>
      </c>
      <c r="J1476" s="151"/>
      <c r="K1476" s="139"/>
      <c r="L1476" s="6"/>
      <c r="M1476" s="6"/>
      <c r="N1476" s="6"/>
      <c r="O1476" s="6"/>
      <c r="P1476" s="6"/>
      <c r="Q1476" s="6"/>
    </row>
    <row r="1477" spans="1:17" s="7" customFormat="1" ht="12.75" x14ac:dyDescent="0.2">
      <c r="A1477" s="148"/>
      <c r="B1477" s="160"/>
      <c r="C1477" s="148"/>
      <c r="D1477" s="149" t="s">
        <v>243</v>
      </c>
      <c r="E1477" s="204"/>
      <c r="F1477" s="150"/>
      <c r="G1477" s="147"/>
      <c r="H1477" s="147">
        <v>2823</v>
      </c>
      <c r="I1477" s="152">
        <f>H1477/$H$1480</f>
        <v>6.9595444123955325E-2</v>
      </c>
      <c r="J1477" s="151"/>
      <c r="K1477" s="139"/>
      <c r="L1477" s="6"/>
      <c r="M1477" s="6"/>
      <c r="N1477" s="6"/>
      <c r="O1477" s="6"/>
      <c r="P1477" s="6"/>
      <c r="Q1477" s="6"/>
    </row>
    <row r="1478" spans="1:17" s="7" customFormat="1" ht="12.75" x14ac:dyDescent="0.2">
      <c r="A1478" s="147"/>
      <c r="B1478" s="147"/>
      <c r="C1478" s="169"/>
      <c r="D1478" s="149" t="s">
        <v>240</v>
      </c>
      <c r="E1478" s="165"/>
      <c r="F1478" s="150"/>
      <c r="G1478" s="147"/>
      <c r="H1478" s="147">
        <v>32176</v>
      </c>
      <c r="I1478" s="152">
        <f>H1478/$H$1480</f>
        <v>0.79323521435791233</v>
      </c>
      <c r="J1478" s="151" t="s">
        <v>63</v>
      </c>
      <c r="K1478" s="139"/>
      <c r="L1478" s="6"/>
      <c r="M1478" s="6"/>
      <c r="N1478" s="6"/>
      <c r="O1478" s="6"/>
      <c r="P1478" s="6"/>
      <c r="Q1478" s="6"/>
    </row>
    <row r="1479" spans="1:17" s="7" customFormat="1" ht="12.75" x14ac:dyDescent="0.2">
      <c r="A1479" s="147"/>
      <c r="B1479" s="147"/>
      <c r="C1479" s="169"/>
      <c r="D1479" s="149" t="s">
        <v>292</v>
      </c>
      <c r="E1479" s="165"/>
      <c r="F1479" s="150"/>
      <c r="G1479" s="147"/>
      <c r="H1479" s="147">
        <v>541</v>
      </c>
      <c r="I1479" s="152">
        <f>H1479/$H$1480</f>
        <v>1.3337277814757291E-2</v>
      </c>
      <c r="J1479" s="151"/>
      <c r="K1479" s="139"/>
      <c r="L1479" s="6"/>
      <c r="M1479" s="6"/>
      <c r="N1479" s="6"/>
      <c r="O1479" s="6"/>
      <c r="P1479" s="6"/>
      <c r="Q1479" s="6"/>
    </row>
    <row r="1480" spans="1:17" s="7" customFormat="1" ht="12.75" x14ac:dyDescent="0.2">
      <c r="A1480" s="147"/>
      <c r="B1480" s="147"/>
      <c r="C1480" s="169"/>
      <c r="D1480" s="148" t="s">
        <v>33</v>
      </c>
      <c r="E1480" s="165"/>
      <c r="F1480" s="150"/>
      <c r="G1480" s="147"/>
      <c r="H1480" s="155">
        <f>SUM(H1475:H1479)</f>
        <v>40563</v>
      </c>
      <c r="I1480" s="156">
        <f>SUM(I1475:I1479)</f>
        <v>0.99999999999999989</v>
      </c>
      <c r="J1480" s="147"/>
      <c r="K1480" s="139"/>
      <c r="L1480" s="6"/>
      <c r="M1480" s="6"/>
      <c r="N1480" s="6"/>
      <c r="O1480" s="6"/>
      <c r="P1480" s="6"/>
      <c r="Q1480" s="6"/>
    </row>
    <row r="1481" spans="1:17" s="7" customFormat="1" ht="12.75" x14ac:dyDescent="0.2">
      <c r="A1481" s="147"/>
      <c r="B1481" s="147"/>
      <c r="C1481" s="169"/>
      <c r="D1481" s="148"/>
      <c r="E1481" s="165"/>
      <c r="F1481" s="150"/>
      <c r="G1481" s="147"/>
      <c r="H1481" s="147"/>
      <c r="I1481" s="152"/>
      <c r="J1481" s="147"/>
      <c r="K1481" s="139"/>
      <c r="L1481" s="6"/>
      <c r="M1481" s="6"/>
      <c r="N1481" s="6"/>
      <c r="O1481" s="6"/>
      <c r="P1481" s="6"/>
      <c r="Q1481" s="6"/>
    </row>
    <row r="1482" spans="1:17" s="7" customFormat="1" ht="12.75" x14ac:dyDescent="0.2">
      <c r="A1482" s="148" t="s">
        <v>17</v>
      </c>
      <c r="B1482" s="148"/>
      <c r="C1482" s="148" t="s">
        <v>289</v>
      </c>
      <c r="D1482" s="147" t="s">
        <v>600</v>
      </c>
      <c r="E1482" s="165">
        <v>40422</v>
      </c>
      <c r="F1482" s="150">
        <v>65347917</v>
      </c>
      <c r="G1482" s="147">
        <v>238516</v>
      </c>
      <c r="H1482" s="147"/>
      <c r="I1482" s="152"/>
      <c r="J1482" s="147"/>
      <c r="K1482" s="139"/>
      <c r="L1482" s="6"/>
      <c r="M1482" s="6"/>
      <c r="N1482" s="6"/>
      <c r="O1482" s="6"/>
      <c r="P1482" s="6"/>
      <c r="Q1482" s="6"/>
    </row>
    <row r="1483" spans="1:17" s="7" customFormat="1" ht="12.75" x14ac:dyDescent="0.2">
      <c r="A1483" s="147"/>
      <c r="B1483" s="147"/>
      <c r="C1483" s="169"/>
      <c r="D1483" s="147" t="s">
        <v>581</v>
      </c>
      <c r="E1483" s="165"/>
      <c r="F1483" s="150"/>
      <c r="G1483" s="147"/>
      <c r="H1483" s="147">
        <v>10482</v>
      </c>
      <c r="I1483" s="152">
        <f>H1483/$H$1488</f>
        <v>0.10089032195967082</v>
      </c>
      <c r="J1483" s="147"/>
      <c r="K1483" s="139"/>
      <c r="L1483" s="6"/>
      <c r="M1483" s="6"/>
      <c r="N1483" s="6"/>
      <c r="O1483" s="6"/>
      <c r="P1483" s="6"/>
      <c r="Q1483" s="6"/>
    </row>
    <row r="1484" spans="1:17" s="7" customFormat="1" ht="12.75" x14ac:dyDescent="0.2">
      <c r="A1484" s="147"/>
      <c r="B1484" s="147"/>
      <c r="C1484" s="169"/>
      <c r="D1484" s="147" t="s">
        <v>582</v>
      </c>
      <c r="E1484" s="165"/>
      <c r="F1484" s="150"/>
      <c r="G1484" s="147"/>
      <c r="H1484" s="147">
        <v>35372</v>
      </c>
      <c r="I1484" s="152">
        <f>H1484/$H$1488</f>
        <v>0.34045911737812212</v>
      </c>
      <c r="J1484" s="153" t="s">
        <v>35</v>
      </c>
      <c r="K1484" s="139"/>
      <c r="L1484" s="6"/>
      <c r="M1484" s="6"/>
      <c r="N1484" s="6"/>
      <c r="O1484" s="6"/>
      <c r="P1484" s="6"/>
      <c r="Q1484" s="6"/>
    </row>
    <row r="1485" spans="1:17" s="7" customFormat="1" ht="12.75" x14ac:dyDescent="0.2">
      <c r="A1485" s="147"/>
      <c r="B1485" s="147"/>
      <c r="C1485" s="169"/>
      <c r="D1485" s="147" t="s">
        <v>578</v>
      </c>
      <c r="E1485" s="165"/>
      <c r="F1485" s="150"/>
      <c r="G1485" s="147"/>
      <c r="H1485" s="147">
        <v>45904</v>
      </c>
      <c r="I1485" s="152">
        <f>H1485/$H$1488</f>
        <v>0.44183069445112855</v>
      </c>
      <c r="J1485" s="153" t="s">
        <v>52</v>
      </c>
      <c r="K1485" s="139"/>
      <c r="L1485" s="6"/>
      <c r="M1485" s="6"/>
      <c r="N1485" s="6"/>
      <c r="O1485" s="6"/>
      <c r="P1485" s="6"/>
      <c r="Q1485" s="6"/>
    </row>
    <row r="1486" spans="1:17" s="7" customFormat="1" x14ac:dyDescent="0.2">
      <c r="A1486" s="147"/>
      <c r="B1486" s="147"/>
      <c r="C1486" s="169"/>
      <c r="D1486" s="147" t="s">
        <v>583</v>
      </c>
      <c r="E1486" s="165"/>
      <c r="F1486" s="150"/>
      <c r="G1486" s="147"/>
      <c r="H1486" s="147">
        <v>1401</v>
      </c>
      <c r="I1486" s="152">
        <f>H1486/$H$1488</f>
        <v>1.3484768275662929E-2</v>
      </c>
      <c r="J1486" s="147"/>
      <c r="K1486" s="87"/>
    </row>
    <row r="1487" spans="1:17" s="7" customFormat="1" x14ac:dyDescent="0.2">
      <c r="A1487" s="147"/>
      <c r="B1487" s="147"/>
      <c r="C1487" s="169"/>
      <c r="D1487" s="147" t="s">
        <v>589</v>
      </c>
      <c r="E1487" s="165"/>
      <c r="F1487" s="150"/>
      <c r="G1487" s="147"/>
      <c r="H1487" s="147">
        <v>10736</v>
      </c>
      <c r="I1487" s="152">
        <f>H1487/$H$1488</f>
        <v>0.10333509793541557</v>
      </c>
      <c r="J1487" s="147"/>
      <c r="K1487" s="87"/>
    </row>
    <row r="1488" spans="1:17" s="7" customFormat="1" x14ac:dyDescent="0.2">
      <c r="A1488" s="147"/>
      <c r="B1488" s="147"/>
      <c r="C1488" s="169"/>
      <c r="D1488" s="148" t="s">
        <v>33</v>
      </c>
      <c r="E1488" s="165"/>
      <c r="F1488" s="150"/>
      <c r="G1488" s="147"/>
      <c r="H1488" s="155">
        <f>SUM(H1483:H1487)</f>
        <v>103895</v>
      </c>
      <c r="I1488" s="156">
        <f>SUM(I1483:I1487)</f>
        <v>1</v>
      </c>
      <c r="J1488" s="147"/>
      <c r="K1488" s="87"/>
    </row>
    <row r="1489" spans="1:17" s="7" customFormat="1" x14ac:dyDescent="0.2">
      <c r="A1489" s="147"/>
      <c r="B1489" s="147"/>
      <c r="C1489" s="169"/>
      <c r="D1489" s="148"/>
      <c r="E1489" s="165"/>
      <c r="F1489" s="150"/>
      <c r="G1489" s="147"/>
      <c r="H1489" s="147"/>
      <c r="I1489" s="152"/>
      <c r="J1489" s="147"/>
      <c r="K1489" s="87"/>
    </row>
    <row r="1490" spans="1:17" s="7" customFormat="1" x14ac:dyDescent="0.2">
      <c r="A1490" s="148" t="s">
        <v>612</v>
      </c>
      <c r="B1490" s="148"/>
      <c r="C1490" s="148" t="s">
        <v>289</v>
      </c>
      <c r="D1490" s="147" t="s">
        <v>611</v>
      </c>
      <c r="E1490" s="200">
        <v>40878</v>
      </c>
      <c r="F1490" s="150">
        <v>18446348</v>
      </c>
      <c r="G1490" s="147">
        <v>80901</v>
      </c>
      <c r="H1490" s="147"/>
      <c r="I1490" s="152"/>
      <c r="J1490" s="147"/>
      <c r="K1490" s="87"/>
    </row>
    <row r="1491" spans="1:17" ht="12.75" x14ac:dyDescent="0.2">
      <c r="A1491" s="147"/>
      <c r="B1491" s="147"/>
      <c r="C1491" s="169"/>
      <c r="D1491" s="149" t="s">
        <v>284</v>
      </c>
      <c r="E1491" s="165"/>
      <c r="F1491" s="150"/>
      <c r="G1491" s="147"/>
      <c r="H1491" s="147">
        <v>461</v>
      </c>
      <c r="I1491" s="152">
        <f>H1491/$H$1496</f>
        <v>7.8687741098555971E-3</v>
      </c>
      <c r="J1491" s="147"/>
      <c r="K1491" s="87"/>
      <c r="L1491" s="7"/>
      <c r="M1491" s="7"/>
      <c r="N1491" s="7"/>
      <c r="O1491" s="7"/>
      <c r="P1491" s="7"/>
      <c r="Q1491" s="7"/>
    </row>
    <row r="1492" spans="1:17" ht="12.75" x14ac:dyDescent="0.2">
      <c r="A1492" s="147"/>
      <c r="B1492" s="147"/>
      <c r="C1492" s="169"/>
      <c r="D1492" s="149" t="s">
        <v>262</v>
      </c>
      <c r="E1492" s="165"/>
      <c r="F1492" s="150"/>
      <c r="G1492" s="147"/>
      <c r="H1492" s="147">
        <v>15633</v>
      </c>
      <c r="I1492" s="152">
        <f>H1492/$H$1496</f>
        <v>0.26683849383811831</v>
      </c>
      <c r="J1492" s="151" t="s">
        <v>74</v>
      </c>
      <c r="K1492" s="87"/>
      <c r="L1492" s="7"/>
      <c r="M1492" s="7"/>
      <c r="N1492" s="7"/>
      <c r="O1492" s="7"/>
      <c r="P1492" s="7"/>
      <c r="Q1492" s="7"/>
    </row>
    <row r="1493" spans="1:17" ht="12.75" x14ac:dyDescent="0.2">
      <c r="A1493" s="147"/>
      <c r="B1493" s="147"/>
      <c r="C1493" s="169"/>
      <c r="D1493" s="149" t="s">
        <v>240</v>
      </c>
      <c r="E1493" s="165"/>
      <c r="F1493" s="150"/>
      <c r="G1493" s="147"/>
      <c r="H1493" s="147">
        <v>1228</v>
      </c>
      <c r="I1493" s="152">
        <f>H1493/$H$1496</f>
        <v>2.0960639060526406E-2</v>
      </c>
      <c r="J1493" s="147"/>
      <c r="K1493" s="87"/>
      <c r="L1493" s="7"/>
      <c r="M1493" s="7"/>
      <c r="N1493" s="7"/>
      <c r="O1493" s="7"/>
      <c r="P1493" s="7"/>
      <c r="Q1493" s="7"/>
    </row>
    <row r="1494" spans="1:17" ht="12.75" x14ac:dyDescent="0.2">
      <c r="A1494" s="147"/>
      <c r="B1494" s="147"/>
      <c r="C1494" s="169"/>
      <c r="D1494" s="149" t="s">
        <v>292</v>
      </c>
      <c r="E1494" s="165"/>
      <c r="F1494" s="150"/>
      <c r="G1494" s="147"/>
      <c r="H1494" s="147">
        <v>10214</v>
      </c>
      <c r="I1494" s="152">
        <f>H1494/$H$1496</f>
        <v>0.17434199296760319</v>
      </c>
      <c r="J1494" s="151" t="s">
        <v>610</v>
      </c>
      <c r="K1494" s="87"/>
      <c r="L1494" s="7"/>
      <c r="M1494" s="7"/>
      <c r="N1494" s="7"/>
      <c r="O1494" s="7"/>
      <c r="P1494" s="7"/>
      <c r="Q1494" s="7"/>
    </row>
    <row r="1495" spans="1:17" ht="12.75" x14ac:dyDescent="0.2">
      <c r="A1495" s="147"/>
      <c r="B1495" s="147"/>
      <c r="C1495" s="169"/>
      <c r="D1495" s="149" t="s">
        <v>285</v>
      </c>
      <c r="E1495" s="165"/>
      <c r="F1495" s="150"/>
      <c r="G1495" s="147"/>
      <c r="H1495" s="147">
        <v>31050</v>
      </c>
      <c r="I1495" s="152">
        <f>H1495/$H$1496</f>
        <v>0.52999010002389646</v>
      </c>
      <c r="J1495" s="151"/>
      <c r="K1495" s="87"/>
      <c r="L1495" s="7"/>
      <c r="M1495" s="7"/>
      <c r="N1495" s="7"/>
      <c r="O1495" s="7"/>
      <c r="P1495" s="7"/>
      <c r="Q1495" s="7"/>
    </row>
    <row r="1496" spans="1:17" ht="12.75" x14ac:dyDescent="0.2">
      <c r="A1496" s="147"/>
      <c r="B1496" s="147"/>
      <c r="C1496" s="169"/>
      <c r="D1496" s="148" t="s">
        <v>33</v>
      </c>
      <c r="E1496" s="165"/>
      <c r="F1496" s="150"/>
      <c r="G1496" s="147"/>
      <c r="H1496" s="167">
        <f>SUM(H1491:H1495)</f>
        <v>58586</v>
      </c>
      <c r="I1496" s="168">
        <f>SUM(I1491:I1495)</f>
        <v>1</v>
      </c>
      <c r="J1496" s="147"/>
      <c r="K1496" s="87"/>
      <c r="L1496" s="7"/>
      <c r="M1496" s="7"/>
      <c r="N1496" s="7"/>
      <c r="O1496" s="7"/>
      <c r="P1496" s="7"/>
      <c r="Q1496" s="7"/>
    </row>
    <row r="1497" spans="1:17" ht="12.75" x14ac:dyDescent="0.2">
      <c r="A1497" s="147"/>
      <c r="B1497" s="147"/>
      <c r="C1497" s="169"/>
      <c r="D1497" s="148"/>
      <c r="E1497" s="165"/>
      <c r="F1497" s="150"/>
      <c r="G1497" s="147"/>
      <c r="H1497" s="147"/>
      <c r="I1497" s="152"/>
      <c r="J1497" s="147"/>
      <c r="K1497" s="87"/>
      <c r="L1497" s="7"/>
      <c r="M1497" s="7"/>
      <c r="N1497" s="7"/>
      <c r="O1497" s="7"/>
      <c r="P1497" s="7"/>
      <c r="Q1497" s="7"/>
    </row>
    <row r="1498" spans="1:17" ht="12.75" x14ac:dyDescent="0.2">
      <c r="A1498" s="151" t="s">
        <v>612</v>
      </c>
      <c r="B1498" s="151"/>
      <c r="C1498" s="148" t="s">
        <v>289</v>
      </c>
      <c r="D1498" s="149" t="s">
        <v>656</v>
      </c>
      <c r="E1498" s="200">
        <v>42705</v>
      </c>
      <c r="F1498" s="150">
        <v>30227660</v>
      </c>
      <c r="G1498" s="147">
        <v>68880</v>
      </c>
      <c r="H1498" s="147"/>
      <c r="I1498" s="152"/>
      <c r="J1498" s="147"/>
      <c r="K1498" s="87"/>
      <c r="L1498" s="7"/>
      <c r="M1498" s="7"/>
      <c r="N1498" s="7"/>
      <c r="O1498" s="7"/>
      <c r="P1498" s="7"/>
      <c r="Q1498" s="7"/>
    </row>
    <row r="1499" spans="1:17" ht="12.75" x14ac:dyDescent="0.2">
      <c r="A1499" s="147"/>
      <c r="B1499" s="147"/>
      <c r="C1499" s="169"/>
      <c r="D1499" s="149" t="s">
        <v>581</v>
      </c>
      <c r="E1499" s="165"/>
      <c r="F1499" s="150"/>
      <c r="G1499" s="147"/>
      <c r="H1499" s="147">
        <v>13530</v>
      </c>
      <c r="I1499" s="152">
        <f>H1499/$H$1506</f>
        <v>0.31654305968228713</v>
      </c>
      <c r="J1499" s="151" t="s">
        <v>16</v>
      </c>
      <c r="K1499" s="87"/>
      <c r="L1499" s="7"/>
      <c r="M1499" s="7"/>
      <c r="N1499" s="7"/>
      <c r="O1499" s="7"/>
      <c r="P1499" s="7"/>
      <c r="Q1499" s="7"/>
    </row>
    <row r="1500" spans="1:17" ht="12.75" x14ac:dyDescent="0.2">
      <c r="A1500" s="147"/>
      <c r="B1500" s="147"/>
      <c r="C1500" s="169"/>
      <c r="D1500" s="149" t="s">
        <v>627</v>
      </c>
      <c r="E1500" s="165"/>
      <c r="F1500" s="150"/>
      <c r="G1500" s="147"/>
      <c r="H1500" s="147">
        <v>2874</v>
      </c>
      <c r="I1500" s="152">
        <f t="shared" ref="I1500:I1506" si="37">H1500/$H$1506</f>
        <v>6.7239080083288494E-2</v>
      </c>
      <c r="J1500" s="151"/>
      <c r="K1500" s="87"/>
      <c r="L1500" s="7"/>
      <c r="M1500" s="7"/>
      <c r="N1500" s="7"/>
      <c r="O1500" s="7"/>
      <c r="P1500" s="7"/>
      <c r="Q1500" s="7"/>
    </row>
    <row r="1501" spans="1:17" ht="12.75" x14ac:dyDescent="0.2">
      <c r="A1501" s="147"/>
      <c r="B1501" s="147"/>
      <c r="C1501" s="169"/>
      <c r="D1501" s="149" t="s">
        <v>603</v>
      </c>
      <c r="E1501" s="165"/>
      <c r="F1501" s="150"/>
      <c r="G1501" s="147"/>
      <c r="H1501" s="147">
        <v>331</v>
      </c>
      <c r="I1501" s="152">
        <f t="shared" si="37"/>
        <v>7.7439580750064338E-3</v>
      </c>
      <c r="J1501" s="151"/>
      <c r="K1501" s="139"/>
    </row>
    <row r="1502" spans="1:17" ht="12.75" x14ac:dyDescent="0.2">
      <c r="A1502" s="147"/>
      <c r="B1502" s="147"/>
      <c r="C1502" s="169"/>
      <c r="D1502" s="149" t="s">
        <v>583</v>
      </c>
      <c r="E1502" s="165"/>
      <c r="F1502" s="150"/>
      <c r="G1502" s="147"/>
      <c r="H1502" s="147">
        <v>4902</v>
      </c>
      <c r="I1502" s="152">
        <f t="shared" si="37"/>
        <v>0.11468544557003486</v>
      </c>
      <c r="J1502" s="151"/>
      <c r="K1502" s="139"/>
    </row>
    <row r="1503" spans="1:17" ht="12.75" x14ac:dyDescent="0.2">
      <c r="A1503" s="147"/>
      <c r="B1503" s="147"/>
      <c r="C1503" s="169"/>
      <c r="D1503" s="149" t="s">
        <v>594</v>
      </c>
      <c r="E1503" s="165"/>
      <c r="F1503" s="150"/>
      <c r="G1503" s="147"/>
      <c r="H1503" s="147">
        <v>318</v>
      </c>
      <c r="I1503" s="152">
        <f t="shared" si="37"/>
        <v>7.4398147065016492E-3</v>
      </c>
      <c r="J1503" s="151"/>
      <c r="K1503" s="139"/>
    </row>
    <row r="1504" spans="1:17" ht="12.75" x14ac:dyDescent="0.2">
      <c r="A1504" s="147"/>
      <c r="B1504" s="147"/>
      <c r="C1504" s="169"/>
      <c r="D1504" s="149" t="s">
        <v>589</v>
      </c>
      <c r="E1504" s="165"/>
      <c r="F1504" s="150"/>
      <c r="G1504" s="147"/>
      <c r="H1504" s="147">
        <v>20155</v>
      </c>
      <c r="I1504" s="152">
        <f t="shared" si="37"/>
        <v>0.47153919940107153</v>
      </c>
      <c r="J1504" s="151" t="s">
        <v>596</v>
      </c>
      <c r="K1504" s="139"/>
    </row>
    <row r="1505" spans="1:11" ht="12.75" x14ac:dyDescent="0.2">
      <c r="A1505" s="147"/>
      <c r="B1505" s="147"/>
      <c r="C1505" s="169"/>
      <c r="D1505" s="149" t="s">
        <v>615</v>
      </c>
      <c r="E1505" s="165"/>
      <c r="F1505" s="150"/>
      <c r="G1505" s="147"/>
      <c r="H1505" s="147">
        <v>633</v>
      </c>
      <c r="I1505" s="152">
        <f t="shared" si="37"/>
        <v>1.4809442481809886E-2</v>
      </c>
      <c r="J1505" s="147"/>
      <c r="K1505" s="139"/>
    </row>
    <row r="1506" spans="1:11" ht="12.75" x14ac:dyDescent="0.2">
      <c r="A1506" s="147"/>
      <c r="B1506" s="147"/>
      <c r="C1506" s="169"/>
      <c r="D1506" s="148" t="s">
        <v>33</v>
      </c>
      <c r="E1506" s="165"/>
      <c r="F1506" s="150"/>
      <c r="G1506" s="147"/>
      <c r="H1506" s="167">
        <f>SUM(H1499:H1505)</f>
        <v>42743</v>
      </c>
      <c r="I1506" s="168">
        <f t="shared" si="37"/>
        <v>1</v>
      </c>
      <c r="J1506" s="147"/>
      <c r="K1506" s="139"/>
    </row>
    <row r="1507" spans="1:11" ht="12.75" x14ac:dyDescent="0.2">
      <c r="A1507" s="147"/>
      <c r="B1507" s="147"/>
      <c r="C1507" s="169"/>
      <c r="D1507" s="148"/>
      <c r="E1507" s="165"/>
      <c r="F1507" s="150"/>
      <c r="G1507" s="147"/>
      <c r="H1507" s="147"/>
      <c r="I1507" s="152"/>
      <c r="J1507" s="147"/>
      <c r="K1507" s="139"/>
    </row>
    <row r="1508" spans="1:11" ht="12.75" x14ac:dyDescent="0.2">
      <c r="A1508" s="240" t="s">
        <v>17</v>
      </c>
      <c r="B1508" s="147"/>
      <c r="C1508" s="148" t="s">
        <v>289</v>
      </c>
      <c r="D1508" s="147" t="s">
        <v>747</v>
      </c>
      <c r="E1508" s="165">
        <v>45161</v>
      </c>
      <c r="F1508" s="147">
        <v>48358446.920000002</v>
      </c>
      <c r="G1508" s="147">
        <v>86132</v>
      </c>
      <c r="H1508" s="147"/>
      <c r="I1508" s="152"/>
      <c r="J1508" s="147"/>
      <c r="K1508" s="139"/>
    </row>
    <row r="1509" spans="1:11" ht="12.75" x14ac:dyDescent="0.2">
      <c r="A1509" s="147"/>
      <c r="B1509" s="147"/>
      <c r="C1509" s="169"/>
      <c r="D1509" s="147" t="s">
        <v>581</v>
      </c>
      <c r="E1509" s="165"/>
      <c r="F1509" s="150"/>
      <c r="G1509" s="147"/>
      <c r="H1509" s="147">
        <v>5892</v>
      </c>
      <c r="I1509" s="152">
        <f t="shared" ref="I1509:I1516" si="38">(H1509/$H$1517)</f>
        <v>0.18262405851904659</v>
      </c>
      <c r="J1509" s="151" t="s">
        <v>236</v>
      </c>
      <c r="K1509" s="139"/>
    </row>
    <row r="1510" spans="1:11" ht="12.75" x14ac:dyDescent="0.2">
      <c r="A1510" s="147"/>
      <c r="B1510" s="147"/>
      <c r="C1510" s="169"/>
      <c r="D1510" s="147" t="s">
        <v>627</v>
      </c>
      <c r="E1510" s="165"/>
      <c r="F1510" s="150"/>
      <c r="G1510" s="147"/>
      <c r="H1510" s="147">
        <v>4579</v>
      </c>
      <c r="I1510" s="152">
        <f t="shared" si="38"/>
        <v>0.14192728512537581</v>
      </c>
      <c r="J1510" s="147"/>
      <c r="K1510" s="139"/>
    </row>
    <row r="1511" spans="1:11" ht="12.75" x14ac:dyDescent="0.2">
      <c r="A1511" s="147"/>
      <c r="B1511" s="147"/>
      <c r="C1511" s="169"/>
      <c r="D1511" s="147" t="s">
        <v>603</v>
      </c>
      <c r="E1511" s="165"/>
      <c r="F1511" s="150"/>
      <c r="G1511" s="147"/>
      <c r="H1511" s="147">
        <v>0</v>
      </c>
      <c r="I1511" s="152">
        <f t="shared" si="38"/>
        <v>0</v>
      </c>
      <c r="J1511" s="151"/>
      <c r="K1511" s="139"/>
    </row>
    <row r="1512" spans="1:11" ht="12.75" x14ac:dyDescent="0.2">
      <c r="A1512" s="147"/>
      <c r="B1512" s="147"/>
      <c r="C1512" s="169"/>
      <c r="D1512" s="147" t="s">
        <v>583</v>
      </c>
      <c r="E1512" s="165"/>
      <c r="F1512" s="147"/>
      <c r="G1512" s="147"/>
      <c r="H1512" s="147">
        <v>6146</v>
      </c>
      <c r="I1512" s="152">
        <f t="shared" si="38"/>
        <v>0.19049685398134086</v>
      </c>
      <c r="J1512" s="151"/>
      <c r="K1512" s="139"/>
    </row>
    <row r="1513" spans="1:11" ht="12.75" x14ac:dyDescent="0.2">
      <c r="A1513" s="147"/>
      <c r="B1513" s="147"/>
      <c r="C1513" s="169"/>
      <c r="D1513" s="147" t="s">
        <v>594</v>
      </c>
      <c r="E1513" s="165"/>
      <c r="F1513" s="147"/>
      <c r="G1513" s="147"/>
      <c r="H1513" s="147">
        <v>0</v>
      </c>
      <c r="I1513" s="152">
        <f t="shared" si="38"/>
        <v>0</v>
      </c>
      <c r="J1513" s="151"/>
      <c r="K1513" s="139"/>
    </row>
    <row r="1514" spans="1:11" ht="12.75" x14ac:dyDescent="0.2">
      <c r="A1514" s="147"/>
      <c r="B1514" s="147"/>
      <c r="C1514" s="169"/>
      <c r="D1514" s="147" t="s">
        <v>589</v>
      </c>
      <c r="E1514" s="165"/>
      <c r="F1514" s="150"/>
      <c r="G1514" s="147"/>
      <c r="H1514" s="147">
        <v>11949</v>
      </c>
      <c r="I1514" s="152">
        <f t="shared" si="38"/>
        <v>0.37036233456281187</v>
      </c>
      <c r="J1514" s="151" t="s">
        <v>673</v>
      </c>
      <c r="K1514" s="139"/>
    </row>
    <row r="1515" spans="1:11" ht="12.75" x14ac:dyDescent="0.2">
      <c r="A1515" s="147"/>
      <c r="B1515" s="147"/>
      <c r="C1515" s="169"/>
      <c r="D1515" s="147" t="s">
        <v>584</v>
      </c>
      <c r="E1515" s="165"/>
      <c r="F1515" s="147"/>
      <c r="G1515" s="147"/>
      <c r="H1515" s="147">
        <v>3357</v>
      </c>
      <c r="I1515" s="152">
        <f t="shared" si="38"/>
        <v>0.10405108018473173</v>
      </c>
      <c r="J1515" s="151"/>
      <c r="K1515" s="139"/>
    </row>
    <row r="1516" spans="1:11" ht="12.75" x14ac:dyDescent="0.2">
      <c r="A1516" s="147"/>
      <c r="B1516" s="147"/>
      <c r="C1516" s="169"/>
      <c r="D1516" s="147" t="s">
        <v>586</v>
      </c>
      <c r="E1516" s="165"/>
      <c r="F1516" s="150"/>
      <c r="G1516" s="147"/>
      <c r="H1516" s="147">
        <v>340</v>
      </c>
      <c r="I1516" s="152">
        <f t="shared" si="38"/>
        <v>1.0538387626693116E-2</v>
      </c>
      <c r="J1516" s="147"/>
      <c r="K1516" s="139"/>
    </row>
    <row r="1517" spans="1:11" ht="12.75" x14ac:dyDescent="0.2">
      <c r="A1517" s="147"/>
      <c r="B1517" s="147"/>
      <c r="C1517" s="169"/>
      <c r="D1517" s="148" t="s">
        <v>33</v>
      </c>
      <c r="E1517" s="165"/>
      <c r="F1517" s="150"/>
      <c r="G1517" s="147"/>
      <c r="H1517" s="147">
        <f>SUM(H1509:H1516)</f>
        <v>32263</v>
      </c>
      <c r="I1517" s="152">
        <f>SUM(I1509:I1516)</f>
        <v>1</v>
      </c>
      <c r="J1517" s="147"/>
      <c r="K1517" s="139"/>
    </row>
    <row r="1518" spans="1:11" ht="12.75" x14ac:dyDescent="0.2">
      <c r="A1518" s="147"/>
      <c r="B1518" s="147"/>
      <c r="C1518" s="169"/>
      <c r="D1518" s="148"/>
      <c r="E1518" s="165"/>
      <c r="F1518" s="150"/>
      <c r="G1518" s="147"/>
      <c r="H1518" s="147"/>
      <c r="I1518" s="152"/>
      <c r="J1518" s="147"/>
      <c r="K1518" s="139"/>
    </row>
    <row r="1519" spans="1:11" ht="12.75" x14ac:dyDescent="0.2">
      <c r="A1519" s="148" t="s">
        <v>23</v>
      </c>
      <c r="B1519" s="148" t="s">
        <v>364</v>
      </c>
      <c r="C1519" s="148" t="s">
        <v>234</v>
      </c>
      <c r="D1519" s="149" t="s">
        <v>160</v>
      </c>
      <c r="E1519" s="165" t="s">
        <v>342</v>
      </c>
      <c r="F1519" s="150">
        <v>4207441</v>
      </c>
      <c r="G1519" s="147">
        <v>56961</v>
      </c>
      <c r="H1519" s="147"/>
      <c r="I1519" s="152"/>
      <c r="J1519" s="151"/>
      <c r="K1519" s="139"/>
    </row>
    <row r="1520" spans="1:11" ht="12.75" x14ac:dyDescent="0.2">
      <c r="A1520" s="151"/>
      <c r="B1520" s="151"/>
      <c r="C1520" s="148"/>
      <c r="D1520" s="149" t="s">
        <v>238</v>
      </c>
      <c r="E1520" s="165"/>
      <c r="F1520" s="150"/>
      <c r="G1520" s="147"/>
      <c r="H1520" s="147">
        <v>23066</v>
      </c>
      <c r="I1520" s="152">
        <f>ROUND(H1520/$H$1524,4)</f>
        <v>0.64280000000000004</v>
      </c>
      <c r="J1520" s="153" t="s">
        <v>238</v>
      </c>
      <c r="K1520" s="139"/>
    </row>
    <row r="1521" spans="1:11" ht="12.75" x14ac:dyDescent="0.2">
      <c r="A1521" s="151"/>
      <c r="B1521" s="151"/>
      <c r="C1521" s="148"/>
      <c r="D1521" s="149" t="s">
        <v>240</v>
      </c>
      <c r="E1521" s="165"/>
      <c r="F1521" s="150"/>
      <c r="G1521" s="147"/>
      <c r="H1521" s="147">
        <v>11620</v>
      </c>
      <c r="I1521" s="152">
        <f>ROUND(H1521/$H$1524,4)</f>
        <v>0.32379999999999998</v>
      </c>
      <c r="J1521" s="151" t="s">
        <v>240</v>
      </c>
      <c r="K1521" s="139"/>
    </row>
    <row r="1522" spans="1:11" ht="12.75" x14ac:dyDescent="0.2">
      <c r="A1522" s="151"/>
      <c r="B1522" s="151"/>
      <c r="C1522" s="148"/>
      <c r="D1522" s="149" t="s">
        <v>243</v>
      </c>
      <c r="E1522" s="165"/>
      <c r="F1522" s="150"/>
      <c r="G1522" s="147"/>
      <c r="H1522" s="147">
        <v>600</v>
      </c>
      <c r="I1522" s="152">
        <f>ROUND(H1522/$H$1524,4)</f>
        <v>1.67E-2</v>
      </c>
      <c r="J1522" s="151"/>
      <c r="K1522" s="139"/>
    </row>
    <row r="1523" spans="1:11" ht="12.75" x14ac:dyDescent="0.2">
      <c r="A1523" s="151"/>
      <c r="B1523" s="151"/>
      <c r="C1523" s="148"/>
      <c r="D1523" s="154" t="s">
        <v>244</v>
      </c>
      <c r="E1523" s="165"/>
      <c r="F1523" s="150"/>
      <c r="G1523" s="147"/>
      <c r="H1523" s="147">
        <v>600</v>
      </c>
      <c r="I1523" s="152">
        <f>ROUND(H1523/$H$1524,4)</f>
        <v>1.67E-2</v>
      </c>
      <c r="J1523" s="151"/>
      <c r="K1523" s="139"/>
    </row>
    <row r="1524" spans="1:11" ht="12.75" x14ac:dyDescent="0.2">
      <c r="A1524" s="151"/>
      <c r="B1524" s="151"/>
      <c r="C1524" s="148"/>
      <c r="D1524" s="148" t="s">
        <v>33</v>
      </c>
      <c r="E1524" s="165"/>
      <c r="F1524" s="150"/>
      <c r="G1524" s="147"/>
      <c r="H1524" s="155">
        <f>SUM(H1520:H1523)</f>
        <v>35886</v>
      </c>
      <c r="I1524" s="156">
        <f>SUM(I1520:I1523)</f>
        <v>1</v>
      </c>
      <c r="J1524" s="151"/>
      <c r="K1524" s="139"/>
    </row>
    <row r="1525" spans="1:11" ht="12.75" x14ac:dyDescent="0.2">
      <c r="A1525" s="151"/>
      <c r="B1525" s="151"/>
      <c r="C1525" s="148"/>
      <c r="D1525" s="148"/>
      <c r="E1525" s="165"/>
      <c r="F1525" s="150"/>
      <c r="G1525" s="147"/>
      <c r="H1525" s="157"/>
      <c r="I1525" s="158"/>
      <c r="J1525" s="151"/>
      <c r="K1525" s="139"/>
    </row>
    <row r="1526" spans="1:11" ht="12.75" x14ac:dyDescent="0.2">
      <c r="A1526" s="148" t="s">
        <v>23</v>
      </c>
      <c r="B1526" s="148" t="s">
        <v>365</v>
      </c>
      <c r="C1526" s="148" t="s">
        <v>234</v>
      </c>
      <c r="D1526" s="149" t="s">
        <v>92</v>
      </c>
      <c r="E1526" s="165" t="s">
        <v>366</v>
      </c>
      <c r="F1526" s="150">
        <v>3834822</v>
      </c>
      <c r="G1526" s="147">
        <v>70464</v>
      </c>
      <c r="H1526" s="147"/>
      <c r="I1526" s="152"/>
      <c r="J1526" s="151"/>
      <c r="K1526" s="139"/>
    </row>
    <row r="1527" spans="1:11" ht="12.75" x14ac:dyDescent="0.2">
      <c r="A1527" s="151"/>
      <c r="B1527" s="151"/>
      <c r="C1527" s="148"/>
      <c r="D1527" s="149" t="s">
        <v>240</v>
      </c>
      <c r="E1527" s="165"/>
      <c r="F1527" s="150"/>
      <c r="G1527" s="147"/>
      <c r="H1527" s="147">
        <v>2798</v>
      </c>
      <c r="I1527" s="152">
        <f>ROUND(H1527/$H$1530,4)</f>
        <v>5.7500000000000002E-2</v>
      </c>
      <c r="J1527" s="151"/>
      <c r="K1527" s="139"/>
    </row>
    <row r="1528" spans="1:11" ht="12.75" x14ac:dyDescent="0.2">
      <c r="A1528" s="151"/>
      <c r="B1528" s="151"/>
      <c r="C1528" s="148"/>
      <c r="D1528" s="149" t="s">
        <v>262</v>
      </c>
      <c r="E1528" s="165"/>
      <c r="F1528" s="150"/>
      <c r="G1528" s="147"/>
      <c r="H1528" s="147">
        <v>2463</v>
      </c>
      <c r="I1528" s="152">
        <f>ROUND(H1528/$H$1530,4)</f>
        <v>5.0599999999999999E-2</v>
      </c>
      <c r="J1528" s="151"/>
      <c r="K1528" s="139"/>
    </row>
    <row r="1529" spans="1:11" ht="12.75" x14ac:dyDescent="0.2">
      <c r="A1529" s="151"/>
      <c r="B1529" s="151"/>
      <c r="C1529" s="148"/>
      <c r="D1529" s="149" t="s">
        <v>303</v>
      </c>
      <c r="E1529" s="165"/>
      <c r="F1529" s="150"/>
      <c r="G1529" s="147"/>
      <c r="H1529" s="147">
        <v>43430</v>
      </c>
      <c r="I1529" s="152">
        <f>ROUND(H1529/$H$1530,4)-0.0001</f>
        <v>0.89190000000000003</v>
      </c>
      <c r="J1529" s="153" t="s">
        <v>303</v>
      </c>
      <c r="K1529" s="139"/>
    </row>
    <row r="1530" spans="1:11" ht="12.75" x14ac:dyDescent="0.2">
      <c r="A1530" s="151"/>
      <c r="B1530" s="151"/>
      <c r="C1530" s="148"/>
      <c r="D1530" s="148" t="s">
        <v>33</v>
      </c>
      <c r="E1530" s="165"/>
      <c r="F1530" s="150"/>
      <c r="G1530" s="147"/>
      <c r="H1530" s="155">
        <f>SUM(H1527:H1529)</f>
        <v>48691</v>
      </c>
      <c r="I1530" s="156">
        <f>SUM(I1527:I1529)</f>
        <v>1</v>
      </c>
      <c r="J1530" s="151"/>
      <c r="K1530" s="139"/>
    </row>
    <row r="1531" spans="1:11" ht="12.75" x14ac:dyDescent="0.2">
      <c r="A1531" s="151"/>
      <c r="B1531" s="151"/>
      <c r="C1531" s="148"/>
      <c r="D1531" s="148"/>
      <c r="E1531" s="165"/>
      <c r="F1531" s="150"/>
      <c r="G1531" s="147"/>
      <c r="H1531" s="157"/>
      <c r="I1531" s="158"/>
      <c r="J1531" s="151"/>
      <c r="K1531" s="139"/>
    </row>
    <row r="1532" spans="1:11" ht="12.75" x14ac:dyDescent="0.2">
      <c r="A1532" s="148" t="s">
        <v>23</v>
      </c>
      <c r="B1532" s="148" t="s">
        <v>367</v>
      </c>
      <c r="C1532" s="148" t="s">
        <v>234</v>
      </c>
      <c r="D1532" s="149" t="s">
        <v>368</v>
      </c>
      <c r="E1532" s="165" t="s">
        <v>251</v>
      </c>
      <c r="F1532" s="150">
        <v>8160000</v>
      </c>
      <c r="G1532" s="147">
        <v>91750</v>
      </c>
      <c r="H1532" s="147"/>
      <c r="I1532" s="152"/>
      <c r="J1532" s="151"/>
      <c r="K1532" s="139"/>
    </row>
    <row r="1533" spans="1:11" ht="12.75" x14ac:dyDescent="0.2">
      <c r="A1533" s="151"/>
      <c r="B1533" s="151"/>
      <c r="C1533" s="148"/>
      <c r="D1533" s="149" t="s">
        <v>261</v>
      </c>
      <c r="E1533" s="165"/>
      <c r="F1533" s="150"/>
      <c r="G1533" s="147"/>
      <c r="H1533" s="147">
        <v>13000</v>
      </c>
      <c r="I1533" s="152">
        <f>ROUND(H1533/$H$1539,4)</f>
        <v>0.28120000000000001</v>
      </c>
      <c r="J1533" s="153" t="s">
        <v>261</v>
      </c>
      <c r="K1533" s="139"/>
    </row>
    <row r="1534" spans="1:11" ht="12.75" x14ac:dyDescent="0.2">
      <c r="A1534" s="151"/>
      <c r="B1534" s="151"/>
      <c r="C1534" s="148"/>
      <c r="D1534" s="149" t="s">
        <v>238</v>
      </c>
      <c r="E1534" s="165"/>
      <c r="F1534" s="150"/>
      <c r="G1534" s="147"/>
      <c r="H1534" s="147">
        <v>400</v>
      </c>
      <c r="I1534" s="152">
        <f>ROUND(H1534/$H$1539,4)+0.0001</f>
        <v>8.7999999999999988E-3</v>
      </c>
      <c r="J1534" s="151"/>
      <c r="K1534" s="139"/>
    </row>
    <row r="1535" spans="1:11" ht="12.75" x14ac:dyDescent="0.2">
      <c r="A1535" s="151"/>
      <c r="B1535" s="151"/>
      <c r="C1535" s="148"/>
      <c r="D1535" s="149" t="s">
        <v>240</v>
      </c>
      <c r="E1535" s="165"/>
      <c r="F1535" s="150"/>
      <c r="G1535" s="147"/>
      <c r="H1535" s="147">
        <v>13561</v>
      </c>
      <c r="I1535" s="152">
        <f>ROUND(H1535/$H$1539,4)</f>
        <v>0.29330000000000001</v>
      </c>
      <c r="J1535" s="153" t="s">
        <v>240</v>
      </c>
      <c r="K1535" s="139"/>
    </row>
    <row r="1536" spans="1:11" ht="12.75" x14ac:dyDescent="0.2">
      <c r="A1536" s="151"/>
      <c r="B1536" s="151"/>
      <c r="C1536" s="148"/>
      <c r="D1536" s="149" t="s">
        <v>242</v>
      </c>
      <c r="E1536" s="165"/>
      <c r="F1536" s="150"/>
      <c r="G1536" s="147"/>
      <c r="H1536" s="147">
        <v>5300</v>
      </c>
      <c r="I1536" s="152">
        <f>ROUND(H1536/$H$1539,4)</f>
        <v>0.11459999999999999</v>
      </c>
      <c r="J1536" s="151"/>
      <c r="K1536" s="139"/>
    </row>
    <row r="1537" spans="1:11" ht="12.75" x14ac:dyDescent="0.2">
      <c r="A1537" s="151"/>
      <c r="B1537" s="151"/>
      <c r="C1537" s="148"/>
      <c r="D1537" s="149" t="s">
        <v>243</v>
      </c>
      <c r="E1537" s="165"/>
      <c r="F1537" s="150"/>
      <c r="G1537" s="147"/>
      <c r="H1537" s="147">
        <v>10700</v>
      </c>
      <c r="I1537" s="152">
        <f>ROUND(H1537/$H$1539,4)</f>
        <v>0.23139999999999999</v>
      </c>
      <c r="J1537" s="151" t="s">
        <v>243</v>
      </c>
      <c r="K1537" s="139"/>
    </row>
    <row r="1538" spans="1:11" ht="12.75" x14ac:dyDescent="0.2">
      <c r="A1538" s="151"/>
      <c r="B1538" s="151"/>
      <c r="C1538" s="148"/>
      <c r="D1538" s="154" t="s">
        <v>244</v>
      </c>
      <c r="E1538" s="165"/>
      <c r="F1538" s="150"/>
      <c r="G1538" s="147"/>
      <c r="H1538" s="147">
        <v>3270</v>
      </c>
      <c r="I1538" s="152">
        <f>ROUND(H1538/$H$1539,4)</f>
        <v>7.0699999999999999E-2</v>
      </c>
      <c r="J1538" s="151"/>
      <c r="K1538" s="139"/>
    </row>
    <row r="1539" spans="1:11" ht="12.75" x14ac:dyDescent="0.2">
      <c r="A1539" s="151"/>
      <c r="B1539" s="151"/>
      <c r="C1539" s="148"/>
      <c r="D1539" s="148" t="s">
        <v>33</v>
      </c>
      <c r="E1539" s="165"/>
      <c r="F1539" s="150"/>
      <c r="G1539" s="147"/>
      <c r="H1539" s="155">
        <f>SUM(H1533:H1538)</f>
        <v>46231</v>
      </c>
      <c r="I1539" s="156">
        <f>SUM(I1533:I1538)</f>
        <v>1</v>
      </c>
      <c r="J1539" s="151"/>
      <c r="K1539" s="139"/>
    </row>
    <row r="1540" spans="1:11" ht="12.75" x14ac:dyDescent="0.2">
      <c r="A1540" s="151"/>
      <c r="B1540" s="151"/>
      <c r="C1540" s="148"/>
      <c r="D1540" s="148"/>
      <c r="E1540" s="165"/>
      <c r="F1540" s="150"/>
      <c r="G1540" s="147"/>
      <c r="H1540" s="157"/>
      <c r="I1540" s="158"/>
      <c r="J1540" s="151"/>
      <c r="K1540" s="139"/>
    </row>
    <row r="1541" spans="1:11" ht="12.75" x14ac:dyDescent="0.2">
      <c r="A1541" s="148" t="s">
        <v>23</v>
      </c>
      <c r="B1541" s="148" t="s">
        <v>369</v>
      </c>
      <c r="C1541" s="148" t="s">
        <v>234</v>
      </c>
      <c r="D1541" s="149" t="s">
        <v>196</v>
      </c>
      <c r="E1541" s="165" t="s">
        <v>370</v>
      </c>
      <c r="F1541" s="150">
        <v>7043010</v>
      </c>
      <c r="G1541" s="147">
        <v>89255</v>
      </c>
      <c r="H1541" s="147"/>
      <c r="I1541" s="147"/>
      <c r="J1541" s="151"/>
      <c r="K1541" s="139"/>
    </row>
    <row r="1542" spans="1:11" ht="12.75" x14ac:dyDescent="0.2">
      <c r="A1542" s="151"/>
      <c r="B1542" s="151"/>
      <c r="C1542" s="148"/>
      <c r="D1542" s="149" t="s">
        <v>237</v>
      </c>
      <c r="E1542" s="165"/>
      <c r="F1542" s="150"/>
      <c r="G1542" s="147"/>
      <c r="H1542" s="147">
        <v>9409</v>
      </c>
      <c r="I1542" s="152">
        <f>ROUND(H1542/$H$1547,4)</f>
        <v>0.1686</v>
      </c>
      <c r="J1542" s="151"/>
      <c r="K1542" s="139"/>
    </row>
    <row r="1543" spans="1:11" ht="12.75" x14ac:dyDescent="0.2">
      <c r="A1543" s="151"/>
      <c r="B1543" s="151"/>
      <c r="C1543" s="148"/>
      <c r="D1543" s="149" t="s">
        <v>238</v>
      </c>
      <c r="E1543" s="165"/>
      <c r="F1543" s="150"/>
      <c r="G1543" s="147"/>
      <c r="H1543" s="147">
        <v>1620</v>
      </c>
      <c r="I1543" s="152">
        <f>ROUND(H1543/$H$1547,4)</f>
        <v>2.9000000000000001E-2</v>
      </c>
      <c r="J1543" s="151"/>
      <c r="K1543" s="139"/>
    </row>
    <row r="1544" spans="1:11" ht="12.75" x14ac:dyDescent="0.2">
      <c r="A1544" s="151"/>
      <c r="B1544" s="151"/>
      <c r="C1544" s="148"/>
      <c r="D1544" s="149" t="s">
        <v>239</v>
      </c>
      <c r="E1544" s="165"/>
      <c r="F1544" s="150"/>
      <c r="G1544" s="147"/>
      <c r="H1544" s="147">
        <v>20810</v>
      </c>
      <c r="I1544" s="152">
        <f>ROUND(H1544/$H$1547,4)</f>
        <v>0.37280000000000002</v>
      </c>
      <c r="J1544" s="153" t="s">
        <v>239</v>
      </c>
      <c r="K1544" s="139"/>
    </row>
    <row r="1545" spans="1:11" ht="12.75" x14ac:dyDescent="0.2">
      <c r="A1545" s="151"/>
      <c r="B1545" s="151"/>
      <c r="C1545" s="148"/>
      <c r="D1545" s="149" t="s">
        <v>371</v>
      </c>
      <c r="E1545" s="165"/>
      <c r="F1545" s="150"/>
      <c r="G1545" s="147"/>
      <c r="H1545" s="147">
        <v>22980</v>
      </c>
      <c r="I1545" s="152">
        <f>ROUND(H1545/$H$1547,4)</f>
        <v>0.41170000000000001</v>
      </c>
      <c r="J1545" s="153" t="s">
        <v>240</v>
      </c>
      <c r="K1545" s="139"/>
    </row>
    <row r="1546" spans="1:11" ht="12.75" x14ac:dyDescent="0.2">
      <c r="A1546" s="151"/>
      <c r="B1546" s="151"/>
      <c r="C1546" s="148"/>
      <c r="D1546" s="154" t="s">
        <v>262</v>
      </c>
      <c r="E1546" s="165"/>
      <c r="F1546" s="150"/>
      <c r="G1546" s="147"/>
      <c r="H1546" s="147">
        <v>1000</v>
      </c>
      <c r="I1546" s="152">
        <f>ROUND(H1546/$H$1547,4)</f>
        <v>1.7899999999999999E-2</v>
      </c>
      <c r="J1546" s="151"/>
      <c r="K1546" s="139"/>
    </row>
    <row r="1547" spans="1:11" ht="12.75" x14ac:dyDescent="0.2">
      <c r="A1547" s="151"/>
      <c r="B1547" s="151"/>
      <c r="C1547" s="148"/>
      <c r="D1547" s="148" t="s">
        <v>33</v>
      </c>
      <c r="E1547" s="165"/>
      <c r="F1547" s="150"/>
      <c r="G1547" s="147"/>
      <c r="H1547" s="155">
        <f>SUM(H1542:H1546)</f>
        <v>55819</v>
      </c>
      <c r="I1547" s="156">
        <f>SUM(I1542:I1546)</f>
        <v>1</v>
      </c>
      <c r="J1547" s="151"/>
      <c r="K1547" s="139"/>
    </row>
    <row r="1548" spans="1:11" ht="12.75" x14ac:dyDescent="0.2">
      <c r="A1548" s="151"/>
      <c r="B1548" s="151"/>
      <c r="C1548" s="148"/>
      <c r="D1548" s="147"/>
      <c r="E1548" s="165"/>
      <c r="F1548" s="150"/>
      <c r="G1548" s="147"/>
      <c r="H1548" s="147"/>
      <c r="I1548" s="152"/>
      <c r="J1548" s="151"/>
      <c r="K1548" s="139"/>
    </row>
    <row r="1549" spans="1:11" ht="12.75" x14ac:dyDescent="0.2">
      <c r="A1549" s="148" t="s">
        <v>23</v>
      </c>
      <c r="B1549" s="148" t="s">
        <v>372</v>
      </c>
      <c r="C1549" s="148" t="s">
        <v>234</v>
      </c>
      <c r="D1549" s="149" t="s">
        <v>373</v>
      </c>
      <c r="E1549" s="165" t="s">
        <v>374</v>
      </c>
      <c r="F1549" s="150">
        <v>9708460</v>
      </c>
      <c r="G1549" s="147">
        <v>121018</v>
      </c>
      <c r="H1549" s="147"/>
      <c r="I1549" s="152"/>
      <c r="J1549" s="151"/>
      <c r="K1549" s="139"/>
    </row>
    <row r="1550" spans="1:11" ht="12.75" x14ac:dyDescent="0.2">
      <c r="A1550" s="151"/>
      <c r="B1550" s="151"/>
      <c r="C1550" s="148"/>
      <c r="D1550" s="149" t="s">
        <v>238</v>
      </c>
      <c r="E1550" s="165"/>
      <c r="F1550" s="150"/>
      <c r="G1550" s="147"/>
      <c r="H1550" s="147">
        <v>9767</v>
      </c>
      <c r="I1550" s="152">
        <f>ROUND(H1550/$H$1553,4)</f>
        <v>0.13780000000000001</v>
      </c>
      <c r="J1550" s="151"/>
      <c r="K1550" s="139"/>
    </row>
    <row r="1551" spans="1:11" ht="12.75" x14ac:dyDescent="0.2">
      <c r="A1551" s="151"/>
      <c r="B1551" s="151"/>
      <c r="C1551" s="148"/>
      <c r="D1551" s="149" t="s">
        <v>239</v>
      </c>
      <c r="E1551" s="165"/>
      <c r="F1551" s="150"/>
      <c r="G1551" s="147"/>
      <c r="H1551" s="147">
        <v>35697</v>
      </c>
      <c r="I1551" s="152">
        <f>ROUND(H1551/$H$1553,4)-0.0001</f>
        <v>0.50350000000000006</v>
      </c>
      <c r="J1551" s="153" t="s">
        <v>239</v>
      </c>
      <c r="K1551" s="139"/>
    </row>
    <row r="1552" spans="1:11" ht="12.75" x14ac:dyDescent="0.2">
      <c r="A1552" s="151"/>
      <c r="B1552" s="151"/>
      <c r="C1552" s="148"/>
      <c r="D1552" s="149" t="s">
        <v>240</v>
      </c>
      <c r="E1552" s="165"/>
      <c r="F1552" s="150"/>
      <c r="G1552" s="147"/>
      <c r="H1552" s="147">
        <v>25426</v>
      </c>
      <c r="I1552" s="152">
        <f>ROUND(H1552/$H$1553,4)</f>
        <v>0.35870000000000002</v>
      </c>
      <c r="J1552" s="153" t="s">
        <v>240</v>
      </c>
      <c r="K1552" s="139"/>
    </row>
    <row r="1553" spans="1:11" ht="12.75" x14ac:dyDescent="0.2">
      <c r="A1553" s="151"/>
      <c r="B1553" s="151"/>
      <c r="C1553" s="148"/>
      <c r="D1553" s="148" t="s">
        <v>33</v>
      </c>
      <c r="E1553" s="165"/>
      <c r="F1553" s="150"/>
      <c r="G1553" s="147"/>
      <c r="H1553" s="155">
        <f>SUM(H1550:H1552)</f>
        <v>70890</v>
      </c>
      <c r="I1553" s="156">
        <f>SUM(I1550:I1552)</f>
        <v>1</v>
      </c>
      <c r="J1553" s="151"/>
      <c r="K1553" s="139"/>
    </row>
    <row r="1554" spans="1:11" ht="12.75" x14ac:dyDescent="0.2">
      <c r="A1554" s="151"/>
      <c r="B1554" s="151"/>
      <c r="C1554" s="148"/>
      <c r="D1554" s="147"/>
      <c r="E1554" s="165"/>
      <c r="F1554" s="150"/>
      <c r="G1554" s="147"/>
      <c r="H1554" s="147"/>
      <c r="I1554" s="147"/>
      <c r="J1554" s="151"/>
      <c r="K1554" s="139"/>
    </row>
    <row r="1555" spans="1:11" ht="12.75" x14ac:dyDescent="0.2">
      <c r="A1555" s="148" t="s">
        <v>23</v>
      </c>
      <c r="B1555" s="148" t="s">
        <v>375</v>
      </c>
      <c r="C1555" s="148" t="s">
        <v>234</v>
      </c>
      <c r="D1555" s="149" t="s">
        <v>173</v>
      </c>
      <c r="E1555" s="165" t="s">
        <v>376</v>
      </c>
      <c r="F1555" s="150">
        <v>6264777</v>
      </c>
      <c r="G1555" s="147">
        <v>93187</v>
      </c>
      <c r="H1555" s="147"/>
      <c r="I1555" s="147"/>
      <c r="J1555" s="151"/>
      <c r="K1555" s="139"/>
    </row>
    <row r="1556" spans="1:11" ht="12.75" x14ac:dyDescent="0.2">
      <c r="A1556" s="151"/>
      <c r="B1556" s="151"/>
      <c r="C1556" s="148"/>
      <c r="D1556" s="149" t="s">
        <v>261</v>
      </c>
      <c r="E1556" s="165"/>
      <c r="F1556" s="150"/>
      <c r="G1556" s="147"/>
      <c r="H1556" s="147">
        <v>9490</v>
      </c>
      <c r="I1556" s="152">
        <f>ROUND(H1556/$H$1560,4)</f>
        <v>0.18340000000000001</v>
      </c>
      <c r="J1556" s="151"/>
      <c r="K1556" s="139"/>
    </row>
    <row r="1557" spans="1:11" ht="12.75" x14ac:dyDescent="0.2">
      <c r="A1557" s="151"/>
      <c r="B1557" s="151"/>
      <c r="C1557" s="148"/>
      <c r="D1557" s="149" t="s">
        <v>238</v>
      </c>
      <c r="E1557" s="165"/>
      <c r="F1557" s="150"/>
      <c r="G1557" s="147"/>
      <c r="H1557" s="147">
        <v>14625</v>
      </c>
      <c r="I1557" s="152">
        <f>ROUND(H1557/$H$1560,4)</f>
        <v>0.28270000000000001</v>
      </c>
      <c r="J1557" s="151" t="s">
        <v>238</v>
      </c>
      <c r="K1557" s="139"/>
    </row>
    <row r="1558" spans="1:11" ht="12.75" x14ac:dyDescent="0.2">
      <c r="A1558" s="151"/>
      <c r="B1558" s="151"/>
      <c r="C1558" s="148"/>
      <c r="D1558" s="149" t="s">
        <v>240</v>
      </c>
      <c r="E1558" s="165"/>
      <c r="F1558" s="150"/>
      <c r="G1558" s="147"/>
      <c r="H1558" s="147">
        <v>27263</v>
      </c>
      <c r="I1558" s="152">
        <f>ROUND(H1558/$H$1560,4)</f>
        <v>0.52700000000000002</v>
      </c>
      <c r="J1558" s="153" t="s">
        <v>240</v>
      </c>
      <c r="K1558" s="139"/>
    </row>
    <row r="1559" spans="1:11" ht="12.75" x14ac:dyDescent="0.2">
      <c r="A1559" s="151"/>
      <c r="B1559" s="151"/>
      <c r="C1559" s="148"/>
      <c r="D1559" s="149" t="s">
        <v>243</v>
      </c>
      <c r="E1559" s="165"/>
      <c r="F1559" s="150"/>
      <c r="G1559" s="147"/>
      <c r="H1559" s="147">
        <v>354</v>
      </c>
      <c r="I1559" s="152">
        <f>ROUND(H1559/$H$1560,4)</f>
        <v>6.7999999999999996E-3</v>
      </c>
      <c r="J1559" s="151"/>
      <c r="K1559" s="139"/>
    </row>
    <row r="1560" spans="1:11" ht="12.75" x14ac:dyDescent="0.2">
      <c r="A1560" s="151"/>
      <c r="B1560" s="151"/>
      <c r="C1560" s="148"/>
      <c r="D1560" s="148" t="s">
        <v>33</v>
      </c>
      <c r="E1560" s="165"/>
      <c r="F1560" s="150"/>
      <c r="G1560" s="147"/>
      <c r="H1560" s="155">
        <f>SUM(H1556:H1559)</f>
        <v>51732</v>
      </c>
      <c r="I1560" s="156">
        <f>ROUND(H1560/$H$1560,4)</f>
        <v>1</v>
      </c>
      <c r="J1560" s="151"/>
      <c r="K1560" s="139"/>
    </row>
    <row r="1561" spans="1:11" ht="12.75" x14ac:dyDescent="0.2">
      <c r="A1561" s="151"/>
      <c r="B1561" s="151"/>
      <c r="C1561" s="148"/>
      <c r="D1561" s="147"/>
      <c r="E1561" s="165"/>
      <c r="F1561" s="150"/>
      <c r="G1561" s="147"/>
      <c r="H1561" s="147"/>
      <c r="I1561" s="147"/>
      <c r="J1561" s="151"/>
      <c r="K1561" s="139"/>
    </row>
    <row r="1562" spans="1:11" ht="12.75" x14ac:dyDescent="0.2">
      <c r="A1562" s="148" t="s">
        <v>23</v>
      </c>
      <c r="B1562" s="148" t="s">
        <v>377</v>
      </c>
      <c r="C1562" s="148" t="s">
        <v>234</v>
      </c>
      <c r="D1562" s="149" t="s">
        <v>199</v>
      </c>
      <c r="E1562" s="165" t="s">
        <v>272</v>
      </c>
      <c r="F1562" s="150">
        <v>460100</v>
      </c>
      <c r="G1562" s="147">
        <v>4400</v>
      </c>
      <c r="H1562" s="147"/>
      <c r="I1562" s="147"/>
      <c r="J1562" s="151"/>
      <c r="K1562" s="139"/>
    </row>
    <row r="1563" spans="1:11" ht="12.75" x14ac:dyDescent="0.2">
      <c r="A1563" s="151"/>
      <c r="B1563" s="151"/>
      <c r="C1563" s="148"/>
      <c r="D1563" s="149" t="s">
        <v>240</v>
      </c>
      <c r="E1563" s="165"/>
      <c r="F1563" s="150"/>
      <c r="G1563" s="147"/>
      <c r="H1563" s="147">
        <v>2191</v>
      </c>
      <c r="I1563" s="152">
        <f>ROUND(H1563/$H$1565,4)</f>
        <v>0.54600000000000004</v>
      </c>
      <c r="J1563" s="153" t="s">
        <v>240</v>
      </c>
      <c r="K1563" s="139"/>
    </row>
    <row r="1564" spans="1:11" ht="12.75" x14ac:dyDescent="0.2">
      <c r="A1564" s="151"/>
      <c r="B1564" s="151"/>
      <c r="C1564" s="148"/>
      <c r="D1564" s="154" t="s">
        <v>244</v>
      </c>
      <c r="E1564" s="165"/>
      <c r="F1564" s="150"/>
      <c r="G1564" s="147"/>
      <c r="H1564" s="147">
        <v>1822</v>
      </c>
      <c r="I1564" s="152">
        <f>ROUND(H1564/$H$1565,4)</f>
        <v>0.45400000000000001</v>
      </c>
      <c r="J1564" s="159" t="s">
        <v>244</v>
      </c>
      <c r="K1564" s="139"/>
    </row>
    <row r="1565" spans="1:11" ht="12.75" x14ac:dyDescent="0.2">
      <c r="A1565" s="151"/>
      <c r="B1565" s="151"/>
      <c r="C1565" s="148"/>
      <c r="D1565" s="148" t="s">
        <v>33</v>
      </c>
      <c r="E1565" s="165"/>
      <c r="F1565" s="150"/>
      <c r="G1565" s="147"/>
      <c r="H1565" s="155">
        <f>SUM(H1563:H1564)</f>
        <v>4013</v>
      </c>
      <c r="I1565" s="156">
        <f>SUM(I1563:I1564)</f>
        <v>1</v>
      </c>
      <c r="J1565" s="151"/>
      <c r="K1565" s="139"/>
    </row>
    <row r="1566" spans="1:11" ht="12.75" x14ac:dyDescent="0.2">
      <c r="A1566" s="151"/>
      <c r="B1566" s="151"/>
      <c r="C1566" s="148"/>
      <c r="D1566" s="148"/>
      <c r="E1566" s="165"/>
      <c r="F1566" s="150"/>
      <c r="G1566" s="147"/>
      <c r="H1566" s="157"/>
      <c r="I1566" s="158"/>
      <c r="J1566" s="151"/>
      <c r="K1566" s="139"/>
    </row>
    <row r="1567" spans="1:11" ht="12.75" x14ac:dyDescent="0.2">
      <c r="A1567" s="148" t="s">
        <v>23</v>
      </c>
      <c r="B1567" s="148" t="s">
        <v>378</v>
      </c>
      <c r="C1567" s="148" t="s">
        <v>234</v>
      </c>
      <c r="D1567" s="149" t="s">
        <v>165</v>
      </c>
      <c r="E1567" s="165" t="s">
        <v>274</v>
      </c>
      <c r="F1567" s="150">
        <v>9592500</v>
      </c>
      <c r="G1567" s="147">
        <v>104202</v>
      </c>
      <c r="H1567" s="147"/>
      <c r="I1567" s="147"/>
      <c r="J1567" s="151"/>
      <c r="K1567" s="139"/>
    </row>
    <row r="1568" spans="1:11" ht="12.75" x14ac:dyDescent="0.2">
      <c r="A1568" s="151"/>
      <c r="B1568" s="151"/>
      <c r="C1568" s="148"/>
      <c r="D1568" s="149" t="s">
        <v>261</v>
      </c>
      <c r="E1568" s="165"/>
      <c r="F1568" s="150"/>
      <c r="G1568" s="147"/>
      <c r="H1568" s="147">
        <v>20112</v>
      </c>
      <c r="I1568" s="152">
        <f>ROUND(H1568/$H$1575,4)</f>
        <v>0.2772</v>
      </c>
      <c r="J1568" s="153" t="s">
        <v>261</v>
      </c>
      <c r="K1568" s="139"/>
    </row>
    <row r="1569" spans="1:11" ht="12.75" x14ac:dyDescent="0.2">
      <c r="A1569" s="151"/>
      <c r="B1569" s="151"/>
      <c r="C1569" s="148"/>
      <c r="D1569" s="149" t="s">
        <v>238</v>
      </c>
      <c r="E1569" s="165"/>
      <c r="F1569" s="150"/>
      <c r="G1569" s="147"/>
      <c r="H1569" s="147">
        <v>10752</v>
      </c>
      <c r="I1569" s="152">
        <f>ROUND(H1569/$H$1575,4)</f>
        <v>0.1482</v>
      </c>
      <c r="J1569" s="151"/>
      <c r="K1569" s="139"/>
    </row>
    <row r="1570" spans="1:11" ht="12.75" x14ac:dyDescent="0.2">
      <c r="A1570" s="151"/>
      <c r="B1570" s="151"/>
      <c r="C1570" s="148"/>
      <c r="D1570" s="149" t="s">
        <v>240</v>
      </c>
      <c r="E1570" s="165"/>
      <c r="F1570" s="150"/>
      <c r="G1570" s="147"/>
      <c r="H1570" s="147">
        <v>20887</v>
      </c>
      <c r="I1570" s="152">
        <f>ROUND(H1570/$H$1575,4)</f>
        <v>0.28789999999999999</v>
      </c>
      <c r="J1570" s="153" t="s">
        <v>240</v>
      </c>
      <c r="K1570" s="139"/>
    </row>
    <row r="1571" spans="1:11" ht="12.75" x14ac:dyDescent="0.2">
      <c r="A1571" s="151"/>
      <c r="B1571" s="151"/>
      <c r="C1571" s="148"/>
      <c r="D1571" s="154" t="s">
        <v>262</v>
      </c>
      <c r="E1571" s="165"/>
      <c r="F1571" s="150"/>
      <c r="G1571" s="147"/>
      <c r="H1571" s="147">
        <v>2833</v>
      </c>
      <c r="I1571" s="152">
        <f>ROUND(H1571/$H$1575,4)+0.0001</f>
        <v>3.9200000000000006E-2</v>
      </c>
      <c r="J1571" s="151"/>
      <c r="K1571" s="139"/>
    </row>
    <row r="1572" spans="1:11" ht="12.75" x14ac:dyDescent="0.2">
      <c r="A1572" s="151"/>
      <c r="B1572" s="151"/>
      <c r="C1572" s="148"/>
      <c r="D1572" s="149" t="s">
        <v>242</v>
      </c>
      <c r="E1572" s="165"/>
      <c r="F1572" s="150"/>
      <c r="G1572" s="147"/>
      <c r="H1572" s="147">
        <v>3307</v>
      </c>
      <c r="I1572" s="152">
        <f>ROUND(H1572/$H$1575,4)</f>
        <v>4.5600000000000002E-2</v>
      </c>
      <c r="J1572" s="151"/>
      <c r="K1572" s="139"/>
    </row>
    <row r="1573" spans="1:11" ht="12.75" x14ac:dyDescent="0.2">
      <c r="A1573" s="151"/>
      <c r="B1573" s="151"/>
      <c r="C1573" s="148"/>
      <c r="D1573" s="149" t="s">
        <v>243</v>
      </c>
      <c r="E1573" s="165"/>
      <c r="F1573" s="150"/>
      <c r="G1573" s="147"/>
      <c r="H1573" s="147">
        <v>4559</v>
      </c>
      <c r="I1573" s="152">
        <f>ROUND(H1573/$H$1575,4)</f>
        <v>6.2799999999999995E-2</v>
      </c>
      <c r="J1573" s="151"/>
      <c r="K1573" s="139"/>
    </row>
    <row r="1574" spans="1:11" ht="12.75" x14ac:dyDescent="0.2">
      <c r="A1574" s="151"/>
      <c r="B1574" s="151"/>
      <c r="C1574" s="148"/>
      <c r="D1574" s="154" t="s">
        <v>244</v>
      </c>
      <c r="E1574" s="165"/>
      <c r="F1574" s="150"/>
      <c r="G1574" s="147"/>
      <c r="H1574" s="147">
        <v>10092</v>
      </c>
      <c r="I1574" s="152">
        <f>ROUND(H1574/$H$1575,4)</f>
        <v>0.1391</v>
      </c>
      <c r="J1574" s="151"/>
      <c r="K1574" s="139"/>
    </row>
    <row r="1575" spans="1:11" ht="12.75" x14ac:dyDescent="0.2">
      <c r="A1575" s="151"/>
      <c r="B1575" s="151"/>
      <c r="C1575" s="148"/>
      <c r="D1575" s="148" t="s">
        <v>33</v>
      </c>
      <c r="E1575" s="165"/>
      <c r="F1575" s="150"/>
      <c r="G1575" s="147"/>
      <c r="H1575" s="155">
        <f>SUM(H1568:H1574)</f>
        <v>72542</v>
      </c>
      <c r="I1575" s="156">
        <f>SUM(I1568:I1574)</f>
        <v>1</v>
      </c>
      <c r="J1575" s="151"/>
      <c r="K1575" s="139"/>
    </row>
    <row r="1576" spans="1:11" ht="12.75" x14ac:dyDescent="0.2">
      <c r="A1576" s="151"/>
      <c r="B1576" s="151"/>
      <c r="C1576" s="148"/>
      <c r="D1576" s="148"/>
      <c r="E1576" s="165"/>
      <c r="F1576" s="150"/>
      <c r="G1576" s="147"/>
      <c r="H1576" s="157"/>
      <c r="I1576" s="158"/>
      <c r="J1576" s="151"/>
      <c r="K1576" s="139"/>
    </row>
    <row r="1577" spans="1:11" ht="12.75" x14ac:dyDescent="0.2">
      <c r="A1577" s="148" t="s">
        <v>23</v>
      </c>
      <c r="B1577" s="148" t="s">
        <v>379</v>
      </c>
      <c r="C1577" s="148" t="s">
        <v>234</v>
      </c>
      <c r="D1577" s="149" t="s">
        <v>174</v>
      </c>
      <c r="E1577" s="165" t="s">
        <v>380</v>
      </c>
      <c r="F1577" s="150">
        <v>8562772</v>
      </c>
      <c r="G1577" s="147">
        <v>71090</v>
      </c>
      <c r="H1577" s="147"/>
      <c r="I1577" s="147"/>
      <c r="J1577" s="151"/>
      <c r="K1577" s="139"/>
    </row>
    <row r="1578" spans="1:11" ht="12.75" x14ac:dyDescent="0.2">
      <c r="A1578" s="151"/>
      <c r="B1578" s="151"/>
      <c r="C1578" s="148"/>
      <c r="D1578" s="149" t="s">
        <v>261</v>
      </c>
      <c r="E1578" s="165"/>
      <c r="F1578" s="150"/>
      <c r="G1578" s="147"/>
      <c r="H1578" s="147">
        <v>7210</v>
      </c>
      <c r="I1578" s="152">
        <f t="shared" ref="I1578:I1583" si="39">ROUND(H1578/$H$1584,4)</f>
        <v>0.1507</v>
      </c>
      <c r="J1578" s="151"/>
      <c r="K1578" s="139"/>
    </row>
    <row r="1579" spans="1:11" ht="12.75" x14ac:dyDescent="0.2">
      <c r="A1579" s="151"/>
      <c r="B1579" s="151"/>
      <c r="C1579" s="148"/>
      <c r="D1579" s="149" t="s">
        <v>238</v>
      </c>
      <c r="E1579" s="165"/>
      <c r="F1579" s="150"/>
      <c r="G1579" s="147"/>
      <c r="H1579" s="147">
        <v>12840</v>
      </c>
      <c r="I1579" s="152">
        <f t="shared" si="39"/>
        <v>0.26850000000000002</v>
      </c>
      <c r="J1579" s="153" t="s">
        <v>238</v>
      </c>
      <c r="K1579" s="139"/>
    </row>
    <row r="1580" spans="1:11" ht="12.75" x14ac:dyDescent="0.2">
      <c r="A1580" s="151"/>
      <c r="B1580" s="151"/>
      <c r="C1580" s="148"/>
      <c r="D1580" s="149" t="s">
        <v>240</v>
      </c>
      <c r="E1580" s="165"/>
      <c r="F1580" s="150"/>
      <c r="G1580" s="147"/>
      <c r="H1580" s="147">
        <v>14720</v>
      </c>
      <c r="I1580" s="152">
        <f t="shared" si="39"/>
        <v>0.30780000000000002</v>
      </c>
      <c r="J1580" s="153" t="s">
        <v>240</v>
      </c>
      <c r="K1580" s="139"/>
    </row>
    <row r="1581" spans="1:11" ht="12.75" x14ac:dyDescent="0.2">
      <c r="A1581" s="151"/>
      <c r="B1581" s="151"/>
      <c r="C1581" s="148"/>
      <c r="D1581" s="154" t="s">
        <v>262</v>
      </c>
      <c r="E1581" s="165"/>
      <c r="F1581" s="150"/>
      <c r="G1581" s="147"/>
      <c r="H1581" s="147">
        <v>9565</v>
      </c>
      <c r="I1581" s="152">
        <f t="shared" si="39"/>
        <v>0.2</v>
      </c>
      <c r="J1581" s="151" t="s">
        <v>262</v>
      </c>
      <c r="K1581" s="139"/>
    </row>
    <row r="1582" spans="1:11" ht="12.75" x14ac:dyDescent="0.2">
      <c r="A1582" s="151"/>
      <c r="B1582" s="151"/>
      <c r="C1582" s="148"/>
      <c r="D1582" s="149" t="s">
        <v>242</v>
      </c>
      <c r="E1582" s="165"/>
      <c r="F1582" s="150"/>
      <c r="G1582" s="147"/>
      <c r="H1582" s="147">
        <v>275</v>
      </c>
      <c r="I1582" s="152">
        <f t="shared" si="39"/>
        <v>5.7000000000000002E-3</v>
      </c>
      <c r="J1582" s="151"/>
      <c r="K1582" s="139"/>
    </row>
    <row r="1583" spans="1:11" ht="12.75" x14ac:dyDescent="0.2">
      <c r="A1583" s="151"/>
      <c r="B1583" s="151"/>
      <c r="C1583" s="148"/>
      <c r="D1583" s="154" t="s">
        <v>244</v>
      </c>
      <c r="E1583" s="165"/>
      <c r="F1583" s="150"/>
      <c r="G1583" s="147"/>
      <c r="H1583" s="147">
        <v>3219</v>
      </c>
      <c r="I1583" s="152">
        <f t="shared" si="39"/>
        <v>6.7299999999999999E-2</v>
      </c>
      <c r="J1583" s="151"/>
      <c r="K1583" s="139"/>
    </row>
    <row r="1584" spans="1:11" ht="12.75" x14ac:dyDescent="0.2">
      <c r="A1584" s="151"/>
      <c r="B1584" s="151"/>
      <c r="C1584" s="148"/>
      <c r="D1584" s="148" t="s">
        <v>33</v>
      </c>
      <c r="E1584" s="165"/>
      <c r="F1584" s="150"/>
      <c r="G1584" s="147"/>
      <c r="H1584" s="155">
        <f>SUM(H1578:H1583)</f>
        <v>47829</v>
      </c>
      <c r="I1584" s="156">
        <f>SUM(I1578:I1583)</f>
        <v>1</v>
      </c>
      <c r="J1584" s="151"/>
      <c r="K1584" s="139"/>
    </row>
    <row r="1585" spans="1:11" ht="12.75" x14ac:dyDescent="0.2">
      <c r="A1585" s="151"/>
      <c r="B1585" s="151"/>
      <c r="C1585" s="148"/>
      <c r="D1585" s="147"/>
      <c r="E1585" s="165"/>
      <c r="F1585" s="150"/>
      <c r="G1585" s="147"/>
      <c r="H1585" s="147"/>
      <c r="I1585" s="147"/>
      <c r="J1585" s="151"/>
      <c r="K1585" s="139"/>
    </row>
    <row r="1586" spans="1:11" ht="12.75" x14ac:dyDescent="0.2">
      <c r="A1586" s="148" t="s">
        <v>23</v>
      </c>
      <c r="B1586" s="148">
        <v>636</v>
      </c>
      <c r="C1586" s="148" t="s">
        <v>234</v>
      </c>
      <c r="D1586" s="149" t="s">
        <v>75</v>
      </c>
      <c r="E1586" s="165" t="s">
        <v>311</v>
      </c>
      <c r="F1586" s="150">
        <v>1428371</v>
      </c>
      <c r="G1586" s="147">
        <v>9942</v>
      </c>
      <c r="H1586" s="147"/>
      <c r="I1586" s="152"/>
      <c r="J1586" s="151"/>
      <c r="K1586" s="139"/>
    </row>
    <row r="1587" spans="1:11" ht="12.75" x14ac:dyDescent="0.2">
      <c r="A1587" s="151"/>
      <c r="B1587" s="151"/>
      <c r="C1587" s="148"/>
      <c r="D1587" s="154" t="s">
        <v>262</v>
      </c>
      <c r="E1587" s="165"/>
      <c r="F1587" s="150"/>
      <c r="G1587" s="147"/>
      <c r="H1587" s="147">
        <v>7981</v>
      </c>
      <c r="I1587" s="152">
        <f>ROUND(H1587/$H$1589,4)</f>
        <v>0.91710000000000003</v>
      </c>
      <c r="J1587" s="159" t="s">
        <v>262</v>
      </c>
      <c r="K1587" s="139"/>
    </row>
    <row r="1588" spans="1:11" ht="12.75" x14ac:dyDescent="0.2">
      <c r="A1588" s="151"/>
      <c r="B1588" s="151"/>
      <c r="C1588" s="148"/>
      <c r="D1588" s="149" t="s">
        <v>285</v>
      </c>
      <c r="E1588" s="165"/>
      <c r="F1588" s="150"/>
      <c r="G1588" s="147"/>
      <c r="H1588" s="147">
        <v>721</v>
      </c>
      <c r="I1588" s="152">
        <f>ROUND(H1588/$H$1589,4)</f>
        <v>8.2900000000000001E-2</v>
      </c>
      <c r="J1588" s="151"/>
      <c r="K1588" s="139"/>
    </row>
    <row r="1589" spans="1:11" ht="12.75" x14ac:dyDescent="0.2">
      <c r="A1589" s="151"/>
      <c r="B1589" s="151"/>
      <c r="C1589" s="148"/>
      <c r="D1589" s="148" t="s">
        <v>33</v>
      </c>
      <c r="E1589" s="165"/>
      <c r="F1589" s="150"/>
      <c r="G1589" s="147"/>
      <c r="H1589" s="155">
        <f>SUM(H1587:H1588)</f>
        <v>8702</v>
      </c>
      <c r="I1589" s="156">
        <f>SUM(I1587:I1588)</f>
        <v>1</v>
      </c>
      <c r="J1589" s="151"/>
      <c r="K1589" s="139"/>
    </row>
    <row r="1590" spans="1:11" ht="12.75" x14ac:dyDescent="0.2">
      <c r="A1590" s="151"/>
      <c r="B1590" s="151"/>
      <c r="C1590" s="148"/>
      <c r="D1590" s="147"/>
      <c r="E1590" s="165"/>
      <c r="F1590" s="150"/>
      <c r="G1590" s="147"/>
      <c r="H1590" s="147"/>
      <c r="I1590" s="152"/>
      <c r="J1590" s="151"/>
      <c r="K1590" s="139"/>
    </row>
    <row r="1591" spans="1:11" ht="12.75" x14ac:dyDescent="0.2">
      <c r="A1591" s="148" t="s">
        <v>23</v>
      </c>
      <c r="B1591" s="148">
        <v>624</v>
      </c>
      <c r="C1591" s="148" t="s">
        <v>234</v>
      </c>
      <c r="D1591" s="147" t="s">
        <v>76</v>
      </c>
      <c r="E1591" s="204" t="s">
        <v>381</v>
      </c>
      <c r="F1591" s="150">
        <v>1176000</v>
      </c>
      <c r="G1591" s="147">
        <v>9260</v>
      </c>
      <c r="H1591" s="147"/>
      <c r="I1591" s="152"/>
      <c r="J1591" s="151"/>
      <c r="K1591" s="139"/>
    </row>
    <row r="1592" spans="1:11" ht="12.75" x14ac:dyDescent="0.2">
      <c r="A1592" s="151"/>
      <c r="B1592" s="151"/>
      <c r="C1592" s="148"/>
      <c r="D1592" s="154" t="s">
        <v>262</v>
      </c>
      <c r="E1592" s="165"/>
      <c r="F1592" s="150"/>
      <c r="G1592" s="147"/>
      <c r="H1592" s="155">
        <v>5936</v>
      </c>
      <c r="I1592" s="156">
        <f>ROUND(H1592/$H$1592,4)</f>
        <v>1</v>
      </c>
      <c r="J1592" s="159" t="s">
        <v>262</v>
      </c>
      <c r="K1592" s="139"/>
    </row>
    <row r="1593" spans="1:11" ht="12.75" x14ac:dyDescent="0.2">
      <c r="A1593" s="151"/>
      <c r="B1593" s="151"/>
      <c r="C1593" s="148"/>
      <c r="D1593" s="147"/>
      <c r="E1593" s="165"/>
      <c r="F1593" s="150"/>
      <c r="G1593" s="147"/>
      <c r="H1593" s="147"/>
      <c r="I1593" s="152"/>
      <c r="J1593" s="151"/>
      <c r="K1593" s="139"/>
    </row>
    <row r="1594" spans="1:11" ht="12.75" x14ac:dyDescent="0.2">
      <c r="A1594" s="148" t="s">
        <v>23</v>
      </c>
      <c r="B1594" s="160">
        <v>679</v>
      </c>
      <c r="C1594" s="148" t="s">
        <v>289</v>
      </c>
      <c r="D1594" s="147" t="s">
        <v>115</v>
      </c>
      <c r="E1594" s="204">
        <v>35217</v>
      </c>
      <c r="F1594" s="150">
        <v>12883646</v>
      </c>
      <c r="G1594" s="147">
        <v>97056</v>
      </c>
      <c r="H1594" s="147"/>
      <c r="I1594" s="152"/>
      <c r="J1594" s="147"/>
      <c r="K1594" s="139"/>
    </row>
    <row r="1595" spans="1:11" ht="12.75" x14ac:dyDescent="0.2">
      <c r="A1595" s="147"/>
      <c r="B1595" s="147"/>
      <c r="C1595" s="169"/>
      <c r="D1595" s="149" t="s">
        <v>261</v>
      </c>
      <c r="E1595" s="165"/>
      <c r="F1595" s="150"/>
      <c r="G1595" s="147"/>
      <c r="H1595" s="147">
        <v>6498</v>
      </c>
      <c r="I1595" s="152">
        <f>H1595/H1601</f>
        <v>0.12889276788193757</v>
      </c>
      <c r="J1595" s="153"/>
      <c r="K1595" s="139"/>
    </row>
    <row r="1596" spans="1:11" ht="12.75" x14ac:dyDescent="0.2">
      <c r="A1596" s="147"/>
      <c r="B1596" s="147"/>
      <c r="C1596" s="169"/>
      <c r="D1596" s="149" t="s">
        <v>290</v>
      </c>
      <c r="E1596" s="165"/>
      <c r="F1596" s="150"/>
      <c r="G1596" s="147"/>
      <c r="H1596" s="147">
        <v>32380</v>
      </c>
      <c r="I1596" s="152">
        <f>H1596/H1601</f>
        <v>0.64228190581981193</v>
      </c>
      <c r="J1596" s="153" t="s">
        <v>238</v>
      </c>
      <c r="K1596" s="139"/>
    </row>
    <row r="1597" spans="1:11" ht="12.75" x14ac:dyDescent="0.2">
      <c r="A1597" s="147"/>
      <c r="B1597" s="147"/>
      <c r="C1597" s="169"/>
      <c r="D1597" s="149" t="s">
        <v>291</v>
      </c>
      <c r="E1597" s="165"/>
      <c r="F1597" s="150"/>
      <c r="G1597" s="147"/>
      <c r="H1597" s="147">
        <v>2149</v>
      </c>
      <c r="I1597" s="152">
        <f>H1597/H1601</f>
        <v>4.26270480422105E-2</v>
      </c>
      <c r="J1597" s="153"/>
      <c r="K1597" s="139"/>
    </row>
    <row r="1598" spans="1:11" ht="12.75" x14ac:dyDescent="0.2">
      <c r="A1598" s="147"/>
      <c r="B1598" s="147"/>
      <c r="C1598" s="169"/>
      <c r="D1598" s="149" t="s">
        <v>293</v>
      </c>
      <c r="E1598" s="165"/>
      <c r="F1598" s="150"/>
      <c r="G1598" s="147"/>
      <c r="H1598" s="147">
        <v>502</v>
      </c>
      <c r="I1598" s="152">
        <f>H1598/H1601</f>
        <v>9.957551473796962E-3</v>
      </c>
      <c r="J1598" s="153"/>
      <c r="K1598" s="139"/>
    </row>
    <row r="1599" spans="1:11" ht="12.75" x14ac:dyDescent="0.2">
      <c r="A1599" s="147"/>
      <c r="B1599" s="147"/>
      <c r="C1599" s="169"/>
      <c r="D1599" s="149" t="s">
        <v>288</v>
      </c>
      <c r="E1599" s="165"/>
      <c r="F1599" s="150"/>
      <c r="G1599" s="147"/>
      <c r="H1599" s="147">
        <v>7913</v>
      </c>
      <c r="I1599" s="152">
        <f>H1599/H1601</f>
        <v>0.15696036815170389</v>
      </c>
      <c r="J1599" s="153"/>
      <c r="K1599" s="139"/>
    </row>
    <row r="1600" spans="1:11" ht="12.75" x14ac:dyDescent="0.2">
      <c r="A1600" s="147"/>
      <c r="B1600" s="147"/>
      <c r="C1600" s="169"/>
      <c r="D1600" s="149" t="s">
        <v>292</v>
      </c>
      <c r="E1600" s="165"/>
      <c r="F1600" s="150"/>
      <c r="G1600" s="147"/>
      <c r="H1600" s="147">
        <v>972</v>
      </c>
      <c r="I1600" s="152">
        <f>H1600/H1601</f>
        <v>1.9280358630539136E-2</v>
      </c>
      <c r="J1600" s="153"/>
      <c r="K1600" s="139"/>
    </row>
    <row r="1601" spans="1:11" ht="12.75" x14ac:dyDescent="0.2">
      <c r="A1601" s="147"/>
      <c r="B1601" s="147"/>
      <c r="C1601" s="169"/>
      <c r="D1601" s="148" t="s">
        <v>33</v>
      </c>
      <c r="E1601" s="165"/>
      <c r="F1601" s="150"/>
      <c r="G1601" s="147"/>
      <c r="H1601" s="155">
        <f>SUM(H1595:H1600)</f>
        <v>50414</v>
      </c>
      <c r="I1601" s="156">
        <f>SUM(I1595:I1600)</f>
        <v>1</v>
      </c>
      <c r="J1601" s="147"/>
      <c r="K1601" s="139"/>
    </row>
    <row r="1602" spans="1:11" ht="12.75" x14ac:dyDescent="0.2">
      <c r="A1602" s="147"/>
      <c r="B1602" s="147"/>
      <c r="C1602" s="169"/>
      <c r="D1602" s="148"/>
      <c r="E1602" s="165"/>
      <c r="F1602" s="150"/>
      <c r="G1602" s="147"/>
      <c r="H1602" s="147"/>
      <c r="I1602" s="147"/>
      <c r="J1602" s="147"/>
      <c r="K1602" s="139"/>
    </row>
    <row r="1603" spans="1:11" ht="12.75" x14ac:dyDescent="0.2">
      <c r="A1603" s="148" t="s">
        <v>23</v>
      </c>
      <c r="B1603" s="160">
        <v>642</v>
      </c>
      <c r="C1603" s="148" t="s">
        <v>289</v>
      </c>
      <c r="D1603" s="147" t="s">
        <v>150</v>
      </c>
      <c r="E1603" s="204">
        <v>36220</v>
      </c>
      <c r="F1603" s="150">
        <v>914257</v>
      </c>
      <c r="G1603" s="147">
        <v>8186</v>
      </c>
      <c r="H1603" s="147"/>
      <c r="I1603" s="152"/>
      <c r="J1603" s="147"/>
      <c r="K1603" s="139"/>
    </row>
    <row r="1604" spans="1:11" ht="12.75" x14ac:dyDescent="0.2">
      <c r="A1604" s="147"/>
      <c r="B1604" s="147"/>
      <c r="C1604" s="169"/>
      <c r="D1604" s="149" t="s">
        <v>261</v>
      </c>
      <c r="E1604" s="165"/>
      <c r="F1604" s="150"/>
      <c r="G1604" s="147"/>
      <c r="H1604" s="147">
        <v>2281</v>
      </c>
      <c r="I1604" s="152">
        <f>H1604/H1607</f>
        <v>0.45492620662145994</v>
      </c>
      <c r="J1604" s="153" t="s">
        <v>261</v>
      </c>
      <c r="K1604" s="139"/>
    </row>
    <row r="1605" spans="1:11" ht="12.75" x14ac:dyDescent="0.2">
      <c r="A1605" s="147"/>
      <c r="B1605" s="147"/>
      <c r="C1605" s="169"/>
      <c r="D1605" s="149" t="s">
        <v>288</v>
      </c>
      <c r="E1605" s="165"/>
      <c r="F1605" s="150"/>
      <c r="G1605" s="147"/>
      <c r="H1605" s="147">
        <v>2156</v>
      </c>
      <c r="I1605" s="152">
        <f>H1605/H1607</f>
        <v>0.42999601116872754</v>
      </c>
      <c r="J1605" s="153" t="s">
        <v>288</v>
      </c>
      <c r="K1605" s="139"/>
    </row>
    <row r="1606" spans="1:11" ht="12.75" x14ac:dyDescent="0.2">
      <c r="A1606" s="147"/>
      <c r="B1606" s="147"/>
      <c r="C1606" s="169"/>
      <c r="D1606" s="149" t="s">
        <v>285</v>
      </c>
      <c r="E1606" s="165"/>
      <c r="F1606" s="150"/>
      <c r="G1606" s="147"/>
      <c r="H1606" s="147">
        <v>577</v>
      </c>
      <c r="I1606" s="152">
        <f>H1606/H1607</f>
        <v>0.11507778220981252</v>
      </c>
      <c r="J1606" s="153"/>
      <c r="K1606" s="139"/>
    </row>
    <row r="1607" spans="1:11" ht="12.75" x14ac:dyDescent="0.2">
      <c r="A1607" s="147"/>
      <c r="B1607" s="147"/>
      <c r="C1607" s="169"/>
      <c r="D1607" s="148" t="s">
        <v>33</v>
      </c>
      <c r="E1607" s="165"/>
      <c r="F1607" s="150"/>
      <c r="G1607" s="147"/>
      <c r="H1607" s="155">
        <f>SUM(H1604:H1606)</f>
        <v>5014</v>
      </c>
      <c r="I1607" s="156">
        <f>SUM(I1604:I1606)</f>
        <v>1</v>
      </c>
      <c r="J1607" s="147"/>
      <c r="K1607" s="139"/>
    </row>
    <row r="1608" spans="1:11" ht="12.75" x14ac:dyDescent="0.2">
      <c r="A1608" s="147"/>
      <c r="B1608" s="147"/>
      <c r="C1608" s="169"/>
      <c r="D1608" s="148"/>
      <c r="E1608" s="165"/>
      <c r="F1608" s="150"/>
      <c r="G1608" s="147"/>
      <c r="H1608" s="147"/>
      <c r="I1608" s="152"/>
      <c r="J1608" s="147"/>
      <c r="K1608" s="139"/>
    </row>
    <row r="1609" spans="1:11" ht="12.75" x14ac:dyDescent="0.2">
      <c r="A1609" s="148" t="s">
        <v>23</v>
      </c>
      <c r="B1609" s="160">
        <v>635</v>
      </c>
      <c r="C1609" s="148" t="s">
        <v>289</v>
      </c>
      <c r="D1609" s="147" t="s">
        <v>416</v>
      </c>
      <c r="E1609" s="204">
        <v>36770</v>
      </c>
      <c r="F1609" s="150">
        <v>15225565</v>
      </c>
      <c r="G1609" s="147">
        <v>92500</v>
      </c>
      <c r="H1609" s="147"/>
      <c r="I1609" s="152"/>
      <c r="J1609" s="147"/>
      <c r="K1609" s="139"/>
    </row>
    <row r="1610" spans="1:11" ht="12.75" x14ac:dyDescent="0.2">
      <c r="A1610" s="147"/>
      <c r="B1610" s="147"/>
      <c r="C1610" s="169"/>
      <c r="D1610" s="149" t="s">
        <v>261</v>
      </c>
      <c r="E1610" s="165"/>
      <c r="F1610" s="150"/>
      <c r="G1610" s="147"/>
      <c r="H1610" s="147">
        <v>6331</v>
      </c>
      <c r="I1610" s="152">
        <f>H1610/H1615</f>
        <v>0.10269261962692619</v>
      </c>
      <c r="J1610" s="153"/>
      <c r="K1610" s="139"/>
    </row>
    <row r="1611" spans="1:11" ht="12.75" x14ac:dyDescent="0.2">
      <c r="A1611" s="147"/>
      <c r="B1611" s="147"/>
      <c r="C1611" s="169"/>
      <c r="D1611" s="149" t="s">
        <v>290</v>
      </c>
      <c r="E1611" s="165"/>
      <c r="F1611" s="150"/>
      <c r="G1611" s="147"/>
      <c r="H1611" s="147">
        <v>12900</v>
      </c>
      <c r="I1611" s="152">
        <f>H1611/H1615</f>
        <v>0.20924574209245742</v>
      </c>
      <c r="J1611" s="153"/>
      <c r="K1611" s="139"/>
    </row>
    <row r="1612" spans="1:11" ht="12.75" x14ac:dyDescent="0.2">
      <c r="A1612" s="147"/>
      <c r="B1612" s="147"/>
      <c r="C1612" s="169"/>
      <c r="D1612" s="149" t="s">
        <v>291</v>
      </c>
      <c r="E1612" s="165"/>
      <c r="F1612" s="150"/>
      <c r="G1612" s="147"/>
      <c r="H1612" s="147">
        <v>30000</v>
      </c>
      <c r="I1612" s="152">
        <f>H1612/H1615</f>
        <v>0.48661800486618007</v>
      </c>
      <c r="J1612" s="153" t="s">
        <v>291</v>
      </c>
      <c r="K1612" s="139"/>
    </row>
    <row r="1613" spans="1:11" ht="12.75" x14ac:dyDescent="0.2">
      <c r="A1613" s="147"/>
      <c r="B1613" s="147"/>
      <c r="C1613" s="169"/>
      <c r="D1613" s="149" t="s">
        <v>288</v>
      </c>
      <c r="E1613" s="165"/>
      <c r="F1613" s="150"/>
      <c r="G1613" s="147"/>
      <c r="H1613" s="147">
        <v>11715</v>
      </c>
      <c r="I1613" s="152">
        <f>H1613/H1615</f>
        <v>0.19002433090024332</v>
      </c>
      <c r="J1613" s="153"/>
      <c r="K1613" s="139"/>
    </row>
    <row r="1614" spans="1:11" ht="12.75" x14ac:dyDescent="0.2">
      <c r="A1614" s="147"/>
      <c r="B1614" s="147"/>
      <c r="C1614" s="169"/>
      <c r="D1614" s="149" t="s">
        <v>285</v>
      </c>
      <c r="E1614" s="165"/>
      <c r="F1614" s="150"/>
      <c r="G1614" s="147"/>
      <c r="H1614" s="147">
        <v>704</v>
      </c>
      <c r="I1614" s="152">
        <f>H1614/H1615</f>
        <v>1.1419302514193026E-2</v>
      </c>
      <c r="J1614" s="153"/>
      <c r="K1614" s="139"/>
    </row>
    <row r="1615" spans="1:11" ht="12.75" x14ac:dyDescent="0.2">
      <c r="A1615" s="147"/>
      <c r="B1615" s="147"/>
      <c r="C1615" s="169"/>
      <c r="D1615" s="148" t="s">
        <v>33</v>
      </c>
      <c r="E1615" s="165"/>
      <c r="F1615" s="150"/>
      <c r="G1615" s="147"/>
      <c r="H1615" s="155">
        <f>SUM(H1610:H1614)</f>
        <v>61650</v>
      </c>
      <c r="I1615" s="156">
        <f>SUM(I1610:I1614)</f>
        <v>1</v>
      </c>
      <c r="J1615" s="147"/>
      <c r="K1615" s="139"/>
    </row>
    <row r="1616" spans="1:11" ht="12.75" x14ac:dyDescent="0.2">
      <c r="A1616" s="147"/>
      <c r="B1616" s="147"/>
      <c r="C1616" s="169"/>
      <c r="D1616" s="148"/>
      <c r="E1616" s="165"/>
      <c r="F1616" s="150"/>
      <c r="G1616" s="147"/>
      <c r="H1616" s="147"/>
      <c r="I1616" s="152"/>
      <c r="J1616" s="147"/>
      <c r="K1616" s="139"/>
    </row>
    <row r="1617" spans="1:11" ht="12.75" x14ac:dyDescent="0.2">
      <c r="A1617" s="147"/>
      <c r="B1617" s="147"/>
      <c r="C1617" s="169"/>
      <c r="D1617" s="148"/>
      <c r="E1617" s="165"/>
      <c r="F1617" s="150"/>
      <c r="G1617" s="147"/>
      <c r="H1617" s="147"/>
      <c r="I1617" s="152"/>
      <c r="J1617" s="147"/>
      <c r="K1617" s="139"/>
    </row>
    <row r="1618" spans="1:11" ht="12.75" x14ac:dyDescent="0.2">
      <c r="A1618" s="148" t="s">
        <v>23</v>
      </c>
      <c r="B1618" s="160">
        <v>650</v>
      </c>
      <c r="C1618" s="148" t="s">
        <v>289</v>
      </c>
      <c r="D1618" s="147" t="s">
        <v>417</v>
      </c>
      <c r="E1618" s="204">
        <v>36557</v>
      </c>
      <c r="F1618" s="150">
        <v>6526325</v>
      </c>
      <c r="G1618" s="147">
        <v>59088</v>
      </c>
      <c r="H1618" s="147"/>
      <c r="I1618" s="152"/>
      <c r="J1618" s="147"/>
      <c r="K1618" s="139"/>
    </row>
    <row r="1619" spans="1:11" ht="12.75" x14ac:dyDescent="0.2">
      <c r="A1619" s="147"/>
      <c r="B1619" s="147"/>
      <c r="C1619" s="169"/>
      <c r="D1619" s="149" t="s">
        <v>261</v>
      </c>
      <c r="E1619" s="165"/>
      <c r="F1619" s="150"/>
      <c r="G1619" s="147"/>
      <c r="H1619" s="147">
        <v>4068</v>
      </c>
      <c r="I1619" s="152">
        <f>H1619/H1625</f>
        <v>0.10619469026548672</v>
      </c>
      <c r="J1619" s="153"/>
      <c r="K1619" s="139"/>
    </row>
    <row r="1620" spans="1:11" ht="12.75" x14ac:dyDescent="0.2">
      <c r="A1620" s="147"/>
      <c r="B1620" s="147"/>
      <c r="C1620" s="169"/>
      <c r="D1620" s="149" t="s">
        <v>262</v>
      </c>
      <c r="E1620" s="165"/>
      <c r="F1620" s="150"/>
      <c r="G1620" s="147"/>
      <c r="H1620" s="147">
        <v>1958</v>
      </c>
      <c r="I1620" s="152">
        <f>H1620/H1625</f>
        <v>5.1113373534863081E-2</v>
      </c>
      <c r="J1620" s="153"/>
      <c r="K1620" s="139"/>
    </row>
    <row r="1621" spans="1:11" ht="12.75" x14ac:dyDescent="0.2">
      <c r="A1621" s="147"/>
      <c r="B1621" s="147"/>
      <c r="C1621" s="169"/>
      <c r="D1621" s="149" t="s">
        <v>314</v>
      </c>
      <c r="E1621" s="165"/>
      <c r="F1621" s="150"/>
      <c r="G1621" s="147"/>
      <c r="H1621" s="147">
        <v>16872</v>
      </c>
      <c r="I1621" s="152">
        <f>H1621/H1625</f>
        <v>0.44044169472942279</v>
      </c>
      <c r="J1621" s="153" t="s">
        <v>314</v>
      </c>
      <c r="K1621" s="139"/>
    </row>
    <row r="1622" spans="1:11" ht="12.75" x14ac:dyDescent="0.2">
      <c r="A1622" s="147"/>
      <c r="B1622" s="147"/>
      <c r="C1622" s="169"/>
      <c r="D1622" s="149" t="s">
        <v>288</v>
      </c>
      <c r="E1622" s="165"/>
      <c r="F1622" s="150"/>
      <c r="G1622" s="147"/>
      <c r="H1622" s="147">
        <v>10496</v>
      </c>
      <c r="I1622" s="152">
        <f>H1622/H1625</f>
        <v>0.2739969196230454</v>
      </c>
      <c r="J1622" s="153"/>
      <c r="K1622" s="139"/>
    </row>
    <row r="1623" spans="1:11" ht="12.75" x14ac:dyDescent="0.2">
      <c r="A1623" s="147"/>
      <c r="B1623" s="147"/>
      <c r="C1623" s="169"/>
      <c r="D1623" s="149" t="s">
        <v>292</v>
      </c>
      <c r="E1623" s="165"/>
      <c r="F1623" s="150"/>
      <c r="G1623" s="147"/>
      <c r="H1623" s="147">
        <v>200</v>
      </c>
      <c r="I1623" s="152">
        <f>H1623/H1625</f>
        <v>5.220977889158639E-3</v>
      </c>
      <c r="J1623" s="153"/>
      <c r="K1623" s="139"/>
    </row>
    <row r="1624" spans="1:11" ht="12.75" x14ac:dyDescent="0.2">
      <c r="A1624" s="147"/>
      <c r="B1624" s="147"/>
      <c r="C1624" s="169"/>
      <c r="D1624" s="149" t="s">
        <v>285</v>
      </c>
      <c r="E1624" s="165"/>
      <c r="F1624" s="150"/>
      <c r="G1624" s="147"/>
      <c r="H1624" s="147">
        <v>4713</v>
      </c>
      <c r="I1624" s="152">
        <f>H1624/H1625</f>
        <v>0.12303234395802334</v>
      </c>
      <c r="J1624" s="153"/>
      <c r="K1624" s="139"/>
    </row>
    <row r="1625" spans="1:11" ht="12.75" x14ac:dyDescent="0.2">
      <c r="A1625" s="147"/>
      <c r="B1625" s="147"/>
      <c r="C1625" s="169"/>
      <c r="D1625" s="148" t="s">
        <v>33</v>
      </c>
      <c r="E1625" s="165"/>
      <c r="F1625" s="150"/>
      <c r="G1625" s="147"/>
      <c r="H1625" s="155">
        <f>SUM(H1619:H1624)</f>
        <v>38307</v>
      </c>
      <c r="I1625" s="156">
        <f>SUM(I1619:I1624)</f>
        <v>1</v>
      </c>
      <c r="J1625" s="147"/>
      <c r="K1625" s="139"/>
    </row>
    <row r="1626" spans="1:11" ht="12.75" x14ac:dyDescent="0.2">
      <c r="A1626" s="147"/>
      <c r="B1626" s="147"/>
      <c r="C1626" s="169"/>
      <c r="D1626" s="148"/>
      <c r="E1626" s="165"/>
      <c r="F1626" s="150"/>
      <c r="G1626" s="147"/>
      <c r="H1626" s="147"/>
      <c r="I1626" s="147"/>
      <c r="J1626" s="147"/>
      <c r="K1626" s="139"/>
    </row>
    <row r="1627" spans="1:11" ht="12.75" x14ac:dyDescent="0.2">
      <c r="A1627" s="148" t="s">
        <v>23</v>
      </c>
      <c r="B1627" s="160" t="s">
        <v>449</v>
      </c>
      <c r="C1627" s="148" t="s">
        <v>289</v>
      </c>
      <c r="D1627" s="147" t="s">
        <v>450</v>
      </c>
      <c r="E1627" s="204">
        <v>37088</v>
      </c>
      <c r="F1627" s="150">
        <v>2828652</v>
      </c>
      <c r="G1627" s="147">
        <v>41971</v>
      </c>
      <c r="H1627" s="147"/>
      <c r="I1627" s="152"/>
      <c r="J1627" s="147"/>
      <c r="K1627" s="139"/>
    </row>
    <row r="1628" spans="1:11" ht="12.75" x14ac:dyDescent="0.2">
      <c r="A1628" s="147"/>
      <c r="B1628" s="147"/>
      <c r="C1628" s="169"/>
      <c r="D1628" s="149" t="s">
        <v>288</v>
      </c>
      <c r="E1628" s="165"/>
      <c r="F1628" s="150"/>
      <c r="G1628" s="147"/>
      <c r="H1628" s="147">
        <v>10441</v>
      </c>
      <c r="I1628" s="152">
        <f>H1628/H1631</f>
        <v>0.26163985365609183</v>
      </c>
      <c r="J1628" s="153"/>
      <c r="K1628" s="139"/>
    </row>
    <row r="1629" spans="1:11" ht="12.75" x14ac:dyDescent="0.2">
      <c r="A1629" s="147"/>
      <c r="B1629" s="147"/>
      <c r="C1629" s="169"/>
      <c r="D1629" s="149" t="s">
        <v>292</v>
      </c>
      <c r="E1629" s="165"/>
      <c r="F1629" s="150"/>
      <c r="G1629" s="147"/>
      <c r="H1629" s="147">
        <v>16626</v>
      </c>
      <c r="I1629" s="152">
        <f>H1629/H1631</f>
        <v>0.41662907833408508</v>
      </c>
      <c r="J1629" s="153" t="s">
        <v>292</v>
      </c>
      <c r="K1629" s="139"/>
    </row>
    <row r="1630" spans="1:11" ht="12.75" x14ac:dyDescent="0.2">
      <c r="A1630" s="147"/>
      <c r="B1630" s="147"/>
      <c r="C1630" s="169"/>
      <c r="D1630" s="149" t="s">
        <v>285</v>
      </c>
      <c r="E1630" s="165"/>
      <c r="F1630" s="150"/>
      <c r="G1630" s="147"/>
      <c r="H1630" s="147">
        <v>12839</v>
      </c>
      <c r="I1630" s="152">
        <f>H1630/H1631</f>
        <v>0.3217310680098231</v>
      </c>
      <c r="J1630" s="153"/>
      <c r="K1630" s="139"/>
    </row>
    <row r="1631" spans="1:11" ht="12.75" x14ac:dyDescent="0.2">
      <c r="A1631" s="147"/>
      <c r="B1631" s="147"/>
      <c r="C1631" s="169"/>
      <c r="D1631" s="148" t="s">
        <v>33</v>
      </c>
      <c r="E1631" s="165"/>
      <c r="F1631" s="150"/>
      <c r="G1631" s="147"/>
      <c r="H1631" s="155">
        <f>SUM(H1628:H1630)</f>
        <v>39906</v>
      </c>
      <c r="I1631" s="156">
        <f>SUM(I1628:I1630)</f>
        <v>1</v>
      </c>
      <c r="J1631" s="147"/>
      <c r="K1631" s="139"/>
    </row>
    <row r="1632" spans="1:11" ht="12.75" x14ac:dyDescent="0.2">
      <c r="A1632" s="147"/>
      <c r="B1632" s="147"/>
      <c r="C1632" s="169"/>
      <c r="D1632" s="148"/>
      <c r="E1632" s="165"/>
      <c r="F1632" s="150"/>
      <c r="G1632" s="147"/>
      <c r="H1632" s="147"/>
      <c r="I1632" s="147"/>
      <c r="J1632" s="147"/>
      <c r="K1632" s="139"/>
    </row>
    <row r="1633" spans="1:11" ht="12.75" x14ac:dyDescent="0.2">
      <c r="A1633" s="148" t="s">
        <v>23</v>
      </c>
      <c r="B1633" s="160">
        <v>638</v>
      </c>
      <c r="C1633" s="148" t="s">
        <v>289</v>
      </c>
      <c r="D1633" s="147" t="s">
        <v>451</v>
      </c>
      <c r="E1633" s="204">
        <v>36923</v>
      </c>
      <c r="F1633" s="150">
        <v>8035608</v>
      </c>
      <c r="G1633" s="147">
        <v>66930</v>
      </c>
      <c r="H1633" s="147"/>
      <c r="I1633" s="152"/>
      <c r="J1633" s="147"/>
      <c r="K1633" s="139"/>
    </row>
    <row r="1634" spans="1:11" ht="12.75" x14ac:dyDescent="0.2">
      <c r="A1634" s="147"/>
      <c r="B1634" s="147"/>
      <c r="C1634" s="169"/>
      <c r="D1634" s="149" t="s">
        <v>261</v>
      </c>
      <c r="E1634" s="165"/>
      <c r="F1634" s="150"/>
      <c r="G1634" s="147"/>
      <c r="H1634" s="147">
        <v>3522</v>
      </c>
      <c r="I1634" s="152">
        <f>H1634/H1639</f>
        <v>8.8773504058073299E-2</v>
      </c>
      <c r="J1634" s="153"/>
      <c r="K1634" s="139"/>
    </row>
    <row r="1635" spans="1:11" ht="12.75" x14ac:dyDescent="0.2">
      <c r="A1635" s="147"/>
      <c r="B1635" s="147"/>
      <c r="C1635" s="169"/>
      <c r="D1635" s="149" t="s">
        <v>290</v>
      </c>
      <c r="E1635" s="165"/>
      <c r="F1635" s="150"/>
      <c r="G1635" s="147"/>
      <c r="H1635" s="147">
        <v>7742</v>
      </c>
      <c r="I1635" s="152">
        <f>H1635/H1639</f>
        <v>0.19514039421283461</v>
      </c>
      <c r="J1635" s="153"/>
      <c r="K1635" s="139"/>
    </row>
    <row r="1636" spans="1:11" ht="12.75" x14ac:dyDescent="0.2">
      <c r="A1636" s="147"/>
      <c r="B1636" s="147"/>
      <c r="C1636" s="169"/>
      <c r="D1636" s="149" t="s">
        <v>291</v>
      </c>
      <c r="E1636" s="165"/>
      <c r="F1636" s="150"/>
      <c r="G1636" s="147"/>
      <c r="H1636" s="147">
        <v>15563</v>
      </c>
      <c r="I1636" s="152">
        <f>H1636/H1639</f>
        <v>0.39227201693804509</v>
      </c>
      <c r="J1636" s="153" t="s">
        <v>291</v>
      </c>
      <c r="K1636" s="139"/>
    </row>
    <row r="1637" spans="1:11" ht="12.75" x14ac:dyDescent="0.2">
      <c r="A1637" s="147"/>
      <c r="B1637" s="147"/>
      <c r="C1637" s="169"/>
      <c r="D1637" s="149" t="s">
        <v>288</v>
      </c>
      <c r="E1637" s="165"/>
      <c r="F1637" s="150"/>
      <c r="G1637" s="147"/>
      <c r="H1637" s="147">
        <v>8710</v>
      </c>
      <c r="I1637" s="152">
        <f>H1637/H1639</f>
        <v>0.21953924484549076</v>
      </c>
      <c r="J1637" s="153"/>
      <c r="K1637" s="139"/>
    </row>
    <row r="1638" spans="1:11" ht="12.75" x14ac:dyDescent="0.2">
      <c r="A1638" s="147"/>
      <c r="B1638" s="147"/>
      <c r="C1638" s="169"/>
      <c r="D1638" s="149" t="s">
        <v>292</v>
      </c>
      <c r="E1638" s="165"/>
      <c r="F1638" s="150"/>
      <c r="G1638" s="147"/>
      <c r="H1638" s="147">
        <v>4137</v>
      </c>
      <c r="I1638" s="152">
        <f>H1638/H1639</f>
        <v>0.10427483994555628</v>
      </c>
      <c r="J1638" s="153"/>
      <c r="K1638" s="139"/>
    </row>
    <row r="1639" spans="1:11" ht="12.75" x14ac:dyDescent="0.2">
      <c r="A1639" s="147"/>
      <c r="B1639" s="147"/>
      <c r="C1639" s="169"/>
      <c r="D1639" s="148" t="s">
        <v>33</v>
      </c>
      <c r="E1639" s="165"/>
      <c r="F1639" s="150"/>
      <c r="G1639" s="147"/>
      <c r="H1639" s="155">
        <f>SUM(H1634:H1638)</f>
        <v>39674</v>
      </c>
      <c r="I1639" s="156">
        <f>SUM(I1634:I1638)</f>
        <v>1</v>
      </c>
      <c r="J1639" s="147"/>
      <c r="K1639" s="139"/>
    </row>
    <row r="1640" spans="1:11" ht="12.75" x14ac:dyDescent="0.2">
      <c r="A1640" s="147"/>
      <c r="B1640" s="147"/>
      <c r="C1640" s="169"/>
      <c r="D1640" s="148"/>
      <c r="E1640" s="165"/>
      <c r="F1640" s="150"/>
      <c r="G1640" s="147"/>
      <c r="H1640" s="147"/>
      <c r="I1640" s="152"/>
      <c r="J1640" s="147"/>
      <c r="K1640" s="139"/>
    </row>
    <row r="1641" spans="1:11" ht="12.75" x14ac:dyDescent="0.2">
      <c r="A1641" s="148" t="s">
        <v>23</v>
      </c>
      <c r="B1641" s="160">
        <v>691</v>
      </c>
      <c r="C1641" s="148" t="s">
        <v>289</v>
      </c>
      <c r="D1641" s="147" t="s">
        <v>452</v>
      </c>
      <c r="E1641" s="204">
        <v>37285</v>
      </c>
      <c r="F1641" s="150">
        <v>1597756</v>
      </c>
      <c r="G1641" s="147">
        <v>10030</v>
      </c>
      <c r="H1641" s="147"/>
      <c r="I1641" s="152"/>
      <c r="J1641" s="147"/>
      <c r="K1641" s="139"/>
    </row>
    <row r="1642" spans="1:11" ht="12.75" x14ac:dyDescent="0.2">
      <c r="A1642" s="147"/>
      <c r="B1642" s="147"/>
      <c r="C1642" s="169"/>
      <c r="D1642" s="149" t="s">
        <v>261</v>
      </c>
      <c r="E1642" s="165"/>
      <c r="F1642" s="150"/>
      <c r="G1642" s="147"/>
      <c r="H1642" s="147">
        <v>1420</v>
      </c>
      <c r="I1642" s="152">
        <f t="shared" ref="I1642:I1647" si="40">H1642/H$1648</f>
        <v>0.15958642391548664</v>
      </c>
      <c r="J1642" s="153"/>
      <c r="K1642" s="139"/>
    </row>
    <row r="1643" spans="1:11" ht="12.75" x14ac:dyDescent="0.2">
      <c r="A1643" s="147"/>
      <c r="B1643" s="147"/>
      <c r="C1643" s="169"/>
      <c r="D1643" s="149" t="s">
        <v>290</v>
      </c>
      <c r="E1643" s="165"/>
      <c r="F1643" s="150"/>
      <c r="G1643" s="147"/>
      <c r="H1643" s="147">
        <v>600</v>
      </c>
      <c r="I1643" s="152">
        <f t="shared" si="40"/>
        <v>6.7430883344571813E-2</v>
      </c>
      <c r="J1643" s="153"/>
      <c r="K1643" s="139"/>
    </row>
    <row r="1644" spans="1:11" ht="12.75" x14ac:dyDescent="0.2">
      <c r="A1644" s="147"/>
      <c r="B1644" s="147"/>
      <c r="C1644" s="169"/>
      <c r="D1644" s="149" t="s">
        <v>262</v>
      </c>
      <c r="E1644" s="165"/>
      <c r="F1644" s="150"/>
      <c r="G1644" s="147"/>
      <c r="H1644" s="147">
        <v>3542</v>
      </c>
      <c r="I1644" s="152">
        <f t="shared" si="40"/>
        <v>0.39806698134412227</v>
      </c>
      <c r="J1644" s="153" t="s">
        <v>262</v>
      </c>
      <c r="K1644" s="139"/>
    </row>
    <row r="1645" spans="1:11" ht="12.75" x14ac:dyDescent="0.2">
      <c r="A1645" s="147"/>
      <c r="B1645" s="147"/>
      <c r="C1645" s="169"/>
      <c r="D1645" s="149" t="s">
        <v>288</v>
      </c>
      <c r="E1645" s="165"/>
      <c r="F1645" s="150"/>
      <c r="G1645" s="147"/>
      <c r="H1645" s="147">
        <v>1945</v>
      </c>
      <c r="I1645" s="152">
        <f t="shared" si="40"/>
        <v>0.21858844684198697</v>
      </c>
      <c r="J1645" s="153"/>
      <c r="K1645" s="139"/>
    </row>
    <row r="1646" spans="1:11" ht="12.75" x14ac:dyDescent="0.2">
      <c r="A1646" s="147"/>
      <c r="B1646" s="147"/>
      <c r="C1646" s="169"/>
      <c r="D1646" s="149" t="s">
        <v>292</v>
      </c>
      <c r="E1646" s="165"/>
      <c r="F1646" s="150"/>
      <c r="G1646" s="147"/>
      <c r="H1646" s="147">
        <v>497</v>
      </c>
      <c r="I1646" s="152">
        <f t="shared" si="40"/>
        <v>5.5855248370420323E-2</v>
      </c>
      <c r="J1646" s="153"/>
      <c r="K1646" s="139"/>
    </row>
    <row r="1647" spans="1:11" ht="12.75" x14ac:dyDescent="0.2">
      <c r="A1647" s="147"/>
      <c r="B1647" s="147"/>
      <c r="C1647" s="169"/>
      <c r="D1647" s="149" t="s">
        <v>285</v>
      </c>
      <c r="E1647" s="165"/>
      <c r="F1647" s="150"/>
      <c r="G1647" s="147"/>
      <c r="H1647" s="147">
        <v>894</v>
      </c>
      <c r="I1647" s="152">
        <f t="shared" si="40"/>
        <v>0.10047201618341201</v>
      </c>
      <c r="J1647" s="153"/>
      <c r="K1647" s="139"/>
    </row>
    <row r="1648" spans="1:11" ht="12.75" x14ac:dyDescent="0.2">
      <c r="A1648" s="147"/>
      <c r="B1648" s="147"/>
      <c r="C1648" s="169"/>
      <c r="D1648" s="148" t="s">
        <v>33</v>
      </c>
      <c r="E1648" s="165"/>
      <c r="F1648" s="150"/>
      <c r="G1648" s="147"/>
      <c r="H1648" s="155">
        <f>SUM(H1642:H1647)</f>
        <v>8898</v>
      </c>
      <c r="I1648" s="156">
        <f>SUM(I1642:I1647)</f>
        <v>1</v>
      </c>
      <c r="J1648" s="147"/>
      <c r="K1648" s="139"/>
    </row>
    <row r="1649" spans="1:68" s="10" customFormat="1" ht="12.75" x14ac:dyDescent="0.2">
      <c r="A1649" s="147"/>
      <c r="B1649" s="147"/>
      <c r="C1649" s="169"/>
      <c r="D1649" s="148"/>
      <c r="E1649" s="165"/>
      <c r="F1649" s="150"/>
      <c r="G1649" s="147"/>
      <c r="H1649" s="147"/>
      <c r="I1649" s="152"/>
      <c r="J1649" s="147"/>
      <c r="K1649" s="139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  <c r="AE1649" s="6"/>
      <c r="AF1649" s="6"/>
      <c r="AG1649" s="6"/>
      <c r="AH1649" s="6"/>
      <c r="AI1649" s="6"/>
      <c r="AJ1649" s="6"/>
      <c r="AK1649" s="6"/>
      <c r="AL1649" s="6"/>
      <c r="AM1649" s="6"/>
      <c r="AN1649" s="6"/>
      <c r="AO1649" s="6"/>
      <c r="AP1649" s="6"/>
      <c r="AQ1649" s="6"/>
      <c r="AR1649" s="6"/>
      <c r="AS1649" s="6"/>
      <c r="AT1649" s="6"/>
      <c r="AU1649" s="6"/>
      <c r="AV1649" s="6"/>
      <c r="AW1649" s="6"/>
      <c r="AX1649" s="6"/>
      <c r="AY1649" s="6"/>
      <c r="AZ1649" s="6"/>
      <c r="BA1649" s="6"/>
      <c r="BB1649" s="6"/>
      <c r="BC1649" s="6"/>
      <c r="BD1649" s="6"/>
      <c r="BE1649" s="6"/>
      <c r="BF1649" s="6"/>
      <c r="BG1649" s="6"/>
      <c r="BH1649" s="6"/>
      <c r="BI1649" s="6"/>
      <c r="BJ1649" s="6"/>
      <c r="BK1649" s="6"/>
      <c r="BL1649" s="6"/>
      <c r="BM1649" s="6"/>
      <c r="BN1649" s="6"/>
      <c r="BO1649" s="6"/>
      <c r="BP1649" s="6"/>
    </row>
    <row r="1650" spans="1:68" s="10" customFormat="1" ht="12.75" x14ac:dyDescent="0.2">
      <c r="A1650" s="148" t="s">
        <v>23</v>
      </c>
      <c r="B1650" s="160">
        <v>663</v>
      </c>
      <c r="C1650" s="148" t="s">
        <v>289</v>
      </c>
      <c r="D1650" s="147" t="s">
        <v>459</v>
      </c>
      <c r="E1650" s="204">
        <v>37491</v>
      </c>
      <c r="F1650" s="150">
        <v>12308066</v>
      </c>
      <c r="G1650" s="147">
        <v>97128</v>
      </c>
      <c r="H1650" s="147"/>
      <c r="I1650" s="152"/>
      <c r="J1650" s="147"/>
      <c r="K1650" s="139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  <c r="AE1650" s="6"/>
      <c r="AF1650" s="6"/>
      <c r="AG1650" s="6"/>
      <c r="AH1650" s="6"/>
      <c r="AI1650" s="6"/>
      <c r="AJ1650" s="6"/>
      <c r="AK1650" s="6"/>
      <c r="AL1650" s="6"/>
      <c r="AM1650" s="6"/>
      <c r="AN1650" s="6"/>
      <c r="AO1650" s="6"/>
      <c r="AP1650" s="6"/>
      <c r="AQ1650" s="6"/>
      <c r="AR1650" s="6"/>
      <c r="AS1650" s="6"/>
      <c r="AT1650" s="6"/>
      <c r="AU1650" s="6"/>
      <c r="AV1650" s="6"/>
      <c r="AW1650" s="6"/>
      <c r="AX1650" s="6"/>
      <c r="AY1650" s="6"/>
      <c r="AZ1650" s="6"/>
      <c r="BA1650" s="6"/>
      <c r="BB1650" s="6"/>
      <c r="BC1650" s="6"/>
      <c r="BD1650" s="6"/>
      <c r="BE1650" s="6"/>
      <c r="BF1650" s="6"/>
      <c r="BG1650" s="6"/>
      <c r="BH1650" s="6"/>
      <c r="BI1650" s="6"/>
      <c r="BJ1650" s="6"/>
      <c r="BK1650" s="6"/>
      <c r="BL1650" s="6"/>
      <c r="BM1650" s="6"/>
      <c r="BN1650" s="6"/>
      <c r="BO1650" s="6"/>
      <c r="BP1650" s="6"/>
    </row>
    <row r="1651" spans="1:68" ht="12.75" x14ac:dyDescent="0.2">
      <c r="A1651" s="147"/>
      <c r="B1651" s="147"/>
      <c r="C1651" s="169"/>
      <c r="D1651" s="149" t="s">
        <v>284</v>
      </c>
      <c r="E1651" s="165"/>
      <c r="F1651" s="150"/>
      <c r="G1651" s="147"/>
      <c r="H1651" s="147">
        <v>743</v>
      </c>
      <c r="I1651" s="152">
        <f>H1651/$H$1656</f>
        <v>1.1459859643710959E-2</v>
      </c>
      <c r="J1651" s="153"/>
      <c r="K1651" s="139"/>
    </row>
    <row r="1652" spans="1:68" ht="12.75" x14ac:dyDescent="0.2">
      <c r="A1652" s="147"/>
      <c r="B1652" s="147"/>
      <c r="C1652" s="169"/>
      <c r="D1652" s="149" t="s">
        <v>293</v>
      </c>
      <c r="E1652" s="165"/>
      <c r="F1652" s="150"/>
      <c r="G1652" s="147"/>
      <c r="H1652" s="147">
        <v>4211</v>
      </c>
      <c r="I1652" s="152">
        <f>H1652/$H$1656</f>
        <v>6.4949487159713118E-2</v>
      </c>
      <c r="J1652" s="153"/>
      <c r="K1652" s="139"/>
    </row>
    <row r="1653" spans="1:68" ht="12.75" x14ac:dyDescent="0.2">
      <c r="A1653" s="147"/>
      <c r="B1653" s="147"/>
      <c r="C1653" s="169"/>
      <c r="D1653" s="149" t="s">
        <v>288</v>
      </c>
      <c r="E1653" s="165"/>
      <c r="F1653" s="150"/>
      <c r="G1653" s="147"/>
      <c r="H1653" s="147">
        <v>53287</v>
      </c>
      <c r="I1653" s="152">
        <f>H1653/$H$1656</f>
        <v>0.82188632682964446</v>
      </c>
      <c r="J1653" s="153" t="s">
        <v>288</v>
      </c>
      <c r="K1653" s="139"/>
    </row>
    <row r="1654" spans="1:68" ht="12.75" x14ac:dyDescent="0.2">
      <c r="A1654" s="147"/>
      <c r="B1654" s="147"/>
      <c r="C1654" s="169"/>
      <c r="D1654" s="149" t="s">
        <v>292</v>
      </c>
      <c r="E1654" s="165"/>
      <c r="F1654" s="150"/>
      <c r="G1654" s="147"/>
      <c r="H1654" s="147">
        <v>1425</v>
      </c>
      <c r="I1654" s="152">
        <f>H1654/$H$1656</f>
        <v>2.1978869437803656E-2</v>
      </c>
      <c r="J1654" s="153"/>
      <c r="K1654" s="139"/>
    </row>
    <row r="1655" spans="1:68" ht="12.75" x14ac:dyDescent="0.2">
      <c r="A1655" s="147"/>
      <c r="B1655" s="147"/>
      <c r="C1655" s="169"/>
      <c r="D1655" s="149" t="s">
        <v>285</v>
      </c>
      <c r="E1655" s="165"/>
      <c r="F1655" s="150"/>
      <c r="G1655" s="147"/>
      <c r="H1655" s="147">
        <v>5169</v>
      </c>
      <c r="I1655" s="152">
        <f>H1655/$H$1656</f>
        <v>7.9725456929127789E-2</v>
      </c>
      <c r="J1655" s="153"/>
      <c r="K1655" s="139"/>
    </row>
    <row r="1656" spans="1:68" ht="12.75" x14ac:dyDescent="0.2">
      <c r="A1656" s="147"/>
      <c r="B1656" s="147"/>
      <c r="C1656" s="169"/>
      <c r="D1656" s="148" t="s">
        <v>33</v>
      </c>
      <c r="E1656" s="165"/>
      <c r="F1656" s="150"/>
      <c r="G1656" s="147"/>
      <c r="H1656" s="155">
        <f>SUM(H1651:H1655)</f>
        <v>64835</v>
      </c>
      <c r="I1656" s="156">
        <f>SUM(I1651:I1655)</f>
        <v>1</v>
      </c>
      <c r="J1656" s="147"/>
      <c r="K1656" s="139"/>
    </row>
    <row r="1657" spans="1:68" ht="12.75" x14ac:dyDescent="0.2">
      <c r="A1657" s="147"/>
      <c r="B1657" s="147"/>
      <c r="C1657" s="169"/>
      <c r="D1657" s="148"/>
      <c r="E1657" s="165"/>
      <c r="F1657" s="150"/>
      <c r="G1657" s="147"/>
      <c r="H1657" s="147"/>
      <c r="I1657" s="152"/>
      <c r="J1657" s="147"/>
      <c r="K1657" s="139"/>
    </row>
    <row r="1658" spans="1:68" ht="12.75" x14ac:dyDescent="0.2">
      <c r="A1658" s="148" t="s">
        <v>23</v>
      </c>
      <c r="B1658" s="160">
        <v>638</v>
      </c>
      <c r="C1658" s="148" t="s">
        <v>289</v>
      </c>
      <c r="D1658" s="147" t="s">
        <v>460</v>
      </c>
      <c r="E1658" s="204">
        <v>37539</v>
      </c>
      <c r="F1658" s="150">
        <v>6157989</v>
      </c>
      <c r="G1658" s="147">
        <v>64589</v>
      </c>
      <c r="H1658" s="147"/>
      <c r="I1658" s="152"/>
      <c r="J1658" s="147"/>
      <c r="K1658" s="139"/>
    </row>
    <row r="1659" spans="1:68" ht="12.75" x14ac:dyDescent="0.2">
      <c r="A1659" s="147"/>
      <c r="B1659" s="147"/>
      <c r="C1659" s="169"/>
      <c r="D1659" s="149" t="s">
        <v>261</v>
      </c>
      <c r="E1659" s="165"/>
      <c r="F1659" s="150"/>
      <c r="G1659" s="147"/>
      <c r="H1659" s="147">
        <v>888</v>
      </c>
      <c r="I1659" s="152">
        <f>H1659/$H$1666</f>
        <v>2.358315185637648E-2</v>
      </c>
      <c r="J1659" s="153"/>
      <c r="K1659" s="139"/>
    </row>
    <row r="1660" spans="1:68" s="10" customFormat="1" ht="12.75" x14ac:dyDescent="0.2">
      <c r="A1660" s="147"/>
      <c r="B1660" s="147"/>
      <c r="C1660" s="169"/>
      <c r="D1660" s="149" t="s">
        <v>290</v>
      </c>
      <c r="E1660" s="165"/>
      <c r="F1660" s="150"/>
      <c r="G1660" s="147"/>
      <c r="H1660" s="147">
        <v>398</v>
      </c>
      <c r="I1660" s="152">
        <f t="shared" ref="I1660:I1665" si="41">H1660/$H$1666</f>
        <v>1.0569926169862432E-2</v>
      </c>
      <c r="J1660" s="153"/>
      <c r="K1660" s="139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  <c r="AE1660" s="6"/>
      <c r="AF1660" s="6"/>
      <c r="AG1660" s="6"/>
      <c r="AH1660" s="6"/>
      <c r="AI1660" s="6"/>
      <c r="AJ1660" s="6"/>
      <c r="AK1660" s="6"/>
      <c r="AL1660" s="6"/>
      <c r="AM1660" s="6"/>
      <c r="AN1660" s="6"/>
      <c r="AO1660" s="6"/>
      <c r="AP1660" s="6"/>
      <c r="AQ1660" s="6"/>
      <c r="AR1660" s="6"/>
      <c r="AS1660" s="6"/>
      <c r="AT1660" s="6"/>
      <c r="AU1660" s="6"/>
      <c r="AV1660" s="6"/>
      <c r="AW1660" s="6"/>
      <c r="AX1660" s="6"/>
      <c r="AY1660" s="6"/>
      <c r="AZ1660" s="6"/>
      <c r="BA1660" s="6"/>
      <c r="BB1660" s="6"/>
      <c r="BC1660" s="6"/>
      <c r="BD1660" s="6"/>
      <c r="BE1660" s="6"/>
      <c r="BF1660" s="6"/>
      <c r="BG1660" s="6"/>
      <c r="BH1660" s="6"/>
      <c r="BI1660" s="6"/>
      <c r="BJ1660" s="6"/>
      <c r="BK1660" s="6"/>
      <c r="BL1660" s="6"/>
      <c r="BM1660" s="6"/>
      <c r="BN1660" s="6"/>
      <c r="BO1660" s="6"/>
      <c r="BP1660" s="6"/>
    </row>
    <row r="1661" spans="1:68" s="10" customFormat="1" ht="12.75" x14ac:dyDescent="0.2">
      <c r="A1661" s="147"/>
      <c r="B1661" s="147"/>
      <c r="C1661" s="169"/>
      <c r="D1661" s="149" t="s">
        <v>291</v>
      </c>
      <c r="E1661" s="165"/>
      <c r="F1661" s="150"/>
      <c r="G1661" s="147"/>
      <c r="H1661" s="147">
        <v>12806</v>
      </c>
      <c r="I1661" s="152">
        <f t="shared" si="41"/>
        <v>0.34009666967652841</v>
      </c>
      <c r="J1661" s="153" t="s">
        <v>291</v>
      </c>
      <c r="K1661" s="139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  <c r="AE1661" s="6"/>
      <c r="AF1661" s="6"/>
      <c r="AG1661" s="6"/>
      <c r="AH1661" s="6"/>
      <c r="AI1661" s="6"/>
      <c r="AJ1661" s="6"/>
      <c r="AK1661" s="6"/>
      <c r="AL1661" s="6"/>
      <c r="AM1661" s="6"/>
      <c r="AN1661" s="6"/>
      <c r="AO1661" s="6"/>
      <c r="AP1661" s="6"/>
      <c r="AQ1661" s="6"/>
      <c r="AR1661" s="6"/>
      <c r="AS1661" s="6"/>
      <c r="AT1661" s="6"/>
      <c r="AU1661" s="6"/>
      <c r="AV1661" s="6"/>
      <c r="AW1661" s="6"/>
      <c r="AX1661" s="6"/>
      <c r="AY1661" s="6"/>
      <c r="AZ1661" s="6"/>
      <c r="BA1661" s="6"/>
      <c r="BB1661" s="6"/>
      <c r="BC1661" s="6"/>
      <c r="BD1661" s="6"/>
      <c r="BE1661" s="6"/>
      <c r="BF1661" s="6"/>
      <c r="BG1661" s="6"/>
      <c r="BH1661" s="6"/>
      <c r="BI1661" s="6"/>
      <c r="BJ1661" s="6"/>
      <c r="BK1661" s="6"/>
      <c r="BL1661" s="6"/>
      <c r="BM1661" s="6"/>
      <c r="BN1661" s="6"/>
      <c r="BO1661" s="6"/>
      <c r="BP1661" s="6"/>
    </row>
    <row r="1662" spans="1:68" s="10" customFormat="1" ht="12.75" x14ac:dyDescent="0.2">
      <c r="A1662" s="147"/>
      <c r="B1662" s="147"/>
      <c r="C1662" s="169"/>
      <c r="D1662" s="149" t="s">
        <v>284</v>
      </c>
      <c r="E1662" s="165"/>
      <c r="F1662" s="150"/>
      <c r="G1662" s="147"/>
      <c r="H1662" s="147">
        <v>6562</v>
      </c>
      <c r="I1662" s="152">
        <f t="shared" si="41"/>
        <v>0.1742709937855208</v>
      </c>
      <c r="J1662" s="153"/>
      <c r="K1662" s="139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  <c r="AE1662" s="6"/>
      <c r="AF1662" s="6"/>
      <c r="AG1662" s="6"/>
      <c r="AH1662" s="6"/>
      <c r="AI1662" s="6"/>
      <c r="AJ1662" s="6"/>
      <c r="AK1662" s="6"/>
      <c r="AL1662" s="6"/>
      <c r="AM1662" s="6"/>
      <c r="AN1662" s="6"/>
      <c r="AO1662" s="6"/>
      <c r="AP1662" s="6"/>
      <c r="AQ1662" s="6"/>
      <c r="AR1662" s="6"/>
      <c r="AS1662" s="6"/>
      <c r="AT1662" s="6"/>
      <c r="AU1662" s="6"/>
      <c r="AV1662" s="6"/>
      <c r="AW1662" s="6"/>
      <c r="AX1662" s="6"/>
      <c r="AY1662" s="6"/>
      <c r="AZ1662" s="6"/>
      <c r="BA1662" s="6"/>
      <c r="BB1662" s="6"/>
      <c r="BC1662" s="6"/>
      <c r="BD1662" s="6"/>
      <c r="BE1662" s="6"/>
      <c r="BF1662" s="6"/>
      <c r="BG1662" s="6"/>
      <c r="BH1662" s="6"/>
      <c r="BI1662" s="6"/>
      <c r="BJ1662" s="6"/>
      <c r="BK1662" s="6"/>
      <c r="BL1662" s="6"/>
      <c r="BM1662" s="6"/>
      <c r="BN1662" s="6"/>
      <c r="BO1662" s="6"/>
      <c r="BP1662" s="6"/>
    </row>
    <row r="1663" spans="1:68" s="10" customFormat="1" ht="12.75" x14ac:dyDescent="0.2">
      <c r="A1663" s="147"/>
      <c r="B1663" s="147"/>
      <c r="C1663" s="169"/>
      <c r="D1663" s="149" t="s">
        <v>242</v>
      </c>
      <c r="E1663" s="165"/>
      <c r="F1663" s="150"/>
      <c r="G1663" s="147"/>
      <c r="H1663" s="147">
        <v>3144</v>
      </c>
      <c r="I1663" s="152">
        <f t="shared" si="41"/>
        <v>8.3497105221224832E-2</v>
      </c>
      <c r="J1663" s="153"/>
      <c r="K1663" s="139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  <c r="AD1663" s="6"/>
      <c r="AE1663" s="6"/>
      <c r="AF1663" s="6"/>
      <c r="AG1663" s="6"/>
      <c r="AH1663" s="6"/>
      <c r="AI1663" s="6"/>
      <c r="AJ1663" s="6"/>
      <c r="AK1663" s="6"/>
      <c r="AL1663" s="6"/>
      <c r="AM1663" s="6"/>
      <c r="AN1663" s="6"/>
      <c r="AO1663" s="6"/>
      <c r="AP1663" s="6"/>
      <c r="AQ1663" s="6"/>
      <c r="AR1663" s="6"/>
      <c r="AS1663" s="6"/>
      <c r="AT1663" s="6"/>
      <c r="AU1663" s="6"/>
      <c r="AV1663" s="6"/>
      <c r="AW1663" s="6"/>
      <c r="AX1663" s="6"/>
      <c r="AY1663" s="6"/>
      <c r="AZ1663" s="6"/>
      <c r="BA1663" s="6"/>
      <c r="BB1663" s="6"/>
      <c r="BC1663" s="6"/>
      <c r="BD1663" s="6"/>
      <c r="BE1663" s="6"/>
      <c r="BF1663" s="6"/>
      <c r="BG1663" s="6"/>
      <c r="BH1663" s="6"/>
      <c r="BI1663" s="6"/>
      <c r="BJ1663" s="6"/>
      <c r="BK1663" s="6"/>
      <c r="BL1663" s="6"/>
      <c r="BM1663" s="6"/>
      <c r="BN1663" s="6"/>
      <c r="BO1663" s="6"/>
      <c r="BP1663" s="6"/>
    </row>
    <row r="1664" spans="1:68" s="10" customFormat="1" ht="12.75" x14ac:dyDescent="0.2">
      <c r="A1664" s="147"/>
      <c r="B1664" s="147"/>
      <c r="C1664" s="169"/>
      <c r="D1664" s="149" t="s">
        <v>288</v>
      </c>
      <c r="E1664" s="165"/>
      <c r="F1664" s="150"/>
      <c r="G1664" s="147"/>
      <c r="H1664" s="147">
        <v>11611</v>
      </c>
      <c r="I1664" s="152">
        <f t="shared" si="41"/>
        <v>0.30836033356349923</v>
      </c>
      <c r="J1664" s="153" t="s">
        <v>288</v>
      </c>
      <c r="K1664" s="139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  <c r="AE1664" s="6"/>
      <c r="AF1664" s="6"/>
      <c r="AG1664" s="6"/>
      <c r="AH1664" s="6"/>
      <c r="AI1664" s="6"/>
      <c r="AJ1664" s="6"/>
      <c r="AK1664" s="6"/>
      <c r="AL1664" s="6"/>
      <c r="AM1664" s="6"/>
      <c r="AN1664" s="6"/>
      <c r="AO1664" s="6"/>
      <c r="AP1664" s="6"/>
      <c r="AQ1664" s="6"/>
      <c r="AR1664" s="6"/>
      <c r="AS1664" s="6"/>
      <c r="AT1664" s="6"/>
      <c r="AU1664" s="6"/>
      <c r="AV1664" s="6"/>
      <c r="AW1664" s="6"/>
      <c r="AX1664" s="6"/>
      <c r="AY1664" s="6"/>
      <c r="AZ1664" s="6"/>
      <c r="BA1664" s="6"/>
      <c r="BB1664" s="6"/>
      <c r="BC1664" s="6"/>
      <c r="BD1664" s="6"/>
      <c r="BE1664" s="6"/>
      <c r="BF1664" s="6"/>
      <c r="BG1664" s="6"/>
      <c r="BH1664" s="6"/>
      <c r="BI1664" s="6"/>
      <c r="BJ1664" s="6"/>
      <c r="BK1664" s="6"/>
      <c r="BL1664" s="6"/>
      <c r="BM1664" s="6"/>
      <c r="BN1664" s="6"/>
      <c r="BO1664" s="6"/>
      <c r="BP1664" s="6"/>
    </row>
    <row r="1665" spans="1:68" s="10" customFormat="1" ht="12.75" x14ac:dyDescent="0.2">
      <c r="A1665" s="147"/>
      <c r="B1665" s="147"/>
      <c r="C1665" s="169"/>
      <c r="D1665" s="149" t="s">
        <v>292</v>
      </c>
      <c r="E1665" s="165"/>
      <c r="F1665" s="150"/>
      <c r="G1665" s="147"/>
      <c r="H1665" s="147">
        <v>2245</v>
      </c>
      <c r="I1665" s="152">
        <f t="shared" si="41"/>
        <v>5.9621819726987837E-2</v>
      </c>
      <c r="J1665" s="153"/>
      <c r="K1665" s="139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  <c r="AE1665" s="6"/>
      <c r="AF1665" s="6"/>
      <c r="AG1665" s="6"/>
      <c r="AH1665" s="6"/>
      <c r="AI1665" s="6"/>
      <c r="AJ1665" s="6"/>
      <c r="AK1665" s="6"/>
      <c r="AL1665" s="6"/>
      <c r="AM1665" s="6"/>
      <c r="AN1665" s="6"/>
      <c r="AO1665" s="6"/>
      <c r="AP1665" s="6"/>
      <c r="AQ1665" s="6"/>
      <c r="AR1665" s="6"/>
      <c r="AS1665" s="6"/>
      <c r="AT1665" s="6"/>
      <c r="AU1665" s="6"/>
      <c r="AV1665" s="6"/>
      <c r="AW1665" s="6"/>
      <c r="AX1665" s="6"/>
      <c r="AY1665" s="6"/>
      <c r="AZ1665" s="6"/>
      <c r="BA1665" s="6"/>
      <c r="BB1665" s="6"/>
      <c r="BC1665" s="6"/>
      <c r="BD1665" s="6"/>
      <c r="BE1665" s="6"/>
      <c r="BF1665" s="6"/>
      <c r="BG1665" s="6"/>
      <c r="BH1665" s="6"/>
      <c r="BI1665" s="6"/>
      <c r="BJ1665" s="6"/>
      <c r="BK1665" s="6"/>
      <c r="BL1665" s="6"/>
      <c r="BM1665" s="6"/>
      <c r="BN1665" s="6"/>
      <c r="BO1665" s="6"/>
      <c r="BP1665" s="6"/>
    </row>
    <row r="1666" spans="1:68" s="10" customFormat="1" ht="12.75" x14ac:dyDescent="0.2">
      <c r="A1666" s="147"/>
      <c r="B1666" s="147"/>
      <c r="C1666" s="169"/>
      <c r="D1666" s="148" t="s">
        <v>33</v>
      </c>
      <c r="E1666" s="165"/>
      <c r="F1666" s="150"/>
      <c r="G1666" s="147"/>
      <c r="H1666" s="155">
        <f>SUM(H1659:H1665)</f>
        <v>37654</v>
      </c>
      <c r="I1666" s="156">
        <f>SUM(I1659:I1665)</f>
        <v>1</v>
      </c>
      <c r="J1666" s="147"/>
      <c r="K1666" s="139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  <c r="AE1666" s="6"/>
      <c r="AF1666" s="6"/>
      <c r="AG1666" s="6"/>
      <c r="AH1666" s="6"/>
      <c r="AI1666" s="6"/>
      <c r="AJ1666" s="6"/>
      <c r="AK1666" s="6"/>
      <c r="AL1666" s="6"/>
      <c r="AM1666" s="6"/>
      <c r="AN1666" s="6"/>
      <c r="AO1666" s="6"/>
      <c r="AP1666" s="6"/>
      <c r="AQ1666" s="6"/>
      <c r="AR1666" s="6"/>
      <c r="AS1666" s="6"/>
      <c r="AT1666" s="6"/>
      <c r="AU1666" s="6"/>
      <c r="AV1666" s="6"/>
      <c r="AW1666" s="6"/>
      <c r="AX1666" s="6"/>
      <c r="AY1666" s="6"/>
      <c r="AZ1666" s="6"/>
      <c r="BA1666" s="6"/>
      <c r="BB1666" s="6"/>
      <c r="BC1666" s="6"/>
      <c r="BD1666" s="6"/>
      <c r="BE1666" s="6"/>
      <c r="BF1666" s="6"/>
      <c r="BG1666" s="6"/>
      <c r="BH1666" s="6"/>
      <c r="BI1666" s="6"/>
      <c r="BJ1666" s="6"/>
      <c r="BK1666" s="6"/>
      <c r="BL1666" s="6"/>
      <c r="BM1666" s="6"/>
      <c r="BN1666" s="6"/>
      <c r="BO1666" s="6"/>
      <c r="BP1666" s="6"/>
    </row>
    <row r="1667" spans="1:68" s="10" customFormat="1" ht="12.75" x14ac:dyDescent="0.2">
      <c r="A1667" s="147"/>
      <c r="B1667" s="147"/>
      <c r="C1667" s="169"/>
      <c r="D1667" s="148"/>
      <c r="E1667" s="165"/>
      <c r="F1667" s="150"/>
      <c r="G1667" s="147"/>
      <c r="H1667" s="147"/>
      <c r="I1667" s="152"/>
      <c r="J1667" s="147"/>
      <c r="K1667" s="139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  <c r="AE1667" s="6"/>
      <c r="AF1667" s="6"/>
      <c r="AG1667" s="6"/>
      <c r="AH1667" s="6"/>
      <c r="AI1667" s="6"/>
      <c r="AJ1667" s="6"/>
      <c r="AK1667" s="6"/>
      <c r="AL1667" s="6"/>
      <c r="AM1667" s="6"/>
      <c r="AN1667" s="6"/>
      <c r="AO1667" s="6"/>
      <c r="AP1667" s="6"/>
      <c r="AQ1667" s="6"/>
      <c r="AR1667" s="6"/>
      <c r="AS1667" s="6"/>
      <c r="AT1667" s="6"/>
      <c r="AU1667" s="6"/>
      <c r="AV1667" s="6"/>
      <c r="AW1667" s="6"/>
      <c r="AX1667" s="6"/>
      <c r="AY1667" s="6"/>
      <c r="AZ1667" s="6"/>
      <c r="BA1667" s="6"/>
      <c r="BB1667" s="6"/>
      <c r="BC1667" s="6"/>
      <c r="BD1667" s="6"/>
      <c r="BE1667" s="6"/>
      <c r="BF1667" s="6"/>
      <c r="BG1667" s="6"/>
      <c r="BH1667" s="6"/>
      <c r="BI1667" s="6"/>
      <c r="BJ1667" s="6"/>
      <c r="BK1667" s="6"/>
      <c r="BL1667" s="6"/>
      <c r="BM1667" s="6"/>
      <c r="BN1667" s="6"/>
      <c r="BO1667" s="6"/>
      <c r="BP1667" s="6"/>
    </row>
    <row r="1668" spans="1:68" s="10" customFormat="1" ht="12.75" x14ac:dyDescent="0.2">
      <c r="A1668" s="148" t="s">
        <v>23</v>
      </c>
      <c r="B1668" s="160">
        <v>609</v>
      </c>
      <c r="C1668" s="148" t="s">
        <v>289</v>
      </c>
      <c r="D1668" s="147" t="s">
        <v>480</v>
      </c>
      <c r="E1668" s="204">
        <v>37715</v>
      </c>
      <c r="F1668" s="150">
        <v>8639781</v>
      </c>
      <c r="G1668" s="147">
        <v>55447</v>
      </c>
      <c r="H1668" s="147"/>
      <c r="I1668" s="152"/>
      <c r="J1668" s="147"/>
      <c r="K1668" s="139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  <c r="AE1668" s="6"/>
      <c r="AF1668" s="6"/>
      <c r="AG1668" s="6"/>
      <c r="AH1668" s="6"/>
      <c r="AI1668" s="6"/>
      <c r="AJ1668" s="6"/>
      <c r="AK1668" s="6"/>
      <c r="AL1668" s="6"/>
      <c r="AM1668" s="6"/>
      <c r="AN1668" s="6"/>
      <c r="AO1668" s="6"/>
      <c r="AP1668" s="6"/>
      <c r="AQ1668" s="6"/>
      <c r="AR1668" s="6"/>
      <c r="AS1668" s="6"/>
      <c r="AT1668" s="6"/>
      <c r="AU1668" s="6"/>
      <c r="AV1668" s="6"/>
      <c r="AW1668" s="6"/>
      <c r="AX1668" s="6"/>
      <c r="AY1668" s="6"/>
      <c r="AZ1668" s="6"/>
      <c r="BA1668" s="6"/>
      <c r="BB1668" s="6"/>
      <c r="BC1668" s="6"/>
      <c r="BD1668" s="6"/>
      <c r="BE1668" s="6"/>
      <c r="BF1668" s="6"/>
      <c r="BG1668" s="6"/>
      <c r="BH1668" s="6"/>
      <c r="BI1668" s="6"/>
      <c r="BJ1668" s="6"/>
      <c r="BK1668" s="6"/>
      <c r="BL1668" s="6"/>
      <c r="BM1668" s="6"/>
      <c r="BN1668" s="6"/>
      <c r="BO1668" s="6"/>
      <c r="BP1668" s="6"/>
    </row>
    <row r="1669" spans="1:68" s="10" customFormat="1" ht="12.75" x14ac:dyDescent="0.2">
      <c r="A1669" s="147"/>
      <c r="B1669" s="147"/>
      <c r="C1669" s="169"/>
      <c r="D1669" s="149" t="s">
        <v>261</v>
      </c>
      <c r="E1669" s="165"/>
      <c r="F1669" s="150"/>
      <c r="G1669" s="147"/>
      <c r="H1669" s="147">
        <v>13022</v>
      </c>
      <c r="I1669" s="152">
        <f>H1669/$H$1677</f>
        <v>0.36789467736467396</v>
      </c>
      <c r="J1669" s="153" t="s">
        <v>261</v>
      </c>
      <c r="K1669" s="139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  <c r="AD1669" s="6"/>
      <c r="AE1669" s="6"/>
      <c r="AF1669" s="6"/>
      <c r="AG1669" s="6"/>
      <c r="AH1669" s="6"/>
      <c r="AI1669" s="6"/>
      <c r="AJ1669" s="6"/>
      <c r="AK1669" s="6"/>
      <c r="AL1669" s="6"/>
      <c r="AM1669" s="6"/>
      <c r="AN1669" s="6"/>
      <c r="AO1669" s="6"/>
      <c r="AP1669" s="6"/>
      <c r="AQ1669" s="6"/>
      <c r="AR1669" s="6"/>
      <c r="AS1669" s="6"/>
      <c r="AT1669" s="6"/>
      <c r="AU1669" s="6"/>
      <c r="AV1669" s="6"/>
      <c r="AW1669" s="6"/>
      <c r="AX1669" s="6"/>
      <c r="AY1669" s="6"/>
      <c r="AZ1669" s="6"/>
      <c r="BA1669" s="6"/>
      <c r="BB1669" s="6"/>
      <c r="BC1669" s="6"/>
      <c r="BD1669" s="6"/>
      <c r="BE1669" s="6"/>
      <c r="BF1669" s="6"/>
      <c r="BG1669" s="6"/>
      <c r="BH1669" s="6"/>
      <c r="BI1669" s="6"/>
      <c r="BJ1669" s="6"/>
      <c r="BK1669" s="6"/>
      <c r="BL1669" s="6"/>
      <c r="BM1669" s="6"/>
      <c r="BN1669" s="6"/>
      <c r="BO1669" s="6"/>
      <c r="BP1669" s="6"/>
    </row>
    <row r="1670" spans="1:68" s="10" customFormat="1" ht="12.75" x14ac:dyDescent="0.2">
      <c r="A1670" s="147"/>
      <c r="B1670" s="147"/>
      <c r="C1670" s="169"/>
      <c r="D1670" s="149" t="s">
        <v>290</v>
      </c>
      <c r="E1670" s="165"/>
      <c r="F1670" s="150"/>
      <c r="G1670" s="147"/>
      <c r="H1670" s="147">
        <v>1774</v>
      </c>
      <c r="I1670" s="152">
        <f t="shared" ref="I1670:I1676" si="42">H1670/$H$1677</f>
        <v>5.011865747542095E-2</v>
      </c>
      <c r="J1670" s="153"/>
      <c r="K1670" s="139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  <c r="AD1670" s="6"/>
      <c r="AE1670" s="6"/>
      <c r="AF1670" s="6"/>
      <c r="AG1670" s="6"/>
      <c r="AH1670" s="6"/>
      <c r="AI1670" s="6"/>
      <c r="AJ1670" s="6"/>
      <c r="AK1670" s="6"/>
      <c r="AL1670" s="6"/>
      <c r="AM1670" s="6"/>
      <c r="AN1670" s="6"/>
      <c r="AO1670" s="6"/>
      <c r="AP1670" s="6"/>
      <c r="AQ1670" s="6"/>
      <c r="AR1670" s="6"/>
      <c r="AS1670" s="6"/>
      <c r="AT1670" s="6"/>
      <c r="AU1670" s="6"/>
      <c r="AV1670" s="6"/>
      <c r="AW1670" s="6"/>
      <c r="AX1670" s="6"/>
      <c r="AY1670" s="6"/>
      <c r="AZ1670" s="6"/>
      <c r="BA1670" s="6"/>
      <c r="BB1670" s="6"/>
      <c r="BC1670" s="6"/>
      <c r="BD1670" s="6"/>
      <c r="BE1670" s="6"/>
      <c r="BF1670" s="6"/>
      <c r="BG1670" s="6"/>
      <c r="BH1670" s="6"/>
      <c r="BI1670" s="6"/>
      <c r="BJ1670" s="6"/>
      <c r="BK1670" s="6"/>
      <c r="BL1670" s="6"/>
      <c r="BM1670" s="6"/>
      <c r="BN1670" s="6"/>
      <c r="BO1670" s="6"/>
      <c r="BP1670" s="6"/>
    </row>
    <row r="1671" spans="1:68" s="10" customFormat="1" ht="12.75" x14ac:dyDescent="0.2">
      <c r="A1671" s="147"/>
      <c r="B1671" s="147"/>
      <c r="C1671" s="169"/>
      <c r="D1671" s="149" t="s">
        <v>284</v>
      </c>
      <c r="E1671" s="165"/>
      <c r="F1671" s="150"/>
      <c r="G1671" s="147"/>
      <c r="H1671" s="147">
        <v>2076</v>
      </c>
      <c r="I1671" s="152">
        <f t="shared" si="42"/>
        <v>5.8650694993784606E-2</v>
      </c>
      <c r="J1671" s="153"/>
      <c r="K1671" s="139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  <c r="AE1671" s="6"/>
      <c r="AF1671" s="6"/>
      <c r="AG1671" s="6"/>
      <c r="AH1671" s="6"/>
      <c r="AI1671" s="6"/>
      <c r="AJ1671" s="6"/>
      <c r="AK1671" s="6"/>
      <c r="AL1671" s="6"/>
      <c r="AM1671" s="6"/>
      <c r="AN1671" s="6"/>
      <c r="AO1671" s="6"/>
      <c r="AP1671" s="6"/>
      <c r="AQ1671" s="6"/>
      <c r="AR1671" s="6"/>
      <c r="AS1671" s="6"/>
      <c r="AT1671" s="6"/>
      <c r="AU1671" s="6"/>
      <c r="AV1671" s="6"/>
      <c r="AW1671" s="6"/>
      <c r="AX1671" s="6"/>
      <c r="AY1671" s="6"/>
      <c r="AZ1671" s="6"/>
      <c r="BA1671" s="6"/>
      <c r="BB1671" s="6"/>
      <c r="BC1671" s="6"/>
      <c r="BD1671" s="6"/>
      <c r="BE1671" s="6"/>
      <c r="BF1671" s="6"/>
      <c r="BG1671" s="6"/>
      <c r="BH1671" s="6"/>
      <c r="BI1671" s="6"/>
      <c r="BJ1671" s="6"/>
      <c r="BK1671" s="6"/>
      <c r="BL1671" s="6"/>
      <c r="BM1671" s="6"/>
      <c r="BN1671" s="6"/>
      <c r="BO1671" s="6"/>
      <c r="BP1671" s="6"/>
    </row>
    <row r="1672" spans="1:68" s="10" customFormat="1" ht="12.75" x14ac:dyDescent="0.2">
      <c r="A1672" s="147"/>
      <c r="B1672" s="147"/>
      <c r="C1672" s="169"/>
      <c r="D1672" s="149" t="s">
        <v>242</v>
      </c>
      <c r="E1672" s="165"/>
      <c r="F1672" s="150"/>
      <c r="G1672" s="147"/>
      <c r="H1672" s="147">
        <v>4657</v>
      </c>
      <c r="I1672" s="152">
        <f t="shared" si="42"/>
        <v>0.13156853881794553</v>
      </c>
      <c r="J1672" s="153"/>
      <c r="K1672" s="139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  <c r="AE1672" s="6"/>
      <c r="AF1672" s="6"/>
      <c r="AG1672" s="6"/>
      <c r="AH1672" s="6"/>
      <c r="AI1672" s="6"/>
      <c r="AJ1672" s="6"/>
      <c r="AK1672" s="6"/>
      <c r="AL1672" s="6"/>
      <c r="AM1672" s="6"/>
      <c r="AN1672" s="6"/>
      <c r="AO1672" s="6"/>
      <c r="AP1672" s="6"/>
      <c r="AQ1672" s="6"/>
      <c r="AR1672" s="6"/>
      <c r="AS1672" s="6"/>
      <c r="AT1672" s="6"/>
      <c r="AU1672" s="6"/>
      <c r="AV1672" s="6"/>
      <c r="AW1672" s="6"/>
      <c r="AX1672" s="6"/>
      <c r="AY1672" s="6"/>
      <c r="AZ1672" s="6"/>
      <c r="BA1672" s="6"/>
      <c r="BB1672" s="6"/>
      <c r="BC1672" s="6"/>
      <c r="BD1672" s="6"/>
      <c r="BE1672" s="6"/>
      <c r="BF1672" s="6"/>
      <c r="BG1672" s="6"/>
      <c r="BH1672" s="6"/>
      <c r="BI1672" s="6"/>
      <c r="BJ1672" s="6"/>
      <c r="BK1672" s="6"/>
      <c r="BL1672" s="6"/>
      <c r="BM1672" s="6"/>
      <c r="BN1672" s="6"/>
      <c r="BO1672" s="6"/>
      <c r="BP1672" s="6"/>
    </row>
    <row r="1673" spans="1:68" s="10" customFormat="1" ht="12.75" x14ac:dyDescent="0.2">
      <c r="A1673" s="147"/>
      <c r="B1673" s="147"/>
      <c r="C1673" s="169"/>
      <c r="D1673" s="149" t="s">
        <v>293</v>
      </c>
      <c r="E1673" s="165"/>
      <c r="F1673" s="150"/>
      <c r="G1673" s="147"/>
      <c r="H1673" s="147">
        <v>2807</v>
      </c>
      <c r="I1673" s="152">
        <f t="shared" si="42"/>
        <v>7.9302746073002597E-2</v>
      </c>
      <c r="J1673" s="153"/>
      <c r="K1673" s="139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  <c r="AE1673" s="6"/>
      <c r="AF1673" s="6"/>
      <c r="AG1673" s="6"/>
      <c r="AH1673" s="6"/>
      <c r="AI1673" s="6"/>
      <c r="AJ1673" s="6"/>
      <c r="AK1673" s="6"/>
      <c r="AL1673" s="6"/>
      <c r="AM1673" s="6"/>
      <c r="AN1673" s="6"/>
      <c r="AO1673" s="6"/>
      <c r="AP1673" s="6"/>
      <c r="AQ1673" s="6"/>
      <c r="AR1673" s="6"/>
      <c r="AS1673" s="6"/>
      <c r="AT1673" s="6"/>
      <c r="AU1673" s="6"/>
      <c r="AV1673" s="6"/>
      <c r="AW1673" s="6"/>
      <c r="AX1673" s="6"/>
      <c r="AY1673" s="6"/>
      <c r="AZ1673" s="6"/>
      <c r="BA1673" s="6"/>
      <c r="BB1673" s="6"/>
      <c r="BC1673" s="6"/>
      <c r="BD1673" s="6"/>
      <c r="BE1673" s="6"/>
      <c r="BF1673" s="6"/>
      <c r="BG1673" s="6"/>
      <c r="BH1673" s="6"/>
      <c r="BI1673" s="6"/>
      <c r="BJ1673" s="6"/>
      <c r="BK1673" s="6"/>
      <c r="BL1673" s="6"/>
      <c r="BM1673" s="6"/>
      <c r="BN1673" s="6"/>
      <c r="BO1673" s="6"/>
      <c r="BP1673" s="6"/>
    </row>
    <row r="1674" spans="1:68" s="10" customFormat="1" ht="12.75" x14ac:dyDescent="0.2">
      <c r="A1674" s="147"/>
      <c r="B1674" s="147"/>
      <c r="C1674" s="169"/>
      <c r="D1674" s="149" t="s">
        <v>288</v>
      </c>
      <c r="E1674" s="165"/>
      <c r="F1674" s="150"/>
      <c r="G1674" s="147"/>
      <c r="H1674" s="147">
        <v>5833</v>
      </c>
      <c r="I1674" s="152">
        <f t="shared" si="42"/>
        <v>0.16479263193581195</v>
      </c>
      <c r="J1674" s="153"/>
      <c r="K1674" s="139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  <c r="AE1674" s="6"/>
      <c r="AF1674" s="6"/>
      <c r="AG1674" s="6"/>
      <c r="AH1674" s="6"/>
      <c r="AI1674" s="6"/>
      <c r="AJ1674" s="6"/>
      <c r="AK1674" s="6"/>
      <c r="AL1674" s="6"/>
      <c r="AM1674" s="6"/>
      <c r="AN1674" s="6"/>
      <c r="AO1674" s="6"/>
      <c r="AP1674" s="6"/>
      <c r="AQ1674" s="6"/>
      <c r="AR1674" s="6"/>
      <c r="AS1674" s="6"/>
      <c r="AT1674" s="6"/>
      <c r="AU1674" s="6"/>
      <c r="AV1674" s="6"/>
      <c r="AW1674" s="6"/>
      <c r="AX1674" s="6"/>
      <c r="AY1674" s="6"/>
      <c r="AZ1674" s="6"/>
      <c r="BA1674" s="6"/>
      <c r="BB1674" s="6"/>
      <c r="BC1674" s="6"/>
      <c r="BD1674" s="6"/>
      <c r="BE1674" s="6"/>
      <c r="BF1674" s="6"/>
      <c r="BG1674" s="6"/>
      <c r="BH1674" s="6"/>
      <c r="BI1674" s="6"/>
      <c r="BJ1674" s="6"/>
      <c r="BK1674" s="6"/>
      <c r="BL1674" s="6"/>
      <c r="BM1674" s="6"/>
      <c r="BN1674" s="6"/>
      <c r="BO1674" s="6"/>
      <c r="BP1674" s="6"/>
    </row>
    <row r="1675" spans="1:68" s="10" customFormat="1" ht="12.75" x14ac:dyDescent="0.2">
      <c r="A1675" s="147"/>
      <c r="B1675" s="147"/>
      <c r="C1675" s="169"/>
      <c r="D1675" s="149" t="s">
        <v>292</v>
      </c>
      <c r="E1675" s="165"/>
      <c r="F1675" s="150"/>
      <c r="G1675" s="147"/>
      <c r="H1675" s="147">
        <v>412</v>
      </c>
      <c r="I1675" s="152">
        <f t="shared" si="42"/>
        <v>1.1639733303198101E-2</v>
      </c>
      <c r="J1675" s="153"/>
      <c r="K1675" s="139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  <c r="AE1675" s="6"/>
      <c r="AF1675" s="6"/>
      <c r="AG1675" s="6"/>
      <c r="AH1675" s="6"/>
      <c r="AI1675" s="6"/>
      <c r="AJ1675" s="6"/>
      <c r="AK1675" s="6"/>
      <c r="AL1675" s="6"/>
      <c r="AM1675" s="6"/>
      <c r="AN1675" s="6"/>
      <c r="AO1675" s="6"/>
      <c r="AP1675" s="6"/>
      <c r="AQ1675" s="6"/>
      <c r="AR1675" s="6"/>
      <c r="AS1675" s="6"/>
      <c r="AT1675" s="6"/>
      <c r="AU1675" s="6"/>
      <c r="AV1675" s="6"/>
      <c r="AW1675" s="6"/>
      <c r="AX1675" s="6"/>
      <c r="AY1675" s="6"/>
      <c r="AZ1675" s="6"/>
      <c r="BA1675" s="6"/>
      <c r="BB1675" s="6"/>
      <c r="BC1675" s="6"/>
      <c r="BD1675" s="6"/>
      <c r="BE1675" s="6"/>
      <c r="BF1675" s="6"/>
      <c r="BG1675" s="6"/>
      <c r="BH1675" s="6"/>
      <c r="BI1675" s="6"/>
      <c r="BJ1675" s="6"/>
      <c r="BK1675" s="6"/>
      <c r="BL1675" s="6"/>
      <c r="BM1675" s="6"/>
      <c r="BN1675" s="6"/>
      <c r="BO1675" s="6"/>
      <c r="BP1675" s="6"/>
    </row>
    <row r="1676" spans="1:68" s="10" customFormat="1" ht="12.75" x14ac:dyDescent="0.2">
      <c r="A1676" s="147"/>
      <c r="B1676" s="147"/>
      <c r="C1676" s="169"/>
      <c r="D1676" s="149" t="s">
        <v>285</v>
      </c>
      <c r="E1676" s="165"/>
      <c r="F1676" s="150"/>
      <c r="G1676" s="147"/>
      <c r="H1676" s="147">
        <v>4815</v>
      </c>
      <c r="I1676" s="152">
        <f t="shared" si="42"/>
        <v>0.13603232003616228</v>
      </c>
      <c r="J1676" s="153"/>
      <c r="K1676" s="139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  <c r="AE1676" s="6"/>
      <c r="AF1676" s="6"/>
      <c r="AG1676" s="6"/>
      <c r="AH1676" s="6"/>
      <c r="AI1676" s="6"/>
      <c r="AJ1676" s="6"/>
      <c r="AK1676" s="6"/>
      <c r="AL1676" s="6"/>
      <c r="AM1676" s="6"/>
      <c r="AN1676" s="6"/>
      <c r="AO1676" s="6"/>
      <c r="AP1676" s="6"/>
      <c r="AQ1676" s="6"/>
      <c r="AR1676" s="6"/>
      <c r="AS1676" s="6"/>
      <c r="AT1676" s="6"/>
      <c r="AU1676" s="6"/>
      <c r="AV1676" s="6"/>
      <c r="AW1676" s="6"/>
      <c r="AX1676" s="6"/>
      <c r="AY1676" s="6"/>
      <c r="AZ1676" s="6"/>
      <c r="BA1676" s="6"/>
      <c r="BB1676" s="6"/>
      <c r="BC1676" s="6"/>
      <c r="BD1676" s="6"/>
      <c r="BE1676" s="6"/>
      <c r="BF1676" s="6"/>
      <c r="BG1676" s="6"/>
      <c r="BH1676" s="6"/>
      <c r="BI1676" s="6"/>
      <c r="BJ1676" s="6"/>
      <c r="BK1676" s="6"/>
      <c r="BL1676" s="6"/>
      <c r="BM1676" s="6"/>
      <c r="BN1676" s="6"/>
      <c r="BO1676" s="6"/>
      <c r="BP1676" s="6"/>
    </row>
    <row r="1677" spans="1:68" s="10" customFormat="1" ht="12.75" x14ac:dyDescent="0.2">
      <c r="A1677" s="147"/>
      <c r="B1677" s="147"/>
      <c r="C1677" s="169"/>
      <c r="D1677" s="148" t="s">
        <v>33</v>
      </c>
      <c r="E1677" s="165"/>
      <c r="F1677" s="150"/>
      <c r="G1677" s="147"/>
      <c r="H1677" s="155">
        <f>SUM(H1669:H1676)</f>
        <v>35396</v>
      </c>
      <c r="I1677" s="156">
        <f>SUM(I1669:I1676)</f>
        <v>1</v>
      </c>
      <c r="J1677" s="147"/>
      <c r="K1677" s="139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  <c r="AE1677" s="6"/>
      <c r="AF1677" s="6"/>
      <c r="AG1677" s="6"/>
      <c r="AH1677" s="6"/>
      <c r="AI1677" s="6"/>
      <c r="AJ1677" s="6"/>
      <c r="AK1677" s="6"/>
      <c r="AL1677" s="6"/>
      <c r="AM1677" s="6"/>
      <c r="AN1677" s="6"/>
      <c r="AO1677" s="6"/>
      <c r="AP1677" s="6"/>
      <c r="AQ1677" s="6"/>
      <c r="AR1677" s="6"/>
      <c r="AS1677" s="6"/>
      <c r="AT1677" s="6"/>
      <c r="AU1677" s="6"/>
      <c r="AV1677" s="6"/>
      <c r="AW1677" s="6"/>
      <c r="AX1677" s="6"/>
      <c r="AY1677" s="6"/>
      <c r="AZ1677" s="6"/>
      <c r="BA1677" s="6"/>
      <c r="BB1677" s="6"/>
      <c r="BC1677" s="6"/>
      <c r="BD1677" s="6"/>
      <c r="BE1677" s="6"/>
      <c r="BF1677" s="6"/>
      <c r="BG1677" s="6"/>
      <c r="BH1677" s="6"/>
      <c r="BI1677" s="6"/>
      <c r="BJ1677" s="6"/>
      <c r="BK1677" s="6"/>
      <c r="BL1677" s="6"/>
      <c r="BM1677" s="6"/>
      <c r="BN1677" s="6"/>
      <c r="BO1677" s="6"/>
      <c r="BP1677" s="6"/>
    </row>
    <row r="1678" spans="1:68" s="10" customFormat="1" ht="12.75" x14ac:dyDescent="0.2">
      <c r="A1678" s="147"/>
      <c r="B1678" s="147"/>
      <c r="C1678" s="169"/>
      <c r="D1678" s="148"/>
      <c r="E1678" s="165"/>
      <c r="F1678" s="150"/>
      <c r="G1678" s="147"/>
      <c r="H1678" s="147"/>
      <c r="I1678" s="152"/>
      <c r="J1678" s="147"/>
      <c r="K1678" s="139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  <c r="AE1678" s="6"/>
      <c r="AF1678" s="6"/>
      <c r="AG1678" s="6"/>
      <c r="AH1678" s="6"/>
      <c r="AI1678" s="6"/>
      <c r="AJ1678" s="6"/>
      <c r="AK1678" s="6"/>
      <c r="AL1678" s="6"/>
      <c r="AM1678" s="6"/>
      <c r="AN1678" s="6"/>
      <c r="AO1678" s="6"/>
      <c r="AP1678" s="6"/>
      <c r="AQ1678" s="6"/>
      <c r="AR1678" s="6"/>
      <c r="AS1678" s="6"/>
      <c r="AT1678" s="6"/>
      <c r="AU1678" s="6"/>
      <c r="AV1678" s="6"/>
      <c r="AW1678" s="6"/>
      <c r="AX1678" s="6"/>
      <c r="AY1678" s="6"/>
      <c r="AZ1678" s="6"/>
      <c r="BA1678" s="6"/>
      <c r="BB1678" s="6"/>
      <c r="BC1678" s="6"/>
      <c r="BD1678" s="6"/>
      <c r="BE1678" s="6"/>
      <c r="BF1678" s="6"/>
      <c r="BG1678" s="6"/>
      <c r="BH1678" s="6"/>
      <c r="BI1678" s="6"/>
      <c r="BJ1678" s="6"/>
      <c r="BK1678" s="6"/>
      <c r="BL1678" s="6"/>
      <c r="BM1678" s="6"/>
      <c r="BN1678" s="6"/>
      <c r="BO1678" s="6"/>
      <c r="BP1678" s="6"/>
    </row>
    <row r="1679" spans="1:68" s="10" customFormat="1" ht="12.75" x14ac:dyDescent="0.2">
      <c r="A1679" s="148" t="s">
        <v>23</v>
      </c>
      <c r="B1679" s="160">
        <v>688</v>
      </c>
      <c r="C1679" s="148" t="s">
        <v>289</v>
      </c>
      <c r="D1679" s="147" t="s">
        <v>481</v>
      </c>
      <c r="E1679" s="204">
        <v>37622</v>
      </c>
      <c r="F1679" s="150">
        <v>1645246</v>
      </c>
      <c r="G1679" s="147">
        <v>11480</v>
      </c>
      <c r="H1679" s="147"/>
      <c r="I1679" s="152"/>
      <c r="J1679" s="147"/>
      <c r="K1679" s="139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  <c r="AE1679" s="6"/>
      <c r="AF1679" s="6"/>
      <c r="AG1679" s="6"/>
      <c r="AH1679" s="6"/>
      <c r="AI1679" s="6"/>
      <c r="AJ1679" s="6"/>
      <c r="AK1679" s="6"/>
      <c r="AL1679" s="6"/>
      <c r="AM1679" s="6"/>
      <c r="AN1679" s="6"/>
      <c r="AO1679" s="6"/>
      <c r="AP1679" s="6"/>
      <c r="AQ1679" s="6"/>
      <c r="AR1679" s="6"/>
      <c r="AS1679" s="6"/>
      <c r="AT1679" s="6"/>
      <c r="AU1679" s="6"/>
      <c r="AV1679" s="6"/>
      <c r="AW1679" s="6"/>
      <c r="AX1679" s="6"/>
      <c r="AY1679" s="6"/>
      <c r="AZ1679" s="6"/>
      <c r="BA1679" s="6"/>
      <c r="BB1679" s="6"/>
      <c r="BC1679" s="6"/>
      <c r="BD1679" s="6"/>
      <c r="BE1679" s="6"/>
      <c r="BF1679" s="6"/>
      <c r="BG1679" s="6"/>
      <c r="BH1679" s="6"/>
      <c r="BI1679" s="6"/>
      <c r="BJ1679" s="6"/>
      <c r="BK1679" s="6"/>
      <c r="BL1679" s="6"/>
      <c r="BM1679" s="6"/>
      <c r="BN1679" s="6"/>
      <c r="BO1679" s="6"/>
      <c r="BP1679" s="6"/>
    </row>
    <row r="1680" spans="1:68" s="10" customFormat="1" ht="12.75" x14ac:dyDescent="0.2">
      <c r="A1680" s="147"/>
      <c r="B1680" s="147"/>
      <c r="C1680" s="169"/>
      <c r="D1680" s="149" t="s">
        <v>242</v>
      </c>
      <c r="E1680" s="165"/>
      <c r="F1680" s="150"/>
      <c r="G1680" s="147"/>
      <c r="H1680" s="147">
        <v>811</v>
      </c>
      <c r="I1680" s="152">
        <f>H1680/$H$1683</f>
        <v>0.1064583880283539</v>
      </c>
      <c r="J1680" s="153"/>
      <c r="K1680" s="139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  <c r="AE1680" s="6"/>
      <c r="AF1680" s="6"/>
      <c r="AG1680" s="6"/>
      <c r="AH1680" s="6"/>
      <c r="AI1680" s="6"/>
      <c r="AJ1680" s="6"/>
      <c r="AK1680" s="6"/>
      <c r="AL1680" s="6"/>
      <c r="AM1680" s="6"/>
      <c r="AN1680" s="6"/>
      <c r="AO1680" s="6"/>
      <c r="AP1680" s="6"/>
      <c r="AQ1680" s="6"/>
      <c r="AR1680" s="6"/>
      <c r="AS1680" s="6"/>
      <c r="AT1680" s="6"/>
      <c r="AU1680" s="6"/>
      <c r="AV1680" s="6"/>
      <c r="AW1680" s="6"/>
      <c r="AX1680" s="6"/>
      <c r="AY1680" s="6"/>
      <c r="AZ1680" s="6"/>
      <c r="BA1680" s="6"/>
      <c r="BB1680" s="6"/>
      <c r="BC1680" s="6"/>
      <c r="BD1680" s="6"/>
      <c r="BE1680" s="6"/>
      <c r="BF1680" s="6"/>
      <c r="BG1680" s="6"/>
      <c r="BH1680" s="6"/>
      <c r="BI1680" s="6"/>
      <c r="BJ1680" s="6"/>
      <c r="BK1680" s="6"/>
      <c r="BL1680" s="6"/>
      <c r="BM1680" s="6"/>
      <c r="BN1680" s="6"/>
      <c r="BO1680" s="6"/>
      <c r="BP1680" s="6"/>
    </row>
    <row r="1681" spans="1:68" s="10" customFormat="1" ht="12.75" x14ac:dyDescent="0.2">
      <c r="A1681" s="147"/>
      <c r="B1681" s="147"/>
      <c r="C1681" s="169"/>
      <c r="D1681" s="149" t="s">
        <v>288</v>
      </c>
      <c r="E1681" s="165"/>
      <c r="F1681" s="150"/>
      <c r="G1681" s="147"/>
      <c r="H1681" s="147">
        <v>6216</v>
      </c>
      <c r="I1681" s="152">
        <f>H1681/$H$1683</f>
        <v>0.81596219480178522</v>
      </c>
      <c r="J1681" s="153" t="s">
        <v>288</v>
      </c>
      <c r="K1681" s="139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  <c r="AE1681" s="6"/>
      <c r="AF1681" s="6"/>
      <c r="AG1681" s="6"/>
      <c r="AH1681" s="6"/>
      <c r="AI1681" s="6"/>
      <c r="AJ1681" s="6"/>
      <c r="AK1681" s="6"/>
      <c r="AL1681" s="6"/>
      <c r="AM1681" s="6"/>
      <c r="AN1681" s="6"/>
      <c r="AO1681" s="6"/>
      <c r="AP1681" s="6"/>
      <c r="AQ1681" s="6"/>
      <c r="AR1681" s="6"/>
      <c r="AS1681" s="6"/>
      <c r="AT1681" s="6"/>
      <c r="AU1681" s="6"/>
      <c r="AV1681" s="6"/>
      <c r="AW1681" s="6"/>
      <c r="AX1681" s="6"/>
      <c r="AY1681" s="6"/>
      <c r="AZ1681" s="6"/>
      <c r="BA1681" s="6"/>
      <c r="BB1681" s="6"/>
      <c r="BC1681" s="6"/>
      <c r="BD1681" s="6"/>
      <c r="BE1681" s="6"/>
      <c r="BF1681" s="6"/>
      <c r="BG1681" s="6"/>
      <c r="BH1681" s="6"/>
      <c r="BI1681" s="6"/>
      <c r="BJ1681" s="6"/>
      <c r="BK1681" s="6"/>
      <c r="BL1681" s="6"/>
      <c r="BM1681" s="6"/>
      <c r="BN1681" s="6"/>
      <c r="BO1681" s="6"/>
      <c r="BP1681" s="6"/>
    </row>
    <row r="1682" spans="1:68" s="10" customFormat="1" ht="12.75" x14ac:dyDescent="0.2">
      <c r="A1682" s="147"/>
      <c r="B1682" s="147"/>
      <c r="C1682" s="169"/>
      <c r="D1682" s="149" t="s">
        <v>292</v>
      </c>
      <c r="E1682" s="165"/>
      <c r="F1682" s="150"/>
      <c r="G1682" s="147"/>
      <c r="H1682" s="147">
        <v>591</v>
      </c>
      <c r="I1682" s="152">
        <f>H1682/$H$1683</f>
        <v>7.7579417169860859E-2</v>
      </c>
      <c r="J1682" s="153"/>
      <c r="K1682" s="139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  <c r="AE1682" s="6"/>
      <c r="AF1682" s="6"/>
      <c r="AG1682" s="6"/>
      <c r="AH1682" s="6"/>
      <c r="AI1682" s="6"/>
      <c r="AJ1682" s="6"/>
      <c r="AK1682" s="6"/>
      <c r="AL1682" s="6"/>
      <c r="AM1682" s="6"/>
      <c r="AN1682" s="6"/>
      <c r="AO1682" s="6"/>
      <c r="AP1682" s="6"/>
      <c r="AQ1682" s="6"/>
      <c r="AR1682" s="6"/>
      <c r="AS1682" s="6"/>
      <c r="AT1682" s="6"/>
      <c r="AU1682" s="6"/>
      <c r="AV1682" s="6"/>
      <c r="AW1682" s="6"/>
      <c r="AX1682" s="6"/>
      <c r="AY1682" s="6"/>
      <c r="AZ1682" s="6"/>
      <c r="BA1682" s="6"/>
      <c r="BB1682" s="6"/>
      <c r="BC1682" s="6"/>
      <c r="BD1682" s="6"/>
      <c r="BE1682" s="6"/>
      <c r="BF1682" s="6"/>
      <c r="BG1682" s="6"/>
      <c r="BH1682" s="6"/>
      <c r="BI1682" s="6"/>
      <c r="BJ1682" s="6"/>
      <c r="BK1682" s="6"/>
      <c r="BL1682" s="6"/>
      <c r="BM1682" s="6"/>
      <c r="BN1682" s="6"/>
      <c r="BO1682" s="6"/>
      <c r="BP1682" s="6"/>
    </row>
    <row r="1683" spans="1:68" s="10" customFormat="1" ht="12.75" x14ac:dyDescent="0.2">
      <c r="A1683" s="147"/>
      <c r="B1683" s="147"/>
      <c r="C1683" s="169"/>
      <c r="D1683" s="148" t="s">
        <v>33</v>
      </c>
      <c r="E1683" s="165"/>
      <c r="F1683" s="150"/>
      <c r="G1683" s="147"/>
      <c r="H1683" s="155">
        <f>SUM(H1680:H1682)</f>
        <v>7618</v>
      </c>
      <c r="I1683" s="156">
        <f>SUM(I1680:I1682)</f>
        <v>1</v>
      </c>
      <c r="J1683" s="147"/>
      <c r="K1683" s="139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  <c r="AE1683" s="6"/>
      <c r="AF1683" s="6"/>
      <c r="AG1683" s="6"/>
      <c r="AH1683" s="6"/>
      <c r="AI1683" s="6"/>
      <c r="AJ1683" s="6"/>
      <c r="AK1683" s="6"/>
      <c r="AL1683" s="6"/>
      <c r="AM1683" s="6"/>
      <c r="AN1683" s="6"/>
      <c r="AO1683" s="6"/>
      <c r="AP1683" s="6"/>
      <c r="AQ1683" s="6"/>
      <c r="AR1683" s="6"/>
      <c r="AS1683" s="6"/>
      <c r="AT1683" s="6"/>
      <c r="AU1683" s="6"/>
      <c r="AV1683" s="6"/>
      <c r="AW1683" s="6"/>
      <c r="AX1683" s="6"/>
      <c r="AY1683" s="6"/>
      <c r="AZ1683" s="6"/>
      <c r="BA1683" s="6"/>
      <c r="BB1683" s="6"/>
      <c r="BC1683" s="6"/>
      <c r="BD1683" s="6"/>
      <c r="BE1683" s="6"/>
      <c r="BF1683" s="6"/>
      <c r="BG1683" s="6"/>
      <c r="BH1683" s="6"/>
      <c r="BI1683" s="6"/>
      <c r="BJ1683" s="6"/>
      <c r="BK1683" s="6"/>
      <c r="BL1683" s="6"/>
      <c r="BM1683" s="6"/>
      <c r="BN1683" s="6"/>
      <c r="BO1683" s="6"/>
      <c r="BP1683" s="6"/>
    </row>
    <row r="1684" spans="1:68" s="10" customFormat="1" ht="12.75" x14ac:dyDescent="0.2">
      <c r="A1684" s="147"/>
      <c r="B1684" s="147"/>
      <c r="C1684" s="169"/>
      <c r="D1684" s="148"/>
      <c r="E1684" s="165"/>
      <c r="F1684" s="150"/>
      <c r="G1684" s="147"/>
      <c r="H1684" s="147"/>
      <c r="I1684" s="152"/>
      <c r="J1684" s="147"/>
      <c r="K1684" s="139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  <c r="AE1684" s="6"/>
      <c r="AF1684" s="6"/>
      <c r="AG1684" s="6"/>
      <c r="AH1684" s="6"/>
      <c r="AI1684" s="6"/>
      <c r="AJ1684" s="6"/>
      <c r="AK1684" s="6"/>
      <c r="AL1684" s="6"/>
      <c r="AM1684" s="6"/>
      <c r="AN1684" s="6"/>
      <c r="AO1684" s="6"/>
      <c r="AP1684" s="6"/>
      <c r="AQ1684" s="6"/>
      <c r="AR1684" s="6"/>
      <c r="AS1684" s="6"/>
      <c r="AT1684" s="6"/>
      <c r="AU1684" s="6"/>
      <c r="AV1684" s="6"/>
      <c r="AW1684" s="6"/>
      <c r="AX1684" s="6"/>
      <c r="AY1684" s="6"/>
      <c r="AZ1684" s="6"/>
      <c r="BA1684" s="6"/>
      <c r="BB1684" s="6"/>
      <c r="BC1684" s="6"/>
      <c r="BD1684" s="6"/>
      <c r="BE1684" s="6"/>
      <c r="BF1684" s="6"/>
      <c r="BG1684" s="6"/>
      <c r="BH1684" s="6"/>
      <c r="BI1684" s="6"/>
      <c r="BJ1684" s="6"/>
      <c r="BK1684" s="6"/>
      <c r="BL1684" s="6"/>
      <c r="BM1684" s="6"/>
      <c r="BN1684" s="6"/>
      <c r="BO1684" s="6"/>
      <c r="BP1684" s="6"/>
    </row>
    <row r="1685" spans="1:68" s="10" customFormat="1" ht="12.75" x14ac:dyDescent="0.2">
      <c r="A1685" s="148" t="s">
        <v>23</v>
      </c>
      <c r="B1685" s="160">
        <v>613</v>
      </c>
      <c r="C1685" s="148" t="s">
        <v>289</v>
      </c>
      <c r="D1685" s="147" t="s">
        <v>482</v>
      </c>
      <c r="E1685" s="204">
        <v>37778</v>
      </c>
      <c r="F1685" s="150">
        <v>5423000</v>
      </c>
      <c r="G1685" s="147">
        <v>37990</v>
      </c>
      <c r="H1685" s="147"/>
      <c r="I1685" s="152"/>
      <c r="J1685" s="147"/>
      <c r="K1685" s="139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  <c r="AE1685" s="6"/>
      <c r="AF1685" s="6"/>
      <c r="AG1685" s="6"/>
      <c r="AH1685" s="6"/>
      <c r="AI1685" s="6"/>
      <c r="AJ1685" s="6"/>
      <c r="AK1685" s="6"/>
      <c r="AL1685" s="6"/>
      <c r="AM1685" s="6"/>
      <c r="AN1685" s="6"/>
      <c r="AO1685" s="6"/>
      <c r="AP1685" s="6"/>
      <c r="AQ1685" s="6"/>
      <c r="AR1685" s="6"/>
      <c r="AS1685" s="6"/>
      <c r="AT1685" s="6"/>
      <c r="AU1685" s="6"/>
      <c r="AV1685" s="6"/>
      <c r="AW1685" s="6"/>
      <c r="AX1685" s="6"/>
      <c r="AY1685" s="6"/>
      <c r="AZ1685" s="6"/>
      <c r="BA1685" s="6"/>
      <c r="BB1685" s="6"/>
      <c r="BC1685" s="6"/>
      <c r="BD1685" s="6"/>
      <c r="BE1685" s="6"/>
      <c r="BF1685" s="6"/>
      <c r="BG1685" s="6"/>
      <c r="BH1685" s="6"/>
      <c r="BI1685" s="6"/>
      <c r="BJ1685" s="6"/>
      <c r="BK1685" s="6"/>
      <c r="BL1685" s="6"/>
      <c r="BM1685" s="6"/>
      <c r="BN1685" s="6"/>
      <c r="BO1685" s="6"/>
      <c r="BP1685" s="6"/>
    </row>
    <row r="1686" spans="1:68" s="10" customFormat="1" ht="12.75" x14ac:dyDescent="0.2">
      <c r="A1686" s="147"/>
      <c r="B1686" s="147"/>
      <c r="C1686" s="169"/>
      <c r="D1686" s="149" t="s">
        <v>261</v>
      </c>
      <c r="E1686" s="165"/>
      <c r="F1686" s="150"/>
      <c r="G1686" s="147"/>
      <c r="H1686" s="147">
        <v>4677</v>
      </c>
      <c r="I1686" s="152">
        <f>H1686/$H$1690</f>
        <v>0.18223261250730566</v>
      </c>
      <c r="J1686" s="153"/>
      <c r="K1686" s="139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  <c r="AE1686" s="6"/>
      <c r="AF1686" s="6"/>
      <c r="AG1686" s="6"/>
      <c r="AH1686" s="6"/>
      <c r="AI1686" s="6"/>
      <c r="AJ1686" s="6"/>
      <c r="AK1686" s="6"/>
      <c r="AL1686" s="6"/>
      <c r="AM1686" s="6"/>
      <c r="AN1686" s="6"/>
      <c r="AO1686" s="6"/>
      <c r="AP1686" s="6"/>
      <c r="AQ1686" s="6"/>
      <c r="AR1686" s="6"/>
      <c r="AS1686" s="6"/>
      <c r="AT1686" s="6"/>
      <c r="AU1686" s="6"/>
      <c r="AV1686" s="6"/>
      <c r="AW1686" s="6"/>
      <c r="AX1686" s="6"/>
      <c r="AY1686" s="6"/>
      <c r="AZ1686" s="6"/>
      <c r="BA1686" s="6"/>
      <c r="BB1686" s="6"/>
      <c r="BC1686" s="6"/>
      <c r="BD1686" s="6"/>
      <c r="BE1686" s="6"/>
      <c r="BF1686" s="6"/>
      <c r="BG1686" s="6"/>
      <c r="BH1686" s="6"/>
      <c r="BI1686" s="6"/>
      <c r="BJ1686" s="6"/>
      <c r="BK1686" s="6"/>
      <c r="BL1686" s="6"/>
      <c r="BM1686" s="6"/>
      <c r="BN1686" s="6"/>
      <c r="BO1686" s="6"/>
      <c r="BP1686" s="6"/>
    </row>
    <row r="1687" spans="1:68" s="10" customFormat="1" ht="12.75" x14ac:dyDescent="0.2">
      <c r="A1687" s="147"/>
      <c r="B1687" s="147"/>
      <c r="C1687" s="169"/>
      <c r="D1687" s="149" t="s">
        <v>284</v>
      </c>
      <c r="E1687" s="165"/>
      <c r="F1687" s="150"/>
      <c r="G1687" s="147"/>
      <c r="H1687" s="147">
        <v>14168</v>
      </c>
      <c r="I1687" s="152">
        <f>H1687/$H$1690</f>
        <v>0.55203584648353787</v>
      </c>
      <c r="J1687" s="153" t="s">
        <v>284</v>
      </c>
      <c r="K1687" s="139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  <c r="AE1687" s="6"/>
      <c r="AF1687" s="6"/>
      <c r="AG1687" s="6"/>
      <c r="AH1687" s="6"/>
      <c r="AI1687" s="6"/>
      <c r="AJ1687" s="6"/>
      <c r="AK1687" s="6"/>
      <c r="AL1687" s="6"/>
      <c r="AM1687" s="6"/>
      <c r="AN1687" s="6"/>
      <c r="AO1687" s="6"/>
      <c r="AP1687" s="6"/>
      <c r="AQ1687" s="6"/>
      <c r="AR1687" s="6"/>
      <c r="AS1687" s="6"/>
      <c r="AT1687" s="6"/>
      <c r="AU1687" s="6"/>
      <c r="AV1687" s="6"/>
      <c r="AW1687" s="6"/>
      <c r="AX1687" s="6"/>
      <c r="AY1687" s="6"/>
      <c r="AZ1687" s="6"/>
      <c r="BA1687" s="6"/>
      <c r="BB1687" s="6"/>
      <c r="BC1687" s="6"/>
      <c r="BD1687" s="6"/>
      <c r="BE1687" s="6"/>
      <c r="BF1687" s="6"/>
      <c r="BG1687" s="6"/>
      <c r="BH1687" s="6"/>
      <c r="BI1687" s="6"/>
      <c r="BJ1687" s="6"/>
      <c r="BK1687" s="6"/>
      <c r="BL1687" s="6"/>
      <c r="BM1687" s="6"/>
      <c r="BN1687" s="6"/>
      <c r="BO1687" s="6"/>
      <c r="BP1687" s="6"/>
    </row>
    <row r="1688" spans="1:68" s="10" customFormat="1" ht="12.75" x14ac:dyDescent="0.2">
      <c r="A1688" s="147"/>
      <c r="B1688" s="147"/>
      <c r="C1688" s="169"/>
      <c r="D1688" s="149" t="s">
        <v>288</v>
      </c>
      <c r="E1688" s="165"/>
      <c r="F1688" s="150"/>
      <c r="G1688" s="147"/>
      <c r="H1688" s="147">
        <v>6300</v>
      </c>
      <c r="I1688" s="152">
        <f>H1688/$H$1690</f>
        <v>0.24547048509643482</v>
      </c>
      <c r="J1688" s="153"/>
      <c r="K1688" s="139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  <c r="AE1688" s="6"/>
      <c r="AF1688" s="6"/>
      <c r="AG1688" s="6"/>
      <c r="AH1688" s="6"/>
      <c r="AI1688" s="6"/>
      <c r="AJ1688" s="6"/>
      <c r="AK1688" s="6"/>
      <c r="AL1688" s="6"/>
      <c r="AM1688" s="6"/>
      <c r="AN1688" s="6"/>
      <c r="AO1688" s="6"/>
      <c r="AP1688" s="6"/>
      <c r="AQ1688" s="6"/>
      <c r="AR1688" s="6"/>
      <c r="AS1688" s="6"/>
      <c r="AT1688" s="6"/>
      <c r="AU1688" s="6"/>
      <c r="AV1688" s="6"/>
      <c r="AW1688" s="6"/>
      <c r="AX1688" s="6"/>
      <c r="AY1688" s="6"/>
      <c r="AZ1688" s="6"/>
      <c r="BA1688" s="6"/>
      <c r="BB1688" s="6"/>
      <c r="BC1688" s="6"/>
      <c r="BD1688" s="6"/>
      <c r="BE1688" s="6"/>
      <c r="BF1688" s="6"/>
      <c r="BG1688" s="6"/>
      <c r="BH1688" s="6"/>
      <c r="BI1688" s="6"/>
      <c r="BJ1688" s="6"/>
      <c r="BK1688" s="6"/>
      <c r="BL1688" s="6"/>
      <c r="BM1688" s="6"/>
      <c r="BN1688" s="6"/>
      <c r="BO1688" s="6"/>
      <c r="BP1688" s="6"/>
    </row>
    <row r="1689" spans="1:68" s="10" customFormat="1" ht="12.75" x14ac:dyDescent="0.2">
      <c r="A1689" s="147"/>
      <c r="B1689" s="147"/>
      <c r="C1689" s="169"/>
      <c r="D1689" s="149" t="s">
        <v>292</v>
      </c>
      <c r="E1689" s="165"/>
      <c r="F1689" s="150"/>
      <c r="G1689" s="147"/>
      <c r="H1689" s="147">
        <v>520</v>
      </c>
      <c r="I1689" s="152">
        <f>H1689/$H$1690</f>
        <v>2.0261055912721607E-2</v>
      </c>
      <c r="J1689" s="153"/>
      <c r="K1689" s="139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  <c r="AD1689" s="6"/>
      <c r="AE1689" s="6"/>
      <c r="AF1689" s="6"/>
      <c r="AG1689" s="6"/>
      <c r="AH1689" s="6"/>
      <c r="AI1689" s="6"/>
      <c r="AJ1689" s="6"/>
      <c r="AK1689" s="6"/>
      <c r="AL1689" s="6"/>
      <c r="AM1689" s="6"/>
      <c r="AN1689" s="6"/>
      <c r="AO1689" s="6"/>
      <c r="AP1689" s="6"/>
      <c r="AQ1689" s="6"/>
      <c r="AR1689" s="6"/>
      <c r="AS1689" s="6"/>
      <c r="AT1689" s="6"/>
      <c r="AU1689" s="6"/>
      <c r="AV1689" s="6"/>
      <c r="AW1689" s="6"/>
      <c r="AX1689" s="6"/>
      <c r="AY1689" s="6"/>
      <c r="AZ1689" s="6"/>
      <c r="BA1689" s="6"/>
      <c r="BB1689" s="6"/>
      <c r="BC1689" s="6"/>
      <c r="BD1689" s="6"/>
      <c r="BE1689" s="6"/>
      <c r="BF1689" s="6"/>
      <c r="BG1689" s="6"/>
      <c r="BH1689" s="6"/>
      <c r="BI1689" s="6"/>
      <c r="BJ1689" s="6"/>
      <c r="BK1689" s="6"/>
      <c r="BL1689" s="6"/>
      <c r="BM1689" s="6"/>
      <c r="BN1689" s="6"/>
      <c r="BO1689" s="6"/>
      <c r="BP1689" s="6"/>
    </row>
    <row r="1690" spans="1:68" s="10" customFormat="1" ht="12.75" x14ac:dyDescent="0.2">
      <c r="A1690" s="147"/>
      <c r="B1690" s="147"/>
      <c r="C1690" s="169"/>
      <c r="D1690" s="148" t="s">
        <v>33</v>
      </c>
      <c r="E1690" s="165"/>
      <c r="F1690" s="150"/>
      <c r="G1690" s="147"/>
      <c r="H1690" s="155">
        <f>SUM(H1686:H1689)</f>
        <v>25665</v>
      </c>
      <c r="I1690" s="156">
        <f>SUM(I1686:I1689)</f>
        <v>1</v>
      </c>
      <c r="J1690" s="147"/>
      <c r="K1690" s="139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  <c r="AE1690" s="6"/>
      <c r="AF1690" s="6"/>
      <c r="AG1690" s="6"/>
      <c r="AH1690" s="6"/>
      <c r="AI1690" s="6"/>
      <c r="AJ1690" s="6"/>
      <c r="AK1690" s="6"/>
      <c r="AL1690" s="6"/>
      <c r="AM1690" s="6"/>
      <c r="AN1690" s="6"/>
      <c r="AO1690" s="6"/>
      <c r="AP1690" s="6"/>
      <c r="AQ1690" s="6"/>
      <c r="AR1690" s="6"/>
      <c r="AS1690" s="6"/>
      <c r="AT1690" s="6"/>
      <c r="AU1690" s="6"/>
      <c r="AV1690" s="6"/>
      <c r="AW1690" s="6"/>
      <c r="AX1690" s="6"/>
      <c r="AY1690" s="6"/>
      <c r="AZ1690" s="6"/>
      <c r="BA1690" s="6"/>
      <c r="BB1690" s="6"/>
      <c r="BC1690" s="6"/>
      <c r="BD1690" s="6"/>
      <c r="BE1690" s="6"/>
      <c r="BF1690" s="6"/>
      <c r="BG1690" s="6"/>
      <c r="BH1690" s="6"/>
      <c r="BI1690" s="6"/>
      <c r="BJ1690" s="6"/>
      <c r="BK1690" s="6"/>
      <c r="BL1690" s="6"/>
      <c r="BM1690" s="6"/>
      <c r="BN1690" s="6"/>
      <c r="BO1690" s="6"/>
      <c r="BP1690" s="6"/>
    </row>
    <row r="1691" spans="1:68" s="10" customFormat="1" ht="12.75" x14ac:dyDescent="0.2">
      <c r="A1691" s="147"/>
      <c r="B1691" s="147"/>
      <c r="C1691" s="169"/>
      <c r="D1691" s="148"/>
      <c r="E1691" s="165"/>
      <c r="F1691" s="150"/>
      <c r="G1691" s="147"/>
      <c r="H1691" s="147"/>
      <c r="I1691" s="152"/>
      <c r="J1691" s="147"/>
      <c r="K1691" s="139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  <c r="AD1691" s="6"/>
      <c r="AE1691" s="6"/>
      <c r="AF1691" s="6"/>
      <c r="AG1691" s="6"/>
      <c r="AH1691" s="6"/>
      <c r="AI1691" s="6"/>
      <c r="AJ1691" s="6"/>
      <c r="AK1691" s="6"/>
      <c r="AL1691" s="6"/>
      <c r="AM1691" s="6"/>
      <c r="AN1691" s="6"/>
      <c r="AO1691" s="6"/>
      <c r="AP1691" s="6"/>
      <c r="AQ1691" s="6"/>
      <c r="AR1691" s="6"/>
      <c r="AS1691" s="6"/>
      <c r="AT1691" s="6"/>
      <c r="AU1691" s="6"/>
      <c r="AV1691" s="6"/>
      <c r="AW1691" s="6"/>
      <c r="AX1691" s="6"/>
      <c r="AY1691" s="6"/>
      <c r="AZ1691" s="6"/>
      <c r="BA1691" s="6"/>
      <c r="BB1691" s="6"/>
      <c r="BC1691" s="6"/>
      <c r="BD1691" s="6"/>
      <c r="BE1691" s="6"/>
      <c r="BF1691" s="6"/>
      <c r="BG1691" s="6"/>
      <c r="BH1691" s="6"/>
      <c r="BI1691" s="6"/>
      <c r="BJ1691" s="6"/>
      <c r="BK1691" s="6"/>
      <c r="BL1691" s="6"/>
      <c r="BM1691" s="6"/>
      <c r="BN1691" s="6"/>
      <c r="BO1691" s="6"/>
      <c r="BP1691" s="6"/>
    </row>
    <row r="1692" spans="1:68" s="10" customFormat="1" ht="12.75" x14ac:dyDescent="0.2">
      <c r="A1692" s="148" t="s">
        <v>23</v>
      </c>
      <c r="B1692" s="160">
        <v>611</v>
      </c>
      <c r="C1692" s="148" t="s">
        <v>289</v>
      </c>
      <c r="D1692" s="147" t="s">
        <v>492</v>
      </c>
      <c r="E1692" s="165">
        <v>38446</v>
      </c>
      <c r="F1692" s="150">
        <v>9931043</v>
      </c>
      <c r="G1692" s="147">
        <v>41629</v>
      </c>
      <c r="H1692" s="147"/>
      <c r="I1692" s="152"/>
      <c r="J1692" s="147"/>
      <c r="K1692" s="139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  <c r="AE1692" s="6"/>
      <c r="AF1692" s="6"/>
      <c r="AG1692" s="6"/>
      <c r="AH1692" s="6"/>
      <c r="AI1692" s="6"/>
      <c r="AJ1692" s="6"/>
      <c r="AK1692" s="6"/>
      <c r="AL1692" s="6"/>
      <c r="AM1692" s="6"/>
      <c r="AN1692" s="6"/>
      <c r="AO1692" s="6"/>
      <c r="AP1692" s="6"/>
      <c r="AQ1692" s="6"/>
      <c r="AR1692" s="6"/>
      <c r="AS1692" s="6"/>
      <c r="AT1692" s="6"/>
      <c r="AU1692" s="6"/>
      <c r="AV1692" s="6"/>
      <c r="AW1692" s="6"/>
      <c r="AX1692" s="6"/>
      <c r="AY1692" s="6"/>
      <c r="AZ1692" s="6"/>
      <c r="BA1692" s="6"/>
      <c r="BB1692" s="6"/>
      <c r="BC1692" s="6"/>
      <c r="BD1692" s="6"/>
      <c r="BE1692" s="6"/>
      <c r="BF1692" s="6"/>
      <c r="BG1692" s="6"/>
      <c r="BH1692" s="6"/>
      <c r="BI1692" s="6"/>
      <c r="BJ1692" s="6"/>
      <c r="BK1692" s="6"/>
      <c r="BL1692" s="6"/>
      <c r="BM1692" s="6"/>
      <c r="BN1692" s="6"/>
      <c r="BO1692" s="6"/>
      <c r="BP1692" s="6"/>
    </row>
    <row r="1693" spans="1:68" s="10" customFormat="1" ht="12.75" x14ac:dyDescent="0.2">
      <c r="A1693" s="147"/>
      <c r="B1693" s="147"/>
      <c r="C1693" s="169"/>
      <c r="D1693" s="149" t="s">
        <v>291</v>
      </c>
      <c r="E1693" s="165"/>
      <c r="F1693" s="150"/>
      <c r="G1693" s="147"/>
      <c r="H1693" s="147">
        <v>16083</v>
      </c>
      <c r="I1693" s="152">
        <f>H1693/$H$1696</f>
        <v>0.62638261411434804</v>
      </c>
      <c r="J1693" s="153" t="s">
        <v>291</v>
      </c>
      <c r="K1693" s="139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  <c r="AE1693" s="6"/>
      <c r="AF1693" s="6"/>
      <c r="AG1693" s="6"/>
      <c r="AH1693" s="6"/>
      <c r="AI1693" s="6"/>
      <c r="AJ1693" s="6"/>
      <c r="AK1693" s="6"/>
      <c r="AL1693" s="6"/>
      <c r="AM1693" s="6"/>
      <c r="AN1693" s="6"/>
      <c r="AO1693" s="6"/>
      <c r="AP1693" s="6"/>
      <c r="AQ1693" s="6"/>
      <c r="AR1693" s="6"/>
      <c r="AS1693" s="6"/>
      <c r="AT1693" s="6"/>
      <c r="AU1693" s="6"/>
      <c r="AV1693" s="6"/>
      <c r="AW1693" s="6"/>
      <c r="AX1693" s="6"/>
      <c r="AY1693" s="6"/>
      <c r="AZ1693" s="6"/>
      <c r="BA1693" s="6"/>
      <c r="BB1693" s="6"/>
      <c r="BC1693" s="6"/>
      <c r="BD1693" s="6"/>
      <c r="BE1693" s="6"/>
      <c r="BF1693" s="6"/>
      <c r="BG1693" s="6"/>
      <c r="BH1693" s="6"/>
      <c r="BI1693" s="6"/>
      <c r="BJ1693" s="6"/>
      <c r="BK1693" s="6"/>
      <c r="BL1693" s="6"/>
      <c r="BM1693" s="6"/>
      <c r="BN1693" s="6"/>
      <c r="BO1693" s="6"/>
      <c r="BP1693" s="6"/>
    </row>
    <row r="1694" spans="1:68" s="10" customFormat="1" ht="12.75" x14ac:dyDescent="0.2">
      <c r="A1694" s="147"/>
      <c r="B1694" s="147"/>
      <c r="C1694" s="169"/>
      <c r="D1694" s="149" t="s">
        <v>288</v>
      </c>
      <c r="E1694" s="165"/>
      <c r="F1694" s="150"/>
      <c r="G1694" s="147"/>
      <c r="H1694" s="147">
        <v>4338</v>
      </c>
      <c r="I1694" s="152">
        <f>H1694/$H$1696</f>
        <v>0.16895155008568313</v>
      </c>
      <c r="J1694" s="153"/>
      <c r="K1694" s="139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  <c r="AE1694" s="6"/>
      <c r="AF1694" s="6"/>
      <c r="AG1694" s="6"/>
      <c r="AH1694" s="6"/>
      <c r="AI1694" s="6"/>
      <c r="AJ1694" s="6"/>
      <c r="AK1694" s="6"/>
      <c r="AL1694" s="6"/>
      <c r="AM1694" s="6"/>
      <c r="AN1694" s="6"/>
      <c r="AO1694" s="6"/>
      <c r="AP1694" s="6"/>
      <c r="AQ1694" s="6"/>
      <c r="AR1694" s="6"/>
      <c r="AS1694" s="6"/>
      <c r="AT1694" s="6"/>
      <c r="AU1694" s="6"/>
      <c r="AV1694" s="6"/>
      <c r="AW1694" s="6"/>
      <c r="AX1694" s="6"/>
      <c r="AY1694" s="6"/>
      <c r="AZ1694" s="6"/>
      <c r="BA1694" s="6"/>
      <c r="BB1694" s="6"/>
      <c r="BC1694" s="6"/>
      <c r="BD1694" s="6"/>
      <c r="BE1694" s="6"/>
      <c r="BF1694" s="6"/>
      <c r="BG1694" s="6"/>
      <c r="BH1694" s="6"/>
      <c r="BI1694" s="6"/>
      <c r="BJ1694" s="6"/>
      <c r="BK1694" s="6"/>
      <c r="BL1694" s="6"/>
      <c r="BM1694" s="6"/>
      <c r="BN1694" s="6"/>
      <c r="BO1694" s="6"/>
      <c r="BP1694" s="6"/>
    </row>
    <row r="1695" spans="1:68" s="10" customFormat="1" ht="12.75" x14ac:dyDescent="0.2">
      <c r="A1695" s="147"/>
      <c r="B1695" s="147"/>
      <c r="C1695" s="169"/>
      <c r="D1695" s="149" t="s">
        <v>292</v>
      </c>
      <c r="E1695" s="165"/>
      <c r="F1695" s="150"/>
      <c r="G1695" s="147"/>
      <c r="H1695" s="147">
        <v>5255</v>
      </c>
      <c r="I1695" s="152">
        <f>H1695/$H$1696</f>
        <v>0.20466583579996883</v>
      </c>
      <c r="J1695" s="153"/>
      <c r="K1695" s="139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  <c r="AE1695" s="6"/>
      <c r="AF1695" s="6"/>
      <c r="AG1695" s="6"/>
      <c r="AH1695" s="6"/>
      <c r="AI1695" s="6"/>
      <c r="AJ1695" s="6"/>
      <c r="AK1695" s="6"/>
      <c r="AL1695" s="6"/>
      <c r="AM1695" s="6"/>
      <c r="AN1695" s="6"/>
      <c r="AO1695" s="6"/>
      <c r="AP1695" s="6"/>
      <c r="AQ1695" s="6"/>
      <c r="AR1695" s="6"/>
      <c r="AS1695" s="6"/>
      <c r="AT1695" s="6"/>
      <c r="AU1695" s="6"/>
      <c r="AV1695" s="6"/>
      <c r="AW1695" s="6"/>
      <c r="AX1695" s="6"/>
      <c r="AY1695" s="6"/>
      <c r="AZ1695" s="6"/>
      <c r="BA1695" s="6"/>
      <c r="BB1695" s="6"/>
      <c r="BC1695" s="6"/>
      <c r="BD1695" s="6"/>
      <c r="BE1695" s="6"/>
      <c r="BF1695" s="6"/>
      <c r="BG1695" s="6"/>
      <c r="BH1695" s="6"/>
      <c r="BI1695" s="6"/>
      <c r="BJ1695" s="6"/>
      <c r="BK1695" s="6"/>
      <c r="BL1695" s="6"/>
      <c r="BM1695" s="6"/>
      <c r="BN1695" s="6"/>
      <c r="BO1695" s="6"/>
      <c r="BP1695" s="6"/>
    </row>
    <row r="1696" spans="1:68" s="10" customFormat="1" ht="12.75" x14ac:dyDescent="0.2">
      <c r="A1696" s="147"/>
      <c r="B1696" s="147"/>
      <c r="C1696" s="169"/>
      <c r="D1696" s="148" t="s">
        <v>33</v>
      </c>
      <c r="E1696" s="165"/>
      <c r="F1696" s="150"/>
      <c r="G1696" s="147"/>
      <c r="H1696" s="155">
        <f>SUM(H1693:H1695)</f>
        <v>25676</v>
      </c>
      <c r="I1696" s="156">
        <f>SUM(I1693:I1695)</f>
        <v>1</v>
      </c>
      <c r="J1696" s="147"/>
      <c r="K1696" s="139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  <c r="AF1696" s="6"/>
      <c r="AG1696" s="6"/>
      <c r="AH1696" s="6"/>
      <c r="AI1696" s="6"/>
      <c r="AJ1696" s="6"/>
      <c r="AK1696" s="6"/>
      <c r="AL1696" s="6"/>
      <c r="AM1696" s="6"/>
      <c r="AN1696" s="6"/>
      <c r="AO1696" s="6"/>
      <c r="AP1696" s="6"/>
      <c r="AQ1696" s="6"/>
      <c r="AR1696" s="6"/>
      <c r="AS1696" s="6"/>
      <c r="AT1696" s="6"/>
      <c r="AU1696" s="6"/>
      <c r="AV1696" s="6"/>
      <c r="AW1696" s="6"/>
      <c r="AX1696" s="6"/>
      <c r="AY1696" s="6"/>
      <c r="AZ1696" s="6"/>
      <c r="BA1696" s="6"/>
      <c r="BB1696" s="6"/>
      <c r="BC1696" s="6"/>
      <c r="BD1696" s="6"/>
      <c r="BE1696" s="6"/>
      <c r="BF1696" s="6"/>
      <c r="BG1696" s="6"/>
      <c r="BH1696" s="6"/>
      <c r="BI1696" s="6"/>
      <c r="BJ1696" s="6"/>
      <c r="BK1696" s="6"/>
      <c r="BL1696" s="6"/>
      <c r="BM1696" s="6"/>
      <c r="BN1696" s="6"/>
      <c r="BO1696" s="6"/>
      <c r="BP1696" s="6"/>
    </row>
    <row r="1697" spans="1:68" s="10" customFormat="1" ht="12.75" x14ac:dyDescent="0.2">
      <c r="A1697" s="147"/>
      <c r="B1697" s="147"/>
      <c r="C1697" s="169"/>
      <c r="D1697" s="148"/>
      <c r="E1697" s="165"/>
      <c r="F1697" s="150"/>
      <c r="G1697" s="147"/>
      <c r="H1697" s="147"/>
      <c r="I1697" s="152"/>
      <c r="J1697" s="147"/>
      <c r="K1697" s="139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  <c r="AE1697" s="6"/>
      <c r="AF1697" s="6"/>
      <c r="AG1697" s="6"/>
      <c r="AH1697" s="6"/>
      <c r="AI1697" s="6"/>
      <c r="AJ1697" s="6"/>
      <c r="AK1697" s="6"/>
      <c r="AL1697" s="6"/>
      <c r="AM1697" s="6"/>
      <c r="AN1697" s="6"/>
      <c r="AO1697" s="6"/>
      <c r="AP1697" s="6"/>
      <c r="AQ1697" s="6"/>
      <c r="AR1697" s="6"/>
      <c r="AS1697" s="6"/>
      <c r="AT1697" s="6"/>
      <c r="AU1697" s="6"/>
      <c r="AV1697" s="6"/>
      <c r="AW1697" s="6"/>
      <c r="AX1697" s="6"/>
      <c r="AY1697" s="6"/>
      <c r="AZ1697" s="6"/>
      <c r="BA1697" s="6"/>
      <c r="BB1697" s="6"/>
      <c r="BC1697" s="6"/>
      <c r="BD1697" s="6"/>
      <c r="BE1697" s="6"/>
      <c r="BF1697" s="6"/>
      <c r="BG1697" s="6"/>
      <c r="BH1697" s="6"/>
      <c r="BI1697" s="6"/>
      <c r="BJ1697" s="6"/>
      <c r="BK1697" s="6"/>
      <c r="BL1697" s="6"/>
      <c r="BM1697" s="6"/>
      <c r="BN1697" s="6"/>
      <c r="BO1697" s="6"/>
      <c r="BP1697" s="6"/>
    </row>
    <row r="1698" spans="1:68" s="10" customFormat="1" ht="12.75" x14ac:dyDescent="0.2">
      <c r="A1698" s="148" t="s">
        <v>23</v>
      </c>
      <c r="B1698" s="160">
        <v>614</v>
      </c>
      <c r="C1698" s="148" t="s">
        <v>289</v>
      </c>
      <c r="D1698" s="147" t="s">
        <v>498</v>
      </c>
      <c r="E1698" s="165">
        <v>38231</v>
      </c>
      <c r="F1698" s="150">
        <v>4778447</v>
      </c>
      <c r="G1698" s="147">
        <v>20310</v>
      </c>
      <c r="H1698" s="147"/>
      <c r="I1698" s="152"/>
      <c r="J1698" s="147"/>
      <c r="K1698" s="139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  <c r="AE1698" s="6"/>
      <c r="AF1698" s="6"/>
      <c r="AG1698" s="6"/>
      <c r="AH1698" s="6"/>
      <c r="AI1698" s="6"/>
      <c r="AJ1698" s="6"/>
      <c r="AK1698" s="6"/>
      <c r="AL1698" s="6"/>
      <c r="AM1698" s="6"/>
      <c r="AN1698" s="6"/>
      <c r="AO1698" s="6"/>
      <c r="AP1698" s="6"/>
      <c r="AQ1698" s="6"/>
      <c r="AR1698" s="6"/>
      <c r="AS1698" s="6"/>
      <c r="AT1698" s="6"/>
      <c r="AU1698" s="6"/>
      <c r="AV1698" s="6"/>
      <c r="AW1698" s="6"/>
      <c r="AX1698" s="6"/>
      <c r="AY1698" s="6"/>
      <c r="AZ1698" s="6"/>
      <c r="BA1698" s="6"/>
      <c r="BB1698" s="6"/>
      <c r="BC1698" s="6"/>
      <c r="BD1698" s="6"/>
      <c r="BE1698" s="6"/>
      <c r="BF1698" s="6"/>
      <c r="BG1698" s="6"/>
      <c r="BH1698" s="6"/>
      <c r="BI1698" s="6"/>
      <c r="BJ1698" s="6"/>
      <c r="BK1698" s="6"/>
      <c r="BL1698" s="6"/>
      <c r="BM1698" s="6"/>
      <c r="BN1698" s="6"/>
      <c r="BO1698" s="6"/>
      <c r="BP1698" s="6"/>
    </row>
    <row r="1699" spans="1:68" s="10" customFormat="1" ht="12.75" x14ac:dyDescent="0.2">
      <c r="A1699" s="147"/>
      <c r="B1699" s="147"/>
      <c r="C1699" s="169"/>
      <c r="D1699" s="149" t="s">
        <v>261</v>
      </c>
      <c r="E1699" s="165"/>
      <c r="F1699" s="150"/>
      <c r="G1699" s="147"/>
      <c r="H1699" s="147">
        <v>4679</v>
      </c>
      <c r="I1699" s="152">
        <f>H1699/$H$1702</f>
        <v>0.30845803942250644</v>
      </c>
      <c r="J1699" s="153"/>
      <c r="K1699" s="139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  <c r="AD1699" s="6"/>
      <c r="AE1699" s="6"/>
      <c r="AF1699" s="6"/>
      <c r="AG1699" s="6"/>
      <c r="AH1699" s="6"/>
      <c r="AI1699" s="6"/>
      <c r="AJ1699" s="6"/>
      <c r="AK1699" s="6"/>
      <c r="AL1699" s="6"/>
      <c r="AM1699" s="6"/>
      <c r="AN1699" s="6"/>
      <c r="AO1699" s="6"/>
      <c r="AP1699" s="6"/>
      <c r="AQ1699" s="6"/>
      <c r="AR1699" s="6"/>
      <c r="AS1699" s="6"/>
      <c r="AT1699" s="6"/>
      <c r="AU1699" s="6"/>
      <c r="AV1699" s="6"/>
      <c r="AW1699" s="6"/>
      <c r="AX1699" s="6"/>
      <c r="AY1699" s="6"/>
      <c r="AZ1699" s="6"/>
      <c r="BA1699" s="6"/>
      <c r="BB1699" s="6"/>
      <c r="BC1699" s="6"/>
      <c r="BD1699" s="6"/>
      <c r="BE1699" s="6"/>
      <c r="BF1699" s="6"/>
      <c r="BG1699" s="6"/>
      <c r="BH1699" s="6"/>
      <c r="BI1699" s="6"/>
      <c r="BJ1699" s="6"/>
      <c r="BK1699" s="6"/>
      <c r="BL1699" s="6"/>
      <c r="BM1699" s="6"/>
      <c r="BN1699" s="6"/>
      <c r="BO1699" s="6"/>
      <c r="BP1699" s="6"/>
    </row>
    <row r="1700" spans="1:68" s="10" customFormat="1" ht="12.75" x14ac:dyDescent="0.2">
      <c r="A1700" s="166"/>
      <c r="B1700" s="147"/>
      <c r="C1700" s="169"/>
      <c r="D1700" s="149" t="s">
        <v>262</v>
      </c>
      <c r="E1700" s="214"/>
      <c r="F1700" s="150"/>
      <c r="G1700" s="147"/>
      <c r="H1700" s="147">
        <v>8500</v>
      </c>
      <c r="I1700" s="152">
        <f>H1700/$H$1702</f>
        <v>0.56035335223152483</v>
      </c>
      <c r="J1700" s="153" t="s">
        <v>262</v>
      </c>
      <c r="K1700" s="139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  <c r="AE1700" s="6"/>
      <c r="AF1700" s="6"/>
      <c r="AG1700" s="6"/>
      <c r="AH1700" s="6"/>
      <c r="AI1700" s="6"/>
      <c r="AJ1700" s="6"/>
      <c r="AK1700" s="6"/>
      <c r="AL1700" s="6"/>
      <c r="AM1700" s="6"/>
      <c r="AN1700" s="6"/>
      <c r="AO1700" s="6"/>
      <c r="AP1700" s="6"/>
      <c r="AQ1700" s="6"/>
      <c r="AR1700" s="6"/>
      <c r="AS1700" s="6"/>
      <c r="AT1700" s="6"/>
      <c r="AU1700" s="6"/>
      <c r="AV1700" s="6"/>
      <c r="AW1700" s="6"/>
      <c r="AX1700" s="6"/>
      <c r="AY1700" s="6"/>
      <c r="AZ1700" s="6"/>
      <c r="BA1700" s="6"/>
      <c r="BB1700" s="6"/>
      <c r="BC1700" s="6"/>
      <c r="BD1700" s="6"/>
      <c r="BE1700" s="6"/>
      <c r="BF1700" s="6"/>
      <c r="BG1700" s="6"/>
      <c r="BH1700" s="6"/>
      <c r="BI1700" s="6"/>
      <c r="BJ1700" s="6"/>
      <c r="BK1700" s="6"/>
      <c r="BL1700" s="6"/>
      <c r="BM1700" s="6"/>
      <c r="BN1700" s="6"/>
      <c r="BO1700" s="6"/>
      <c r="BP1700" s="6"/>
    </row>
    <row r="1701" spans="1:68" s="10" customFormat="1" ht="12.75" x14ac:dyDescent="0.2">
      <c r="A1701" s="147"/>
      <c r="B1701" s="147"/>
      <c r="C1701" s="169"/>
      <c r="D1701" s="149" t="s">
        <v>288</v>
      </c>
      <c r="E1701" s="165"/>
      <c r="F1701" s="150"/>
      <c r="G1701" s="147"/>
      <c r="H1701" s="147">
        <v>1990</v>
      </c>
      <c r="I1701" s="152">
        <f>H1701/$H$1702</f>
        <v>0.13118860834596877</v>
      </c>
      <c r="J1701" s="153"/>
      <c r="K1701" s="139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  <c r="AE1701" s="6"/>
      <c r="AF1701" s="6"/>
      <c r="AG1701" s="6"/>
      <c r="AH1701" s="6"/>
      <c r="AI1701" s="6"/>
      <c r="AJ1701" s="6"/>
      <c r="AK1701" s="6"/>
      <c r="AL1701" s="6"/>
      <c r="AM1701" s="6"/>
      <c r="AN1701" s="6"/>
      <c r="AO1701" s="6"/>
      <c r="AP1701" s="6"/>
      <c r="AQ1701" s="6"/>
      <c r="AR1701" s="6"/>
      <c r="AS1701" s="6"/>
      <c r="AT1701" s="6"/>
      <c r="AU1701" s="6"/>
      <c r="AV1701" s="6"/>
      <c r="AW1701" s="6"/>
      <c r="AX1701" s="6"/>
      <c r="AY1701" s="6"/>
      <c r="AZ1701" s="6"/>
      <c r="BA1701" s="6"/>
      <c r="BB1701" s="6"/>
      <c r="BC1701" s="6"/>
      <c r="BD1701" s="6"/>
      <c r="BE1701" s="6"/>
      <c r="BF1701" s="6"/>
      <c r="BG1701" s="6"/>
      <c r="BH1701" s="6"/>
      <c r="BI1701" s="6"/>
      <c r="BJ1701" s="6"/>
      <c r="BK1701" s="6"/>
      <c r="BL1701" s="6"/>
      <c r="BM1701" s="6"/>
      <c r="BN1701" s="6"/>
      <c r="BO1701" s="6"/>
      <c r="BP1701" s="6"/>
    </row>
    <row r="1702" spans="1:68" s="10" customFormat="1" ht="12.75" x14ac:dyDescent="0.2">
      <c r="A1702" s="147"/>
      <c r="B1702" s="147"/>
      <c r="C1702" s="169"/>
      <c r="D1702" s="148" t="s">
        <v>33</v>
      </c>
      <c r="E1702" s="165"/>
      <c r="F1702" s="150"/>
      <c r="G1702" s="147"/>
      <c r="H1702" s="155">
        <f>SUM(H1699:H1701)</f>
        <v>15169</v>
      </c>
      <c r="I1702" s="156">
        <f>SUM(I1699:I1701)</f>
        <v>1</v>
      </c>
      <c r="J1702" s="147"/>
      <c r="K1702" s="139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  <c r="AE1702" s="6"/>
      <c r="AF1702" s="6"/>
      <c r="AG1702" s="6"/>
      <c r="AH1702" s="6"/>
      <c r="AI1702" s="6"/>
      <c r="AJ1702" s="6"/>
      <c r="AK1702" s="6"/>
      <c r="AL1702" s="6"/>
      <c r="AM1702" s="6"/>
      <c r="AN1702" s="6"/>
      <c r="AO1702" s="6"/>
      <c r="AP1702" s="6"/>
      <c r="AQ1702" s="6"/>
      <c r="AR1702" s="6"/>
      <c r="AS1702" s="6"/>
      <c r="AT1702" s="6"/>
      <c r="AU1702" s="6"/>
      <c r="AV1702" s="6"/>
      <c r="AW1702" s="6"/>
      <c r="AX1702" s="6"/>
      <c r="AY1702" s="6"/>
      <c r="AZ1702" s="6"/>
      <c r="BA1702" s="6"/>
      <c r="BB1702" s="6"/>
      <c r="BC1702" s="6"/>
      <c r="BD1702" s="6"/>
      <c r="BE1702" s="6"/>
      <c r="BF1702" s="6"/>
      <c r="BG1702" s="6"/>
      <c r="BH1702" s="6"/>
      <c r="BI1702" s="6"/>
      <c r="BJ1702" s="6"/>
      <c r="BK1702" s="6"/>
      <c r="BL1702" s="6"/>
      <c r="BM1702" s="6"/>
      <c r="BN1702" s="6"/>
      <c r="BO1702" s="6"/>
      <c r="BP1702" s="6"/>
    </row>
    <row r="1703" spans="1:68" s="10" customFormat="1" ht="12.75" x14ac:dyDescent="0.2">
      <c r="A1703" s="147"/>
      <c r="B1703" s="147"/>
      <c r="C1703" s="169"/>
      <c r="D1703" s="148"/>
      <c r="E1703" s="165"/>
      <c r="F1703" s="150"/>
      <c r="G1703" s="147"/>
      <c r="H1703" s="147"/>
      <c r="I1703" s="152"/>
      <c r="J1703" s="147"/>
      <c r="K1703" s="139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  <c r="AE1703" s="6"/>
      <c r="AF1703" s="6"/>
      <c r="AG1703" s="6"/>
      <c r="AH1703" s="6"/>
      <c r="AI1703" s="6"/>
      <c r="AJ1703" s="6"/>
      <c r="AK1703" s="6"/>
      <c r="AL1703" s="6"/>
      <c r="AM1703" s="6"/>
      <c r="AN1703" s="6"/>
      <c r="AO1703" s="6"/>
      <c r="AP1703" s="6"/>
      <c r="AQ1703" s="6"/>
      <c r="AR1703" s="6"/>
      <c r="AS1703" s="6"/>
      <c r="AT1703" s="6"/>
      <c r="AU1703" s="6"/>
      <c r="AV1703" s="6"/>
      <c r="AW1703" s="6"/>
      <c r="AX1703" s="6"/>
      <c r="AY1703" s="6"/>
      <c r="AZ1703" s="6"/>
      <c r="BA1703" s="6"/>
      <c r="BB1703" s="6"/>
      <c r="BC1703" s="6"/>
      <c r="BD1703" s="6"/>
      <c r="BE1703" s="6"/>
      <c r="BF1703" s="6"/>
      <c r="BG1703" s="6"/>
      <c r="BH1703" s="6"/>
      <c r="BI1703" s="6"/>
      <c r="BJ1703" s="6"/>
      <c r="BK1703" s="6"/>
      <c r="BL1703" s="6"/>
      <c r="BM1703" s="6"/>
      <c r="BN1703" s="6"/>
      <c r="BO1703" s="6"/>
      <c r="BP1703" s="6"/>
    </row>
    <row r="1704" spans="1:68" s="10" customFormat="1" ht="12.75" x14ac:dyDescent="0.2">
      <c r="A1704" s="148" t="s">
        <v>23</v>
      </c>
      <c r="B1704" s="160">
        <v>633</v>
      </c>
      <c r="C1704" s="148" t="s">
        <v>289</v>
      </c>
      <c r="D1704" s="147" t="s">
        <v>493</v>
      </c>
      <c r="E1704" s="204">
        <v>38049</v>
      </c>
      <c r="F1704" s="150">
        <v>12707125</v>
      </c>
      <c r="G1704" s="147">
        <v>72998</v>
      </c>
      <c r="H1704" s="147"/>
      <c r="I1704" s="152"/>
      <c r="J1704" s="147"/>
      <c r="K1704" s="139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  <c r="AE1704" s="6"/>
      <c r="AF1704" s="6"/>
      <c r="AG1704" s="6"/>
      <c r="AH1704" s="6"/>
      <c r="AI1704" s="6"/>
      <c r="AJ1704" s="6"/>
      <c r="AK1704" s="6"/>
      <c r="AL1704" s="6"/>
      <c r="AM1704" s="6"/>
      <c r="AN1704" s="6"/>
      <c r="AO1704" s="6"/>
      <c r="AP1704" s="6"/>
      <c r="AQ1704" s="6"/>
      <c r="AR1704" s="6"/>
      <c r="AS1704" s="6"/>
      <c r="AT1704" s="6"/>
      <c r="AU1704" s="6"/>
      <c r="AV1704" s="6"/>
      <c r="AW1704" s="6"/>
      <c r="AX1704" s="6"/>
      <c r="AY1704" s="6"/>
      <c r="AZ1704" s="6"/>
      <c r="BA1704" s="6"/>
      <c r="BB1704" s="6"/>
      <c r="BC1704" s="6"/>
      <c r="BD1704" s="6"/>
      <c r="BE1704" s="6"/>
      <c r="BF1704" s="6"/>
      <c r="BG1704" s="6"/>
      <c r="BH1704" s="6"/>
      <c r="BI1704" s="6"/>
      <c r="BJ1704" s="6"/>
      <c r="BK1704" s="6"/>
      <c r="BL1704" s="6"/>
      <c r="BM1704" s="6"/>
      <c r="BN1704" s="6"/>
      <c r="BO1704" s="6"/>
      <c r="BP1704" s="6"/>
    </row>
    <row r="1705" spans="1:68" s="10" customFormat="1" ht="12.75" x14ac:dyDescent="0.2">
      <c r="A1705" s="147"/>
      <c r="B1705" s="147"/>
      <c r="C1705" s="169"/>
      <c r="D1705" s="149" t="s">
        <v>261</v>
      </c>
      <c r="E1705" s="165"/>
      <c r="F1705" s="150"/>
      <c r="G1705" s="147"/>
      <c r="H1705" s="147">
        <v>6779</v>
      </c>
      <c r="I1705" s="152">
        <f>H1705/$H$1713</f>
        <v>0.13693566306433694</v>
      </c>
      <c r="J1705" s="153"/>
      <c r="K1705" s="139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  <c r="AE1705" s="6"/>
      <c r="AF1705" s="6"/>
      <c r="AG1705" s="6"/>
      <c r="AH1705" s="6"/>
      <c r="AI1705" s="6"/>
      <c r="AJ1705" s="6"/>
      <c r="AK1705" s="6"/>
      <c r="AL1705" s="6"/>
      <c r="AM1705" s="6"/>
      <c r="AN1705" s="6"/>
      <c r="AO1705" s="6"/>
      <c r="AP1705" s="6"/>
      <c r="AQ1705" s="6"/>
      <c r="AR1705" s="6"/>
      <c r="AS1705" s="6"/>
      <c r="AT1705" s="6"/>
      <c r="AU1705" s="6"/>
      <c r="AV1705" s="6"/>
      <c r="AW1705" s="6"/>
      <c r="AX1705" s="6"/>
      <c r="AY1705" s="6"/>
      <c r="AZ1705" s="6"/>
      <c r="BA1705" s="6"/>
      <c r="BB1705" s="6"/>
      <c r="BC1705" s="6"/>
      <c r="BD1705" s="6"/>
      <c r="BE1705" s="6"/>
      <c r="BF1705" s="6"/>
      <c r="BG1705" s="6"/>
      <c r="BH1705" s="6"/>
      <c r="BI1705" s="6"/>
      <c r="BJ1705" s="6"/>
      <c r="BK1705" s="6"/>
      <c r="BL1705" s="6"/>
      <c r="BM1705" s="6"/>
      <c r="BN1705" s="6"/>
      <c r="BO1705" s="6"/>
      <c r="BP1705" s="6"/>
    </row>
    <row r="1706" spans="1:68" s="10" customFormat="1" ht="12.75" x14ac:dyDescent="0.2">
      <c r="A1706" s="147"/>
      <c r="B1706" s="147"/>
      <c r="C1706" s="169"/>
      <c r="D1706" s="149" t="s">
        <v>291</v>
      </c>
      <c r="E1706" s="165"/>
      <c r="F1706" s="150"/>
      <c r="G1706" s="147"/>
      <c r="H1706" s="147">
        <v>3393</v>
      </c>
      <c r="I1706" s="152">
        <f t="shared" ref="I1706:I1712" si="43">H1706/$H$1713</f>
        <v>6.8538531461468544E-2</v>
      </c>
      <c r="J1706" s="153"/>
      <c r="K1706" s="139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  <c r="AE1706" s="6"/>
      <c r="AF1706" s="6"/>
      <c r="AG1706" s="6"/>
      <c r="AH1706" s="6"/>
      <c r="AI1706" s="6"/>
      <c r="AJ1706" s="6"/>
      <c r="AK1706" s="6"/>
      <c r="AL1706" s="6"/>
      <c r="AM1706" s="6"/>
      <c r="AN1706" s="6"/>
      <c r="AO1706" s="6"/>
      <c r="AP1706" s="6"/>
      <c r="AQ1706" s="6"/>
      <c r="AR1706" s="6"/>
      <c r="AS1706" s="6"/>
      <c r="AT1706" s="6"/>
      <c r="AU1706" s="6"/>
      <c r="AV1706" s="6"/>
      <c r="AW1706" s="6"/>
      <c r="AX1706" s="6"/>
      <c r="AY1706" s="6"/>
      <c r="AZ1706" s="6"/>
      <c r="BA1706" s="6"/>
      <c r="BB1706" s="6"/>
      <c r="BC1706" s="6"/>
      <c r="BD1706" s="6"/>
      <c r="BE1706" s="6"/>
      <c r="BF1706" s="6"/>
      <c r="BG1706" s="6"/>
      <c r="BH1706" s="6"/>
      <c r="BI1706" s="6"/>
      <c r="BJ1706" s="6"/>
      <c r="BK1706" s="6"/>
      <c r="BL1706" s="6"/>
      <c r="BM1706" s="6"/>
      <c r="BN1706" s="6"/>
      <c r="BO1706" s="6"/>
      <c r="BP1706" s="6"/>
    </row>
    <row r="1707" spans="1:68" s="10" customFormat="1" ht="12.75" x14ac:dyDescent="0.2">
      <c r="A1707" s="147"/>
      <c r="B1707" s="147"/>
      <c r="C1707" s="169"/>
      <c r="D1707" s="149" t="s">
        <v>284</v>
      </c>
      <c r="E1707" s="165"/>
      <c r="F1707" s="150"/>
      <c r="G1707" s="147"/>
      <c r="H1707" s="147">
        <v>1314</v>
      </c>
      <c r="I1707" s="152">
        <f t="shared" si="43"/>
        <v>2.6542773457226543E-2</v>
      </c>
      <c r="J1707" s="153"/>
      <c r="K1707" s="139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  <c r="AE1707" s="6"/>
      <c r="AF1707" s="6"/>
      <c r="AG1707" s="6"/>
      <c r="AH1707" s="6"/>
      <c r="AI1707" s="6"/>
      <c r="AJ1707" s="6"/>
      <c r="AK1707" s="6"/>
      <c r="AL1707" s="6"/>
      <c r="AM1707" s="6"/>
      <c r="AN1707" s="6"/>
      <c r="AO1707" s="6"/>
      <c r="AP1707" s="6"/>
      <c r="AQ1707" s="6"/>
      <c r="AR1707" s="6"/>
      <c r="AS1707" s="6"/>
      <c r="AT1707" s="6"/>
      <c r="AU1707" s="6"/>
      <c r="AV1707" s="6"/>
      <c r="AW1707" s="6"/>
      <c r="AX1707" s="6"/>
      <c r="AY1707" s="6"/>
      <c r="AZ1707" s="6"/>
      <c r="BA1707" s="6"/>
      <c r="BB1707" s="6"/>
      <c r="BC1707" s="6"/>
      <c r="BD1707" s="6"/>
      <c r="BE1707" s="6"/>
      <c r="BF1707" s="6"/>
      <c r="BG1707" s="6"/>
      <c r="BH1707" s="6"/>
      <c r="BI1707" s="6"/>
      <c r="BJ1707" s="6"/>
      <c r="BK1707" s="6"/>
      <c r="BL1707" s="6"/>
      <c r="BM1707" s="6"/>
      <c r="BN1707" s="6"/>
      <c r="BO1707" s="6"/>
      <c r="BP1707" s="6"/>
    </row>
    <row r="1708" spans="1:68" s="10" customFormat="1" ht="12.75" x14ac:dyDescent="0.2">
      <c r="A1708" s="147"/>
      <c r="B1708" s="147"/>
      <c r="C1708" s="169"/>
      <c r="D1708" s="149" t="s">
        <v>242</v>
      </c>
      <c r="E1708" s="165"/>
      <c r="F1708" s="150"/>
      <c r="G1708" s="147"/>
      <c r="H1708" s="147">
        <v>740</v>
      </c>
      <c r="I1708" s="152">
        <f t="shared" si="43"/>
        <v>1.4947985052014948E-2</v>
      </c>
      <c r="J1708" s="153"/>
      <c r="K1708" s="139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  <c r="AF1708" s="6"/>
      <c r="AG1708" s="6"/>
      <c r="AH1708" s="6"/>
      <c r="AI1708" s="6"/>
      <c r="AJ1708" s="6"/>
      <c r="AK1708" s="6"/>
      <c r="AL1708" s="6"/>
      <c r="AM1708" s="6"/>
      <c r="AN1708" s="6"/>
      <c r="AO1708" s="6"/>
      <c r="AP1708" s="6"/>
      <c r="AQ1708" s="6"/>
      <c r="AR1708" s="6"/>
      <c r="AS1708" s="6"/>
      <c r="AT1708" s="6"/>
      <c r="AU1708" s="6"/>
      <c r="AV1708" s="6"/>
      <c r="AW1708" s="6"/>
      <c r="AX1708" s="6"/>
      <c r="AY1708" s="6"/>
      <c r="AZ1708" s="6"/>
      <c r="BA1708" s="6"/>
      <c r="BB1708" s="6"/>
      <c r="BC1708" s="6"/>
      <c r="BD1708" s="6"/>
      <c r="BE1708" s="6"/>
      <c r="BF1708" s="6"/>
      <c r="BG1708" s="6"/>
      <c r="BH1708" s="6"/>
      <c r="BI1708" s="6"/>
      <c r="BJ1708" s="6"/>
      <c r="BK1708" s="6"/>
      <c r="BL1708" s="6"/>
      <c r="BM1708" s="6"/>
      <c r="BN1708" s="6"/>
      <c r="BO1708" s="6"/>
      <c r="BP1708" s="6"/>
    </row>
    <row r="1709" spans="1:68" s="10" customFormat="1" ht="12.75" x14ac:dyDescent="0.2">
      <c r="A1709" s="147"/>
      <c r="B1709" s="147"/>
      <c r="C1709" s="169"/>
      <c r="D1709" s="149" t="s">
        <v>262</v>
      </c>
      <c r="E1709" s="165"/>
      <c r="F1709" s="150"/>
      <c r="G1709" s="147"/>
      <c r="H1709" s="147">
        <v>4306</v>
      </c>
      <c r="I1709" s="152">
        <f t="shared" si="43"/>
        <v>8.6981113018886988E-2</v>
      </c>
      <c r="J1709" s="153"/>
      <c r="K1709" s="139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  <c r="AE1709" s="6"/>
      <c r="AF1709" s="6"/>
      <c r="AG1709" s="6"/>
      <c r="AH1709" s="6"/>
      <c r="AI1709" s="6"/>
      <c r="AJ1709" s="6"/>
      <c r="AK1709" s="6"/>
      <c r="AL1709" s="6"/>
      <c r="AM1709" s="6"/>
      <c r="AN1709" s="6"/>
      <c r="AO1709" s="6"/>
      <c r="AP1709" s="6"/>
      <c r="AQ1709" s="6"/>
      <c r="AR1709" s="6"/>
      <c r="AS1709" s="6"/>
      <c r="AT1709" s="6"/>
      <c r="AU1709" s="6"/>
      <c r="AV1709" s="6"/>
      <c r="AW1709" s="6"/>
      <c r="AX1709" s="6"/>
      <c r="AY1709" s="6"/>
      <c r="AZ1709" s="6"/>
      <c r="BA1709" s="6"/>
      <c r="BB1709" s="6"/>
      <c r="BC1709" s="6"/>
      <c r="BD1709" s="6"/>
      <c r="BE1709" s="6"/>
      <c r="BF1709" s="6"/>
      <c r="BG1709" s="6"/>
      <c r="BH1709" s="6"/>
      <c r="BI1709" s="6"/>
      <c r="BJ1709" s="6"/>
      <c r="BK1709" s="6"/>
      <c r="BL1709" s="6"/>
      <c r="BM1709" s="6"/>
      <c r="BN1709" s="6"/>
      <c r="BO1709" s="6"/>
      <c r="BP1709" s="6"/>
    </row>
    <row r="1710" spans="1:68" s="10" customFormat="1" ht="12.75" x14ac:dyDescent="0.2">
      <c r="A1710" s="147"/>
      <c r="B1710" s="147"/>
      <c r="C1710" s="169"/>
      <c r="D1710" s="149" t="s">
        <v>288</v>
      </c>
      <c r="E1710" s="165"/>
      <c r="F1710" s="150"/>
      <c r="G1710" s="147"/>
      <c r="H1710" s="147">
        <v>25696</v>
      </c>
      <c r="I1710" s="152">
        <f t="shared" si="43"/>
        <v>0.51905868094131902</v>
      </c>
      <c r="J1710" s="153" t="s">
        <v>288</v>
      </c>
      <c r="K1710" s="139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  <c r="AE1710" s="6"/>
      <c r="AF1710" s="6"/>
      <c r="AG1710" s="6"/>
      <c r="AH1710" s="6"/>
      <c r="AI1710" s="6"/>
      <c r="AJ1710" s="6"/>
      <c r="AK1710" s="6"/>
      <c r="AL1710" s="6"/>
      <c r="AM1710" s="6"/>
      <c r="AN1710" s="6"/>
      <c r="AO1710" s="6"/>
      <c r="AP1710" s="6"/>
      <c r="AQ1710" s="6"/>
      <c r="AR1710" s="6"/>
      <c r="AS1710" s="6"/>
      <c r="AT1710" s="6"/>
      <c r="AU1710" s="6"/>
      <c r="AV1710" s="6"/>
      <c r="AW1710" s="6"/>
      <c r="AX1710" s="6"/>
      <c r="AY1710" s="6"/>
      <c r="AZ1710" s="6"/>
      <c r="BA1710" s="6"/>
      <c r="BB1710" s="6"/>
      <c r="BC1710" s="6"/>
      <c r="BD1710" s="6"/>
      <c r="BE1710" s="6"/>
      <c r="BF1710" s="6"/>
      <c r="BG1710" s="6"/>
      <c r="BH1710" s="6"/>
      <c r="BI1710" s="6"/>
      <c r="BJ1710" s="6"/>
      <c r="BK1710" s="6"/>
      <c r="BL1710" s="6"/>
      <c r="BM1710" s="6"/>
      <c r="BN1710" s="6"/>
      <c r="BO1710" s="6"/>
      <c r="BP1710" s="6"/>
    </row>
    <row r="1711" spans="1:68" s="10" customFormat="1" ht="12.75" x14ac:dyDescent="0.2">
      <c r="A1711" s="147"/>
      <c r="B1711" s="147"/>
      <c r="C1711" s="169"/>
      <c r="D1711" s="149" t="s">
        <v>292</v>
      </c>
      <c r="E1711" s="165"/>
      <c r="F1711" s="150"/>
      <c r="G1711" s="147"/>
      <c r="H1711" s="147">
        <v>1060</v>
      </c>
      <c r="I1711" s="152">
        <f t="shared" si="43"/>
        <v>2.1411978588021411E-2</v>
      </c>
      <c r="J1711" s="153"/>
      <c r="K1711" s="139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  <c r="AE1711" s="6"/>
      <c r="AF1711" s="6"/>
      <c r="AG1711" s="6"/>
      <c r="AH1711" s="6"/>
      <c r="AI1711" s="6"/>
      <c r="AJ1711" s="6"/>
      <c r="AK1711" s="6"/>
      <c r="AL1711" s="6"/>
      <c r="AM1711" s="6"/>
      <c r="AN1711" s="6"/>
      <c r="AO1711" s="6"/>
      <c r="AP1711" s="6"/>
      <c r="AQ1711" s="6"/>
      <c r="AR1711" s="6"/>
      <c r="AS1711" s="6"/>
      <c r="AT1711" s="6"/>
      <c r="AU1711" s="6"/>
      <c r="AV1711" s="6"/>
      <c r="AW1711" s="6"/>
      <c r="AX1711" s="6"/>
      <c r="AY1711" s="6"/>
      <c r="AZ1711" s="6"/>
      <c r="BA1711" s="6"/>
      <c r="BB1711" s="6"/>
      <c r="BC1711" s="6"/>
      <c r="BD1711" s="6"/>
      <c r="BE1711" s="6"/>
      <c r="BF1711" s="6"/>
      <c r="BG1711" s="6"/>
      <c r="BH1711" s="6"/>
      <c r="BI1711" s="6"/>
      <c r="BJ1711" s="6"/>
      <c r="BK1711" s="6"/>
      <c r="BL1711" s="6"/>
      <c r="BM1711" s="6"/>
      <c r="BN1711" s="6"/>
      <c r="BO1711" s="6"/>
      <c r="BP1711" s="6"/>
    </row>
    <row r="1712" spans="1:68" s="10" customFormat="1" ht="12.75" x14ac:dyDescent="0.2">
      <c r="A1712" s="147"/>
      <c r="B1712" s="147"/>
      <c r="C1712" s="169"/>
      <c r="D1712" s="149" t="s">
        <v>285</v>
      </c>
      <c r="E1712" s="165"/>
      <c r="F1712" s="150"/>
      <c r="G1712" s="147"/>
      <c r="H1712" s="147">
        <v>6217</v>
      </c>
      <c r="I1712" s="152">
        <f t="shared" si="43"/>
        <v>0.12558327441672559</v>
      </c>
      <c r="J1712" s="153"/>
      <c r="K1712" s="139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  <c r="AE1712" s="6"/>
      <c r="AF1712" s="6"/>
      <c r="AG1712" s="6"/>
      <c r="AH1712" s="6"/>
      <c r="AI1712" s="6"/>
      <c r="AJ1712" s="6"/>
      <c r="AK1712" s="6"/>
      <c r="AL1712" s="6"/>
      <c r="AM1712" s="6"/>
      <c r="AN1712" s="6"/>
      <c r="AO1712" s="6"/>
      <c r="AP1712" s="6"/>
      <c r="AQ1712" s="6"/>
      <c r="AR1712" s="6"/>
      <c r="AS1712" s="6"/>
      <c r="AT1712" s="6"/>
      <c r="AU1712" s="6"/>
      <c r="AV1712" s="6"/>
      <c r="AW1712" s="6"/>
      <c r="AX1712" s="6"/>
      <c r="AY1712" s="6"/>
      <c r="AZ1712" s="6"/>
      <c r="BA1712" s="6"/>
      <c r="BB1712" s="6"/>
      <c r="BC1712" s="6"/>
      <c r="BD1712" s="6"/>
      <c r="BE1712" s="6"/>
      <c r="BF1712" s="6"/>
      <c r="BG1712" s="6"/>
      <c r="BH1712" s="6"/>
      <c r="BI1712" s="6"/>
      <c r="BJ1712" s="6"/>
      <c r="BK1712" s="6"/>
      <c r="BL1712" s="6"/>
      <c r="BM1712" s="6"/>
      <c r="BN1712" s="6"/>
      <c r="BO1712" s="6"/>
      <c r="BP1712" s="6"/>
    </row>
    <row r="1713" spans="1:68" s="10" customFormat="1" ht="12.75" x14ac:dyDescent="0.2">
      <c r="A1713" s="147"/>
      <c r="B1713" s="147"/>
      <c r="C1713" s="169"/>
      <c r="D1713" s="148" t="s">
        <v>33</v>
      </c>
      <c r="E1713" s="165"/>
      <c r="F1713" s="150"/>
      <c r="G1713" s="147"/>
      <c r="H1713" s="155">
        <f>SUM(H1705:H1712)</f>
        <v>49505</v>
      </c>
      <c r="I1713" s="156">
        <f>SUM(I1705:I1712)</f>
        <v>1</v>
      </c>
      <c r="J1713" s="147"/>
      <c r="K1713" s="139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  <c r="AE1713" s="6"/>
      <c r="AF1713" s="6"/>
      <c r="AG1713" s="6"/>
      <c r="AH1713" s="6"/>
      <c r="AI1713" s="6"/>
      <c r="AJ1713" s="6"/>
      <c r="AK1713" s="6"/>
      <c r="AL1713" s="6"/>
      <c r="AM1713" s="6"/>
      <c r="AN1713" s="6"/>
      <c r="AO1713" s="6"/>
      <c r="AP1713" s="6"/>
      <c r="AQ1713" s="6"/>
      <c r="AR1713" s="6"/>
      <c r="AS1713" s="6"/>
      <c r="AT1713" s="6"/>
      <c r="AU1713" s="6"/>
      <c r="AV1713" s="6"/>
      <c r="AW1713" s="6"/>
      <c r="AX1713" s="6"/>
      <c r="AY1713" s="6"/>
      <c r="AZ1713" s="6"/>
      <c r="BA1713" s="6"/>
      <c r="BB1713" s="6"/>
      <c r="BC1713" s="6"/>
      <c r="BD1713" s="6"/>
      <c r="BE1713" s="6"/>
      <c r="BF1713" s="6"/>
      <c r="BG1713" s="6"/>
      <c r="BH1713" s="6"/>
      <c r="BI1713" s="6"/>
      <c r="BJ1713" s="6"/>
      <c r="BK1713" s="6"/>
      <c r="BL1713" s="6"/>
      <c r="BM1713" s="6"/>
      <c r="BN1713" s="6"/>
      <c r="BO1713" s="6"/>
      <c r="BP1713" s="6"/>
    </row>
    <row r="1714" spans="1:68" s="10" customFormat="1" ht="12.75" x14ac:dyDescent="0.2">
      <c r="A1714" s="147"/>
      <c r="B1714" s="147"/>
      <c r="C1714" s="169"/>
      <c r="D1714" s="148"/>
      <c r="E1714" s="165"/>
      <c r="F1714" s="150"/>
      <c r="G1714" s="147"/>
      <c r="H1714" s="147"/>
      <c r="I1714" s="152"/>
      <c r="J1714" s="147"/>
      <c r="K1714" s="139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  <c r="AE1714" s="6"/>
      <c r="AF1714" s="6"/>
      <c r="AG1714" s="6"/>
      <c r="AH1714" s="6"/>
      <c r="AI1714" s="6"/>
      <c r="AJ1714" s="6"/>
      <c r="AK1714" s="6"/>
      <c r="AL1714" s="6"/>
      <c r="AM1714" s="6"/>
      <c r="AN1714" s="6"/>
      <c r="AO1714" s="6"/>
      <c r="AP1714" s="6"/>
      <c r="AQ1714" s="6"/>
      <c r="AR1714" s="6"/>
      <c r="AS1714" s="6"/>
      <c r="AT1714" s="6"/>
      <c r="AU1714" s="6"/>
      <c r="AV1714" s="6"/>
      <c r="AW1714" s="6"/>
      <c r="AX1714" s="6"/>
      <c r="AY1714" s="6"/>
      <c r="AZ1714" s="6"/>
      <c r="BA1714" s="6"/>
      <c r="BB1714" s="6"/>
      <c r="BC1714" s="6"/>
      <c r="BD1714" s="6"/>
      <c r="BE1714" s="6"/>
      <c r="BF1714" s="6"/>
      <c r="BG1714" s="6"/>
      <c r="BH1714" s="6"/>
      <c r="BI1714" s="6"/>
      <c r="BJ1714" s="6"/>
      <c r="BK1714" s="6"/>
      <c r="BL1714" s="6"/>
      <c r="BM1714" s="6"/>
      <c r="BN1714" s="6"/>
      <c r="BO1714" s="6"/>
      <c r="BP1714" s="6"/>
    </row>
    <row r="1715" spans="1:68" s="10" customFormat="1" ht="12.75" x14ac:dyDescent="0.2">
      <c r="A1715" s="148" t="s">
        <v>23</v>
      </c>
      <c r="B1715" s="160">
        <v>673</v>
      </c>
      <c r="C1715" s="148" t="s">
        <v>289</v>
      </c>
      <c r="D1715" s="147" t="s">
        <v>494</v>
      </c>
      <c r="E1715" s="204">
        <v>38322</v>
      </c>
      <c r="F1715" s="150">
        <v>2406475</v>
      </c>
      <c r="G1715" s="147">
        <v>15045</v>
      </c>
      <c r="H1715" s="147"/>
      <c r="I1715" s="152"/>
      <c r="J1715" s="147"/>
      <c r="K1715" s="139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  <c r="AE1715" s="6"/>
      <c r="AF1715" s="6"/>
      <c r="AG1715" s="6"/>
      <c r="AH1715" s="6"/>
      <c r="AI1715" s="6"/>
      <c r="AJ1715" s="6"/>
      <c r="AK1715" s="6"/>
      <c r="AL1715" s="6"/>
      <c r="AM1715" s="6"/>
      <c r="AN1715" s="6"/>
      <c r="AO1715" s="6"/>
      <c r="AP1715" s="6"/>
      <c r="AQ1715" s="6"/>
      <c r="AR1715" s="6"/>
      <c r="AS1715" s="6"/>
      <c r="AT1715" s="6"/>
      <c r="AU1715" s="6"/>
      <c r="AV1715" s="6"/>
      <c r="AW1715" s="6"/>
      <c r="AX1715" s="6"/>
      <c r="AY1715" s="6"/>
      <c r="AZ1715" s="6"/>
      <c r="BA1715" s="6"/>
      <c r="BB1715" s="6"/>
      <c r="BC1715" s="6"/>
      <c r="BD1715" s="6"/>
      <c r="BE1715" s="6"/>
      <c r="BF1715" s="6"/>
      <c r="BG1715" s="6"/>
      <c r="BH1715" s="6"/>
      <c r="BI1715" s="6"/>
      <c r="BJ1715" s="6"/>
      <c r="BK1715" s="6"/>
      <c r="BL1715" s="6"/>
      <c r="BM1715" s="6"/>
      <c r="BN1715" s="6"/>
      <c r="BO1715" s="6"/>
      <c r="BP1715" s="6"/>
    </row>
    <row r="1716" spans="1:68" s="10" customFormat="1" ht="12.75" x14ac:dyDescent="0.2">
      <c r="A1716" s="147"/>
      <c r="B1716" s="147"/>
      <c r="C1716" s="169"/>
      <c r="D1716" s="149" t="s">
        <v>261</v>
      </c>
      <c r="E1716" s="165"/>
      <c r="F1716" s="150"/>
      <c r="G1716" s="147"/>
      <c r="H1716" s="147">
        <v>3560</v>
      </c>
      <c r="I1716" s="152">
        <f>H1716/$H$1720</f>
        <v>0.29339047305093124</v>
      </c>
      <c r="J1716" s="153" t="s">
        <v>261</v>
      </c>
      <c r="K1716" s="139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  <c r="AE1716" s="6"/>
      <c r="AF1716" s="6"/>
      <c r="AG1716" s="6"/>
      <c r="AH1716" s="6"/>
      <c r="AI1716" s="6"/>
      <c r="AJ1716" s="6"/>
      <c r="AK1716" s="6"/>
      <c r="AL1716" s="6"/>
      <c r="AM1716" s="6"/>
      <c r="AN1716" s="6"/>
      <c r="AO1716" s="6"/>
      <c r="AP1716" s="6"/>
      <c r="AQ1716" s="6"/>
      <c r="AR1716" s="6"/>
      <c r="AS1716" s="6"/>
      <c r="AT1716" s="6"/>
      <c r="AU1716" s="6"/>
      <c r="AV1716" s="6"/>
      <c r="AW1716" s="6"/>
      <c r="AX1716" s="6"/>
      <c r="AY1716" s="6"/>
      <c r="AZ1716" s="6"/>
      <c r="BA1716" s="6"/>
      <c r="BB1716" s="6"/>
      <c r="BC1716" s="6"/>
      <c r="BD1716" s="6"/>
      <c r="BE1716" s="6"/>
      <c r="BF1716" s="6"/>
      <c r="BG1716" s="6"/>
      <c r="BH1716" s="6"/>
      <c r="BI1716" s="6"/>
      <c r="BJ1716" s="6"/>
      <c r="BK1716" s="6"/>
      <c r="BL1716" s="6"/>
      <c r="BM1716" s="6"/>
      <c r="BN1716" s="6"/>
      <c r="BO1716" s="6"/>
      <c r="BP1716" s="6"/>
    </row>
    <row r="1717" spans="1:68" s="10" customFormat="1" ht="12.75" x14ac:dyDescent="0.2">
      <c r="A1717" s="147"/>
      <c r="B1717" s="147"/>
      <c r="C1717" s="169"/>
      <c r="D1717" s="149" t="s">
        <v>290</v>
      </c>
      <c r="E1717" s="165"/>
      <c r="F1717" s="150"/>
      <c r="G1717" s="147"/>
      <c r="H1717" s="147">
        <v>3710</v>
      </c>
      <c r="I1717" s="152">
        <f>H1717/$H$1720</f>
        <v>0.3057524311850997</v>
      </c>
      <c r="J1717" s="153" t="s">
        <v>290</v>
      </c>
      <c r="K1717" s="139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  <c r="AE1717" s="6"/>
      <c r="AF1717" s="6"/>
      <c r="AG1717" s="6"/>
      <c r="AH1717" s="6"/>
      <c r="AI1717" s="6"/>
      <c r="AJ1717" s="6"/>
      <c r="AK1717" s="6"/>
      <c r="AL1717" s="6"/>
      <c r="AM1717" s="6"/>
      <c r="AN1717" s="6"/>
      <c r="AO1717" s="6"/>
      <c r="AP1717" s="6"/>
      <c r="AQ1717" s="6"/>
      <c r="AR1717" s="6"/>
      <c r="AS1717" s="6"/>
      <c r="AT1717" s="6"/>
      <c r="AU1717" s="6"/>
      <c r="AV1717" s="6"/>
      <c r="AW1717" s="6"/>
      <c r="AX1717" s="6"/>
      <c r="AY1717" s="6"/>
      <c r="AZ1717" s="6"/>
      <c r="BA1717" s="6"/>
      <c r="BB1717" s="6"/>
      <c r="BC1717" s="6"/>
      <c r="BD1717" s="6"/>
      <c r="BE1717" s="6"/>
      <c r="BF1717" s="6"/>
      <c r="BG1717" s="6"/>
      <c r="BH1717" s="6"/>
      <c r="BI1717" s="6"/>
      <c r="BJ1717" s="6"/>
      <c r="BK1717" s="6"/>
      <c r="BL1717" s="6"/>
      <c r="BM1717" s="6"/>
      <c r="BN1717" s="6"/>
      <c r="BO1717" s="6"/>
      <c r="BP1717" s="6"/>
    </row>
    <row r="1718" spans="1:68" s="10" customFormat="1" ht="12.75" x14ac:dyDescent="0.2">
      <c r="A1718" s="147"/>
      <c r="B1718" s="147"/>
      <c r="C1718" s="169"/>
      <c r="D1718" s="149" t="s">
        <v>284</v>
      </c>
      <c r="E1718" s="165"/>
      <c r="F1718" s="150"/>
      <c r="G1718" s="147"/>
      <c r="H1718" s="147">
        <v>1100</v>
      </c>
      <c r="I1718" s="152">
        <f>H1718/$H$1720</f>
        <v>9.0654359650568644E-2</v>
      </c>
      <c r="J1718" s="153"/>
      <c r="K1718" s="139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  <c r="AE1718" s="6"/>
      <c r="AF1718" s="6"/>
      <c r="AG1718" s="6"/>
      <c r="AH1718" s="6"/>
      <c r="AI1718" s="6"/>
      <c r="AJ1718" s="6"/>
      <c r="AK1718" s="6"/>
      <c r="AL1718" s="6"/>
      <c r="AM1718" s="6"/>
      <c r="AN1718" s="6"/>
      <c r="AO1718" s="6"/>
      <c r="AP1718" s="6"/>
      <c r="AQ1718" s="6"/>
      <c r="AR1718" s="6"/>
      <c r="AS1718" s="6"/>
      <c r="AT1718" s="6"/>
      <c r="AU1718" s="6"/>
      <c r="AV1718" s="6"/>
      <c r="AW1718" s="6"/>
      <c r="AX1718" s="6"/>
      <c r="AY1718" s="6"/>
      <c r="AZ1718" s="6"/>
      <c r="BA1718" s="6"/>
      <c r="BB1718" s="6"/>
      <c r="BC1718" s="6"/>
      <c r="BD1718" s="6"/>
      <c r="BE1718" s="6"/>
      <c r="BF1718" s="6"/>
      <c r="BG1718" s="6"/>
      <c r="BH1718" s="6"/>
      <c r="BI1718" s="6"/>
      <c r="BJ1718" s="6"/>
      <c r="BK1718" s="6"/>
      <c r="BL1718" s="6"/>
      <c r="BM1718" s="6"/>
      <c r="BN1718" s="6"/>
      <c r="BO1718" s="6"/>
      <c r="BP1718" s="6"/>
    </row>
    <row r="1719" spans="1:68" s="10" customFormat="1" ht="12.75" x14ac:dyDescent="0.2">
      <c r="A1719" s="147"/>
      <c r="B1719" s="147"/>
      <c r="C1719" s="169"/>
      <c r="D1719" s="149" t="s">
        <v>288</v>
      </c>
      <c r="E1719" s="165"/>
      <c r="F1719" s="150"/>
      <c r="G1719" s="147"/>
      <c r="H1719" s="147">
        <v>3764</v>
      </c>
      <c r="I1719" s="152">
        <f>H1719/$H$1720</f>
        <v>0.31020273611340038</v>
      </c>
      <c r="J1719" s="153" t="s">
        <v>288</v>
      </c>
      <c r="K1719" s="139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  <c r="AE1719" s="6"/>
      <c r="AF1719" s="6"/>
      <c r="AG1719" s="6"/>
      <c r="AH1719" s="6"/>
      <c r="AI1719" s="6"/>
      <c r="AJ1719" s="6"/>
      <c r="AK1719" s="6"/>
      <c r="AL1719" s="6"/>
      <c r="AM1719" s="6"/>
      <c r="AN1719" s="6"/>
      <c r="AO1719" s="6"/>
      <c r="AP1719" s="6"/>
      <c r="AQ1719" s="6"/>
      <c r="AR1719" s="6"/>
      <c r="AS1719" s="6"/>
      <c r="AT1719" s="6"/>
      <c r="AU1719" s="6"/>
      <c r="AV1719" s="6"/>
      <c r="AW1719" s="6"/>
      <c r="AX1719" s="6"/>
      <c r="AY1719" s="6"/>
      <c r="AZ1719" s="6"/>
      <c r="BA1719" s="6"/>
      <c r="BB1719" s="6"/>
      <c r="BC1719" s="6"/>
      <c r="BD1719" s="6"/>
      <c r="BE1719" s="6"/>
      <c r="BF1719" s="6"/>
      <c r="BG1719" s="6"/>
      <c r="BH1719" s="6"/>
      <c r="BI1719" s="6"/>
      <c r="BJ1719" s="6"/>
      <c r="BK1719" s="6"/>
      <c r="BL1719" s="6"/>
      <c r="BM1719" s="6"/>
      <c r="BN1719" s="6"/>
      <c r="BO1719" s="6"/>
      <c r="BP1719" s="6"/>
    </row>
    <row r="1720" spans="1:68" s="10" customFormat="1" ht="12.75" x14ac:dyDescent="0.2">
      <c r="A1720" s="147"/>
      <c r="B1720" s="147"/>
      <c r="C1720" s="169"/>
      <c r="D1720" s="148" t="s">
        <v>33</v>
      </c>
      <c r="E1720" s="165"/>
      <c r="F1720" s="150"/>
      <c r="G1720" s="147"/>
      <c r="H1720" s="155">
        <f>SUM(H1716:H1719)</f>
        <v>12134</v>
      </c>
      <c r="I1720" s="156">
        <f>SUM(I1716:I1719)</f>
        <v>1</v>
      </c>
      <c r="J1720" s="147"/>
      <c r="K1720" s="139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  <c r="AE1720" s="6"/>
      <c r="AF1720" s="6"/>
      <c r="AG1720" s="6"/>
      <c r="AH1720" s="6"/>
      <c r="AI1720" s="6"/>
      <c r="AJ1720" s="6"/>
      <c r="AK1720" s="6"/>
      <c r="AL1720" s="6"/>
      <c r="AM1720" s="6"/>
      <c r="AN1720" s="6"/>
      <c r="AO1720" s="6"/>
      <c r="AP1720" s="6"/>
      <c r="AQ1720" s="6"/>
      <c r="AR1720" s="6"/>
      <c r="AS1720" s="6"/>
      <c r="AT1720" s="6"/>
      <c r="AU1720" s="6"/>
      <c r="AV1720" s="6"/>
      <c r="AW1720" s="6"/>
      <c r="AX1720" s="6"/>
      <c r="AY1720" s="6"/>
      <c r="AZ1720" s="6"/>
      <c r="BA1720" s="6"/>
      <c r="BB1720" s="6"/>
      <c r="BC1720" s="6"/>
      <c r="BD1720" s="6"/>
      <c r="BE1720" s="6"/>
      <c r="BF1720" s="6"/>
      <c r="BG1720" s="6"/>
      <c r="BH1720" s="6"/>
      <c r="BI1720" s="6"/>
      <c r="BJ1720" s="6"/>
      <c r="BK1720" s="6"/>
      <c r="BL1720" s="6"/>
      <c r="BM1720" s="6"/>
      <c r="BN1720" s="6"/>
      <c r="BO1720" s="6"/>
      <c r="BP1720" s="6"/>
    </row>
    <row r="1721" spans="1:68" s="10" customFormat="1" ht="12.75" x14ac:dyDescent="0.2">
      <c r="A1721" s="147"/>
      <c r="B1721" s="147"/>
      <c r="C1721" s="169"/>
      <c r="D1721" s="148"/>
      <c r="E1721" s="165"/>
      <c r="F1721" s="150"/>
      <c r="G1721" s="147"/>
      <c r="H1721" s="147"/>
      <c r="I1721" s="152"/>
      <c r="J1721" s="147"/>
      <c r="K1721" s="139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  <c r="AE1721" s="6"/>
      <c r="AF1721" s="6"/>
      <c r="AG1721" s="6"/>
      <c r="AH1721" s="6"/>
      <c r="AI1721" s="6"/>
      <c r="AJ1721" s="6"/>
      <c r="AK1721" s="6"/>
      <c r="AL1721" s="6"/>
      <c r="AM1721" s="6"/>
      <c r="AN1721" s="6"/>
      <c r="AO1721" s="6"/>
      <c r="AP1721" s="6"/>
      <c r="AQ1721" s="6"/>
      <c r="AR1721" s="6"/>
      <c r="AS1721" s="6"/>
      <c r="AT1721" s="6"/>
      <c r="AU1721" s="6"/>
      <c r="AV1721" s="6"/>
      <c r="AW1721" s="6"/>
      <c r="AX1721" s="6"/>
      <c r="AY1721" s="6"/>
      <c r="AZ1721" s="6"/>
      <c r="BA1721" s="6"/>
      <c r="BB1721" s="6"/>
      <c r="BC1721" s="6"/>
      <c r="BD1721" s="6"/>
      <c r="BE1721" s="6"/>
      <c r="BF1721" s="6"/>
      <c r="BG1721" s="6"/>
      <c r="BH1721" s="6"/>
      <c r="BI1721" s="6"/>
      <c r="BJ1721" s="6"/>
      <c r="BK1721" s="6"/>
      <c r="BL1721" s="6"/>
      <c r="BM1721" s="6"/>
      <c r="BN1721" s="6"/>
      <c r="BO1721" s="6"/>
      <c r="BP1721" s="6"/>
    </row>
    <row r="1722" spans="1:68" s="10" customFormat="1" ht="12.75" x14ac:dyDescent="0.2">
      <c r="A1722" s="148" t="s">
        <v>23</v>
      </c>
      <c r="B1722" s="148">
        <v>603</v>
      </c>
      <c r="C1722" s="148" t="s">
        <v>289</v>
      </c>
      <c r="D1722" s="154" t="s">
        <v>511</v>
      </c>
      <c r="E1722" s="165">
        <v>38376</v>
      </c>
      <c r="F1722" s="150">
        <v>8477188</v>
      </c>
      <c r="G1722" s="147">
        <v>40919</v>
      </c>
      <c r="H1722" s="147"/>
      <c r="I1722" s="152"/>
      <c r="J1722" s="151"/>
      <c r="K1722" s="139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  <c r="AE1722" s="6"/>
      <c r="AF1722" s="6"/>
      <c r="AG1722" s="6"/>
      <c r="AH1722" s="6"/>
      <c r="AI1722" s="6"/>
      <c r="AJ1722" s="6"/>
      <c r="AK1722" s="6"/>
      <c r="AL1722" s="6"/>
      <c r="AM1722" s="6"/>
      <c r="AN1722" s="6"/>
      <c r="AO1722" s="6"/>
      <c r="AP1722" s="6"/>
      <c r="AQ1722" s="6"/>
      <c r="AR1722" s="6"/>
      <c r="AS1722" s="6"/>
      <c r="AT1722" s="6"/>
      <c r="AU1722" s="6"/>
      <c r="AV1722" s="6"/>
      <c r="AW1722" s="6"/>
      <c r="AX1722" s="6"/>
      <c r="AY1722" s="6"/>
      <c r="AZ1722" s="6"/>
      <c r="BA1722" s="6"/>
      <c r="BB1722" s="6"/>
      <c r="BC1722" s="6"/>
      <c r="BD1722" s="6"/>
      <c r="BE1722" s="6"/>
      <c r="BF1722" s="6"/>
      <c r="BG1722" s="6"/>
      <c r="BH1722" s="6"/>
      <c r="BI1722" s="6"/>
      <c r="BJ1722" s="6"/>
      <c r="BK1722" s="6"/>
      <c r="BL1722" s="6"/>
      <c r="BM1722" s="6"/>
      <c r="BN1722" s="6"/>
      <c r="BO1722" s="6"/>
      <c r="BP1722" s="6"/>
    </row>
    <row r="1723" spans="1:68" s="10" customFormat="1" ht="12.75" x14ac:dyDescent="0.2">
      <c r="A1723" s="151"/>
      <c r="B1723" s="151"/>
      <c r="C1723" s="148"/>
      <c r="D1723" s="149" t="s">
        <v>239</v>
      </c>
      <c r="E1723" s="165"/>
      <c r="F1723" s="150"/>
      <c r="G1723" s="147"/>
      <c r="H1723" s="147">
        <v>16422</v>
      </c>
      <c r="I1723" s="152">
        <f>ROUND(H1723/$H$1725,4)</f>
        <v>0.6</v>
      </c>
      <c r="J1723" s="153" t="s">
        <v>291</v>
      </c>
      <c r="K1723" s="139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  <c r="AE1723" s="6"/>
      <c r="AF1723" s="6"/>
      <c r="AG1723" s="6"/>
      <c r="AH1723" s="6"/>
      <c r="AI1723" s="6"/>
      <c r="AJ1723" s="6"/>
      <c r="AK1723" s="6"/>
      <c r="AL1723" s="6"/>
      <c r="AM1723" s="6"/>
      <c r="AN1723" s="6"/>
      <c r="AO1723" s="6"/>
      <c r="AP1723" s="6"/>
      <c r="AQ1723" s="6"/>
      <c r="AR1723" s="6"/>
      <c r="AS1723" s="6"/>
      <c r="AT1723" s="6"/>
      <c r="AU1723" s="6"/>
      <c r="AV1723" s="6"/>
      <c r="AW1723" s="6"/>
      <c r="AX1723" s="6"/>
      <c r="AY1723" s="6"/>
      <c r="AZ1723" s="6"/>
      <c r="BA1723" s="6"/>
      <c r="BB1723" s="6"/>
      <c r="BC1723" s="6"/>
      <c r="BD1723" s="6"/>
      <c r="BE1723" s="6"/>
      <c r="BF1723" s="6"/>
      <c r="BG1723" s="6"/>
      <c r="BH1723" s="6"/>
      <c r="BI1723" s="6"/>
      <c r="BJ1723" s="6"/>
      <c r="BK1723" s="6"/>
      <c r="BL1723" s="6"/>
      <c r="BM1723" s="6"/>
      <c r="BN1723" s="6"/>
      <c r="BO1723" s="6"/>
      <c r="BP1723" s="6"/>
    </row>
    <row r="1724" spans="1:68" s="10" customFormat="1" ht="12.75" x14ac:dyDescent="0.2">
      <c r="A1724" s="151"/>
      <c r="B1724" s="151"/>
      <c r="C1724" s="148"/>
      <c r="D1724" s="149" t="s">
        <v>240</v>
      </c>
      <c r="E1724" s="165"/>
      <c r="F1724" s="150"/>
      <c r="G1724" s="147"/>
      <c r="H1724" s="147">
        <v>10950</v>
      </c>
      <c r="I1724" s="152">
        <f>ROUND(H1724/$H$1725,4)</f>
        <v>0.4</v>
      </c>
      <c r="J1724" s="153"/>
      <c r="K1724" s="139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  <c r="AE1724" s="6"/>
      <c r="AF1724" s="6"/>
      <c r="AG1724" s="6"/>
      <c r="AH1724" s="6"/>
      <c r="AI1724" s="6"/>
      <c r="AJ1724" s="6"/>
      <c r="AK1724" s="6"/>
      <c r="AL1724" s="6"/>
      <c r="AM1724" s="6"/>
      <c r="AN1724" s="6"/>
      <c r="AO1724" s="6"/>
      <c r="AP1724" s="6"/>
      <c r="AQ1724" s="6"/>
      <c r="AR1724" s="6"/>
      <c r="AS1724" s="6"/>
      <c r="AT1724" s="6"/>
      <c r="AU1724" s="6"/>
      <c r="AV1724" s="6"/>
      <c r="AW1724" s="6"/>
      <c r="AX1724" s="6"/>
      <c r="AY1724" s="6"/>
      <c r="AZ1724" s="6"/>
      <c r="BA1724" s="6"/>
      <c r="BB1724" s="6"/>
      <c r="BC1724" s="6"/>
      <c r="BD1724" s="6"/>
      <c r="BE1724" s="6"/>
      <c r="BF1724" s="6"/>
      <c r="BG1724" s="6"/>
      <c r="BH1724" s="6"/>
      <c r="BI1724" s="6"/>
      <c r="BJ1724" s="6"/>
      <c r="BK1724" s="6"/>
      <c r="BL1724" s="6"/>
      <c r="BM1724" s="6"/>
      <c r="BN1724" s="6"/>
      <c r="BO1724" s="6"/>
      <c r="BP1724" s="6"/>
    </row>
    <row r="1725" spans="1:68" s="10" customFormat="1" ht="12.75" x14ac:dyDescent="0.2">
      <c r="A1725" s="151"/>
      <c r="B1725" s="151"/>
      <c r="C1725" s="148"/>
      <c r="D1725" s="148" t="s">
        <v>33</v>
      </c>
      <c r="E1725" s="165"/>
      <c r="F1725" s="150"/>
      <c r="G1725" s="147"/>
      <c r="H1725" s="155">
        <f>SUM(H1723:H1724)</f>
        <v>27372</v>
      </c>
      <c r="I1725" s="156">
        <f>SUM(I1723:I1724)</f>
        <v>1</v>
      </c>
      <c r="J1725" s="151"/>
      <c r="K1725" s="139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  <c r="AE1725" s="6"/>
      <c r="AF1725" s="6"/>
      <c r="AG1725" s="6"/>
      <c r="AH1725" s="6"/>
      <c r="AI1725" s="6"/>
      <c r="AJ1725" s="6"/>
      <c r="AK1725" s="6"/>
      <c r="AL1725" s="6"/>
      <c r="AM1725" s="6"/>
      <c r="AN1725" s="6"/>
      <c r="AO1725" s="6"/>
      <c r="AP1725" s="6"/>
      <c r="AQ1725" s="6"/>
      <c r="AR1725" s="6"/>
      <c r="AS1725" s="6"/>
      <c r="AT1725" s="6"/>
      <c r="AU1725" s="6"/>
      <c r="AV1725" s="6"/>
      <c r="AW1725" s="6"/>
      <c r="AX1725" s="6"/>
      <c r="AY1725" s="6"/>
      <c r="AZ1725" s="6"/>
      <c r="BA1725" s="6"/>
      <c r="BB1725" s="6"/>
      <c r="BC1725" s="6"/>
      <c r="BD1725" s="6"/>
      <c r="BE1725" s="6"/>
      <c r="BF1725" s="6"/>
      <c r="BG1725" s="6"/>
      <c r="BH1725" s="6"/>
      <c r="BI1725" s="6"/>
      <c r="BJ1725" s="6"/>
      <c r="BK1725" s="6"/>
      <c r="BL1725" s="6"/>
      <c r="BM1725" s="6"/>
      <c r="BN1725" s="6"/>
      <c r="BO1725" s="6"/>
      <c r="BP1725" s="6"/>
    </row>
    <row r="1726" spans="1:68" s="10" customFormat="1" ht="12.75" x14ac:dyDescent="0.2">
      <c r="A1726" s="147"/>
      <c r="B1726" s="147"/>
      <c r="C1726" s="169"/>
      <c r="D1726" s="148"/>
      <c r="E1726" s="165"/>
      <c r="F1726" s="150"/>
      <c r="G1726" s="147"/>
      <c r="H1726" s="147"/>
      <c r="I1726" s="152"/>
      <c r="J1726" s="147"/>
      <c r="K1726" s="139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  <c r="AE1726" s="6"/>
      <c r="AF1726" s="6"/>
      <c r="AG1726" s="6"/>
      <c r="AH1726" s="6"/>
      <c r="AI1726" s="6"/>
      <c r="AJ1726" s="6"/>
      <c r="AK1726" s="6"/>
      <c r="AL1726" s="6"/>
      <c r="AM1726" s="6"/>
      <c r="AN1726" s="6"/>
      <c r="AO1726" s="6"/>
      <c r="AP1726" s="6"/>
      <c r="AQ1726" s="6"/>
      <c r="AR1726" s="6"/>
      <c r="AS1726" s="6"/>
      <c r="AT1726" s="6"/>
      <c r="AU1726" s="6"/>
      <c r="AV1726" s="6"/>
      <c r="AW1726" s="6"/>
      <c r="AX1726" s="6"/>
      <c r="AY1726" s="6"/>
      <c r="AZ1726" s="6"/>
      <c r="BA1726" s="6"/>
      <c r="BB1726" s="6"/>
      <c r="BC1726" s="6"/>
      <c r="BD1726" s="6"/>
      <c r="BE1726" s="6"/>
      <c r="BF1726" s="6"/>
      <c r="BG1726" s="6"/>
      <c r="BH1726" s="6"/>
      <c r="BI1726" s="6"/>
      <c r="BJ1726" s="6"/>
      <c r="BK1726" s="6"/>
      <c r="BL1726" s="6"/>
      <c r="BM1726" s="6"/>
      <c r="BN1726" s="6"/>
      <c r="BO1726" s="6"/>
      <c r="BP1726" s="6"/>
    </row>
    <row r="1727" spans="1:68" s="10" customFormat="1" ht="12.75" x14ac:dyDescent="0.2">
      <c r="A1727" s="148" t="s">
        <v>23</v>
      </c>
      <c r="B1727" s="148">
        <v>649</v>
      </c>
      <c r="C1727" s="148" t="s">
        <v>289</v>
      </c>
      <c r="D1727" s="149" t="s">
        <v>513</v>
      </c>
      <c r="E1727" s="165">
        <v>38534</v>
      </c>
      <c r="F1727" s="150">
        <v>4352453</v>
      </c>
      <c r="G1727" s="147">
        <v>21771</v>
      </c>
      <c r="H1727" s="147"/>
      <c r="I1727" s="152"/>
      <c r="J1727" s="147"/>
      <c r="K1727" s="139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  <c r="AE1727" s="6"/>
      <c r="AF1727" s="6"/>
      <c r="AG1727" s="6"/>
      <c r="AH1727" s="6"/>
      <c r="AI1727" s="6"/>
      <c r="AJ1727" s="6"/>
      <c r="AK1727" s="6"/>
      <c r="AL1727" s="6"/>
      <c r="AM1727" s="6"/>
      <c r="AN1727" s="6"/>
      <c r="AO1727" s="6"/>
      <c r="AP1727" s="6"/>
      <c r="AQ1727" s="6"/>
      <c r="AR1727" s="6"/>
      <c r="AS1727" s="6"/>
      <c r="AT1727" s="6"/>
      <c r="AU1727" s="6"/>
      <c r="AV1727" s="6"/>
      <c r="AW1727" s="6"/>
      <c r="AX1727" s="6"/>
      <c r="AY1727" s="6"/>
      <c r="AZ1727" s="6"/>
      <c r="BA1727" s="6"/>
      <c r="BB1727" s="6"/>
      <c r="BC1727" s="6"/>
      <c r="BD1727" s="6"/>
      <c r="BE1727" s="6"/>
      <c r="BF1727" s="6"/>
      <c r="BG1727" s="6"/>
      <c r="BH1727" s="6"/>
      <c r="BI1727" s="6"/>
      <c r="BJ1727" s="6"/>
      <c r="BK1727" s="6"/>
      <c r="BL1727" s="6"/>
      <c r="BM1727" s="6"/>
      <c r="BN1727" s="6"/>
      <c r="BO1727" s="6"/>
      <c r="BP1727" s="6"/>
    </row>
    <row r="1728" spans="1:68" s="10" customFormat="1" ht="12.75" x14ac:dyDescent="0.2">
      <c r="A1728" s="147"/>
      <c r="B1728" s="147"/>
      <c r="C1728" s="169"/>
      <c r="D1728" s="149" t="s">
        <v>284</v>
      </c>
      <c r="E1728" s="165"/>
      <c r="F1728" s="150"/>
      <c r="G1728" s="147"/>
      <c r="H1728" s="147">
        <v>3391</v>
      </c>
      <c r="I1728" s="152">
        <f>H1728/$H$1733</f>
        <v>0.18578785886478194</v>
      </c>
      <c r="J1728" s="153"/>
      <c r="K1728" s="139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  <c r="AE1728" s="6"/>
      <c r="AF1728" s="6"/>
      <c r="AG1728" s="6"/>
      <c r="AH1728" s="6"/>
      <c r="AI1728" s="6"/>
      <c r="AJ1728" s="6"/>
      <c r="AK1728" s="6"/>
      <c r="AL1728" s="6"/>
      <c r="AM1728" s="6"/>
      <c r="AN1728" s="6"/>
      <c r="AO1728" s="6"/>
      <c r="AP1728" s="6"/>
      <c r="AQ1728" s="6"/>
      <c r="AR1728" s="6"/>
      <c r="AS1728" s="6"/>
      <c r="AT1728" s="6"/>
      <c r="AU1728" s="6"/>
      <c r="AV1728" s="6"/>
      <c r="AW1728" s="6"/>
      <c r="AX1728" s="6"/>
      <c r="AY1728" s="6"/>
      <c r="AZ1728" s="6"/>
      <c r="BA1728" s="6"/>
      <c r="BB1728" s="6"/>
      <c r="BC1728" s="6"/>
      <c r="BD1728" s="6"/>
      <c r="BE1728" s="6"/>
      <c r="BF1728" s="6"/>
      <c r="BG1728" s="6"/>
      <c r="BH1728" s="6"/>
      <c r="BI1728" s="6"/>
      <c r="BJ1728" s="6"/>
      <c r="BK1728" s="6"/>
      <c r="BL1728" s="6"/>
      <c r="BM1728" s="6"/>
      <c r="BN1728" s="6"/>
      <c r="BO1728" s="6"/>
      <c r="BP1728" s="6"/>
    </row>
    <row r="1729" spans="1:68" s="10" customFormat="1" ht="12.75" x14ac:dyDescent="0.2">
      <c r="A1729" s="147"/>
      <c r="B1729" s="147"/>
      <c r="C1729" s="169"/>
      <c r="D1729" s="149" t="s">
        <v>262</v>
      </c>
      <c r="E1729" s="165"/>
      <c r="F1729" s="150"/>
      <c r="G1729" s="147"/>
      <c r="H1729" s="147">
        <v>2827</v>
      </c>
      <c r="I1729" s="152">
        <f>H1729/$H$1733</f>
        <v>0.15488713565636641</v>
      </c>
      <c r="J1729" s="153"/>
      <c r="K1729" s="139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  <c r="AE1729" s="6"/>
      <c r="AF1729" s="6"/>
      <c r="AG1729" s="6"/>
      <c r="AH1729" s="6"/>
      <c r="AI1729" s="6"/>
      <c r="AJ1729" s="6"/>
      <c r="AK1729" s="6"/>
      <c r="AL1729" s="6"/>
      <c r="AM1729" s="6"/>
      <c r="AN1729" s="6"/>
      <c r="AO1729" s="6"/>
      <c r="AP1729" s="6"/>
      <c r="AQ1729" s="6"/>
      <c r="AR1729" s="6"/>
      <c r="AS1729" s="6"/>
      <c r="AT1729" s="6"/>
      <c r="AU1729" s="6"/>
      <c r="AV1729" s="6"/>
      <c r="AW1729" s="6"/>
      <c r="AX1729" s="6"/>
      <c r="AY1729" s="6"/>
      <c r="AZ1729" s="6"/>
      <c r="BA1729" s="6"/>
      <c r="BB1729" s="6"/>
      <c r="BC1729" s="6"/>
      <c r="BD1729" s="6"/>
      <c r="BE1729" s="6"/>
      <c r="BF1729" s="6"/>
      <c r="BG1729" s="6"/>
      <c r="BH1729" s="6"/>
      <c r="BI1729" s="6"/>
      <c r="BJ1729" s="6"/>
      <c r="BK1729" s="6"/>
      <c r="BL1729" s="6"/>
      <c r="BM1729" s="6"/>
      <c r="BN1729" s="6"/>
      <c r="BO1729" s="6"/>
      <c r="BP1729" s="6"/>
    </row>
    <row r="1730" spans="1:68" s="10" customFormat="1" ht="12.75" x14ac:dyDescent="0.2">
      <c r="A1730" s="147"/>
      <c r="B1730" s="147"/>
      <c r="C1730" s="169"/>
      <c r="D1730" s="149" t="s">
        <v>243</v>
      </c>
      <c r="E1730" s="165"/>
      <c r="F1730" s="150"/>
      <c r="G1730" s="147"/>
      <c r="H1730" s="147">
        <v>2849</v>
      </c>
      <c r="I1730" s="152">
        <f>H1730/$H$1733</f>
        <v>0.15609248301555995</v>
      </c>
      <c r="J1730" s="153"/>
      <c r="K1730" s="139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  <c r="AD1730" s="6"/>
      <c r="AE1730" s="6"/>
      <c r="AF1730" s="6"/>
      <c r="AG1730" s="6"/>
      <c r="AH1730" s="6"/>
      <c r="AI1730" s="6"/>
      <c r="AJ1730" s="6"/>
      <c r="AK1730" s="6"/>
      <c r="AL1730" s="6"/>
      <c r="AM1730" s="6"/>
      <c r="AN1730" s="6"/>
      <c r="AO1730" s="6"/>
      <c r="AP1730" s="6"/>
      <c r="AQ1730" s="6"/>
      <c r="AR1730" s="6"/>
      <c r="AS1730" s="6"/>
      <c r="AT1730" s="6"/>
      <c r="AU1730" s="6"/>
      <c r="AV1730" s="6"/>
      <c r="AW1730" s="6"/>
      <c r="AX1730" s="6"/>
      <c r="AY1730" s="6"/>
      <c r="AZ1730" s="6"/>
      <c r="BA1730" s="6"/>
      <c r="BB1730" s="6"/>
      <c r="BC1730" s="6"/>
      <c r="BD1730" s="6"/>
      <c r="BE1730" s="6"/>
      <c r="BF1730" s="6"/>
      <c r="BG1730" s="6"/>
      <c r="BH1730" s="6"/>
      <c r="BI1730" s="6"/>
      <c r="BJ1730" s="6"/>
      <c r="BK1730" s="6"/>
      <c r="BL1730" s="6"/>
      <c r="BM1730" s="6"/>
      <c r="BN1730" s="6"/>
      <c r="BO1730" s="6"/>
      <c r="BP1730" s="6"/>
    </row>
    <row r="1731" spans="1:68" s="10" customFormat="1" ht="12.75" x14ac:dyDescent="0.2">
      <c r="A1731" s="147"/>
      <c r="B1731" s="147"/>
      <c r="C1731" s="169"/>
      <c r="D1731" s="149" t="s">
        <v>288</v>
      </c>
      <c r="E1731" s="165"/>
      <c r="F1731" s="150"/>
      <c r="G1731" s="147"/>
      <c r="H1731" s="147">
        <v>8400</v>
      </c>
      <c r="I1731" s="152">
        <f>H1731/$H$1733</f>
        <v>0.46022353714661407</v>
      </c>
      <c r="J1731" s="153" t="s">
        <v>288</v>
      </c>
      <c r="K1731" s="139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  <c r="AE1731" s="6"/>
      <c r="AF1731" s="6"/>
      <c r="AG1731" s="6"/>
      <c r="AH1731" s="6"/>
      <c r="AI1731" s="6"/>
      <c r="AJ1731" s="6"/>
      <c r="AK1731" s="6"/>
      <c r="AL1731" s="6"/>
      <c r="AM1731" s="6"/>
      <c r="AN1731" s="6"/>
      <c r="AO1731" s="6"/>
      <c r="AP1731" s="6"/>
      <c r="AQ1731" s="6"/>
      <c r="AR1731" s="6"/>
      <c r="AS1731" s="6"/>
      <c r="AT1731" s="6"/>
      <c r="AU1731" s="6"/>
      <c r="AV1731" s="6"/>
      <c r="AW1731" s="6"/>
      <c r="AX1731" s="6"/>
      <c r="AY1731" s="6"/>
      <c r="AZ1731" s="6"/>
      <c r="BA1731" s="6"/>
      <c r="BB1731" s="6"/>
      <c r="BC1731" s="6"/>
      <c r="BD1731" s="6"/>
      <c r="BE1731" s="6"/>
      <c r="BF1731" s="6"/>
      <c r="BG1731" s="6"/>
      <c r="BH1731" s="6"/>
      <c r="BI1731" s="6"/>
      <c r="BJ1731" s="6"/>
      <c r="BK1731" s="6"/>
      <c r="BL1731" s="6"/>
      <c r="BM1731" s="6"/>
      <c r="BN1731" s="6"/>
      <c r="BO1731" s="6"/>
      <c r="BP1731" s="6"/>
    </row>
    <row r="1732" spans="1:68" s="10" customFormat="1" ht="12.75" x14ac:dyDescent="0.2">
      <c r="A1732" s="147"/>
      <c r="B1732" s="147"/>
      <c r="C1732" s="169"/>
      <c r="D1732" s="149" t="s">
        <v>292</v>
      </c>
      <c r="E1732" s="165"/>
      <c r="F1732" s="150"/>
      <c r="G1732" s="147"/>
      <c r="H1732" s="147">
        <v>785</v>
      </c>
      <c r="I1732" s="152">
        <f>H1732/$H$1733</f>
        <v>4.3008985316677621E-2</v>
      </c>
      <c r="J1732" s="153"/>
      <c r="K1732" s="139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  <c r="AE1732" s="6"/>
      <c r="AF1732" s="6"/>
      <c r="AG1732" s="6"/>
      <c r="AH1732" s="6"/>
      <c r="AI1732" s="6"/>
      <c r="AJ1732" s="6"/>
      <c r="AK1732" s="6"/>
      <c r="AL1732" s="6"/>
      <c r="AM1732" s="6"/>
      <c r="AN1732" s="6"/>
      <c r="AO1732" s="6"/>
      <c r="AP1732" s="6"/>
      <c r="AQ1732" s="6"/>
      <c r="AR1732" s="6"/>
      <c r="AS1732" s="6"/>
      <c r="AT1732" s="6"/>
      <c r="AU1732" s="6"/>
      <c r="AV1732" s="6"/>
      <c r="AW1732" s="6"/>
      <c r="AX1732" s="6"/>
      <c r="AY1732" s="6"/>
      <c r="AZ1732" s="6"/>
      <c r="BA1732" s="6"/>
      <c r="BB1732" s="6"/>
      <c r="BC1732" s="6"/>
      <c r="BD1732" s="6"/>
      <c r="BE1732" s="6"/>
      <c r="BF1732" s="6"/>
      <c r="BG1732" s="6"/>
      <c r="BH1732" s="6"/>
      <c r="BI1732" s="6"/>
      <c r="BJ1732" s="6"/>
      <c r="BK1732" s="6"/>
      <c r="BL1732" s="6"/>
      <c r="BM1732" s="6"/>
      <c r="BN1732" s="6"/>
      <c r="BO1732" s="6"/>
      <c r="BP1732" s="6"/>
    </row>
    <row r="1733" spans="1:68" s="10" customFormat="1" ht="12.75" x14ac:dyDescent="0.2">
      <c r="A1733" s="147"/>
      <c r="B1733" s="147"/>
      <c r="C1733" s="169"/>
      <c r="D1733" s="148"/>
      <c r="E1733" s="165"/>
      <c r="F1733" s="150"/>
      <c r="G1733" s="147"/>
      <c r="H1733" s="155">
        <f>SUM(H1728:H1732)</f>
        <v>18252</v>
      </c>
      <c r="I1733" s="156">
        <f>SUM(I1728:I1732)</f>
        <v>1</v>
      </c>
      <c r="J1733" s="147"/>
      <c r="K1733" s="139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  <c r="AE1733" s="6"/>
      <c r="AF1733" s="6"/>
      <c r="AG1733" s="6"/>
      <c r="AH1733" s="6"/>
      <c r="AI1733" s="6"/>
      <c r="AJ1733" s="6"/>
      <c r="AK1733" s="6"/>
      <c r="AL1733" s="6"/>
      <c r="AM1733" s="6"/>
      <c r="AN1733" s="6"/>
      <c r="AO1733" s="6"/>
      <c r="AP1733" s="6"/>
      <c r="AQ1733" s="6"/>
      <c r="AR1733" s="6"/>
      <c r="AS1733" s="6"/>
      <c r="AT1733" s="6"/>
      <c r="AU1733" s="6"/>
      <c r="AV1733" s="6"/>
      <c r="AW1733" s="6"/>
      <c r="AX1733" s="6"/>
      <c r="AY1733" s="6"/>
      <c r="AZ1733" s="6"/>
      <c r="BA1733" s="6"/>
      <c r="BB1733" s="6"/>
      <c r="BC1733" s="6"/>
      <c r="BD1733" s="6"/>
      <c r="BE1733" s="6"/>
      <c r="BF1733" s="6"/>
      <c r="BG1733" s="6"/>
      <c r="BH1733" s="6"/>
      <c r="BI1733" s="6"/>
      <c r="BJ1733" s="6"/>
      <c r="BK1733" s="6"/>
      <c r="BL1733" s="6"/>
      <c r="BM1733" s="6"/>
      <c r="BN1733" s="6"/>
      <c r="BO1733" s="6"/>
      <c r="BP1733" s="6"/>
    </row>
    <row r="1734" spans="1:68" s="10" customFormat="1" ht="12.75" x14ac:dyDescent="0.2">
      <c r="A1734" s="147"/>
      <c r="B1734" s="147"/>
      <c r="C1734" s="169"/>
      <c r="D1734" s="148"/>
      <c r="E1734" s="165"/>
      <c r="F1734" s="150"/>
      <c r="G1734" s="147"/>
      <c r="H1734" s="147"/>
      <c r="I1734" s="152"/>
      <c r="J1734" s="147"/>
      <c r="K1734" s="139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  <c r="AE1734" s="6"/>
      <c r="AF1734" s="6"/>
      <c r="AG1734" s="6"/>
      <c r="AH1734" s="6"/>
      <c r="AI1734" s="6"/>
      <c r="AJ1734" s="6"/>
      <c r="AK1734" s="6"/>
      <c r="AL1734" s="6"/>
      <c r="AM1734" s="6"/>
      <c r="AN1734" s="6"/>
      <c r="AO1734" s="6"/>
      <c r="AP1734" s="6"/>
      <c r="AQ1734" s="6"/>
      <c r="AR1734" s="6"/>
      <c r="AS1734" s="6"/>
      <c r="AT1734" s="6"/>
      <c r="AU1734" s="6"/>
      <c r="AV1734" s="6"/>
      <c r="AW1734" s="6"/>
      <c r="AX1734" s="6"/>
      <c r="AY1734" s="6"/>
      <c r="AZ1734" s="6"/>
      <c r="BA1734" s="6"/>
      <c r="BB1734" s="6"/>
      <c r="BC1734" s="6"/>
      <c r="BD1734" s="6"/>
      <c r="BE1734" s="6"/>
      <c r="BF1734" s="6"/>
      <c r="BG1734" s="6"/>
      <c r="BH1734" s="6"/>
      <c r="BI1734" s="6"/>
      <c r="BJ1734" s="6"/>
      <c r="BK1734" s="6"/>
      <c r="BL1734" s="6"/>
      <c r="BM1734" s="6"/>
      <c r="BN1734" s="6"/>
      <c r="BO1734" s="6"/>
      <c r="BP1734" s="6"/>
    </row>
    <row r="1735" spans="1:68" s="10" customFormat="1" ht="12.75" x14ac:dyDescent="0.2">
      <c r="A1735" s="148" t="s">
        <v>23</v>
      </c>
      <c r="B1735" s="148">
        <v>669</v>
      </c>
      <c r="C1735" s="148" t="s">
        <v>289</v>
      </c>
      <c r="D1735" s="149" t="s">
        <v>535</v>
      </c>
      <c r="E1735" s="165">
        <v>38991</v>
      </c>
      <c r="F1735" s="150">
        <v>5846056</v>
      </c>
      <c r="G1735" s="147">
        <v>30630</v>
      </c>
      <c r="H1735" s="147"/>
      <c r="I1735" s="152"/>
      <c r="J1735" s="147"/>
      <c r="K1735" s="139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  <c r="AE1735" s="6"/>
      <c r="AF1735" s="6"/>
      <c r="AG1735" s="6"/>
      <c r="AH1735" s="6"/>
      <c r="AI1735" s="6"/>
      <c r="AJ1735" s="6"/>
      <c r="AK1735" s="6"/>
      <c r="AL1735" s="6"/>
      <c r="AM1735" s="6"/>
      <c r="AN1735" s="6"/>
      <c r="AO1735" s="6"/>
      <c r="AP1735" s="6"/>
      <c r="AQ1735" s="6"/>
      <c r="AR1735" s="6"/>
      <c r="AS1735" s="6"/>
      <c r="AT1735" s="6"/>
      <c r="AU1735" s="6"/>
      <c r="AV1735" s="6"/>
      <c r="AW1735" s="6"/>
      <c r="AX1735" s="6"/>
      <c r="AY1735" s="6"/>
      <c r="AZ1735" s="6"/>
      <c r="BA1735" s="6"/>
      <c r="BB1735" s="6"/>
      <c r="BC1735" s="6"/>
      <c r="BD1735" s="6"/>
      <c r="BE1735" s="6"/>
      <c r="BF1735" s="6"/>
      <c r="BG1735" s="6"/>
      <c r="BH1735" s="6"/>
      <c r="BI1735" s="6"/>
      <c r="BJ1735" s="6"/>
      <c r="BK1735" s="6"/>
      <c r="BL1735" s="6"/>
      <c r="BM1735" s="6"/>
      <c r="BN1735" s="6"/>
      <c r="BO1735" s="6"/>
      <c r="BP1735" s="6"/>
    </row>
    <row r="1736" spans="1:68" s="10" customFormat="1" ht="12.75" x14ac:dyDescent="0.2">
      <c r="A1736" s="147"/>
      <c r="B1736" s="147"/>
      <c r="C1736" s="169"/>
      <c r="D1736" s="149" t="s">
        <v>262</v>
      </c>
      <c r="E1736" s="165"/>
      <c r="F1736" s="150"/>
      <c r="G1736" s="147"/>
      <c r="H1736" s="147">
        <v>3583</v>
      </c>
      <c r="I1736" s="152">
        <f>H1736/$H$1739</f>
        <v>0.17870324189526185</v>
      </c>
      <c r="J1736" s="153"/>
      <c r="K1736" s="139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  <c r="AE1736" s="6"/>
      <c r="AF1736" s="6"/>
      <c r="AG1736" s="6"/>
      <c r="AH1736" s="6"/>
      <c r="AI1736" s="6"/>
      <c r="AJ1736" s="6"/>
      <c r="AK1736" s="6"/>
      <c r="AL1736" s="6"/>
      <c r="AM1736" s="6"/>
      <c r="AN1736" s="6"/>
      <c r="AO1736" s="6"/>
      <c r="AP1736" s="6"/>
      <c r="AQ1736" s="6"/>
      <c r="AR1736" s="6"/>
      <c r="AS1736" s="6"/>
      <c r="AT1736" s="6"/>
      <c r="AU1736" s="6"/>
      <c r="AV1736" s="6"/>
      <c r="AW1736" s="6"/>
      <c r="AX1736" s="6"/>
      <c r="AY1736" s="6"/>
      <c r="AZ1736" s="6"/>
      <c r="BA1736" s="6"/>
      <c r="BB1736" s="6"/>
      <c r="BC1736" s="6"/>
      <c r="BD1736" s="6"/>
      <c r="BE1736" s="6"/>
      <c r="BF1736" s="6"/>
      <c r="BG1736" s="6"/>
      <c r="BH1736" s="6"/>
      <c r="BI1736" s="6"/>
      <c r="BJ1736" s="6"/>
      <c r="BK1736" s="6"/>
      <c r="BL1736" s="6"/>
      <c r="BM1736" s="6"/>
      <c r="BN1736" s="6"/>
      <c r="BO1736" s="6"/>
      <c r="BP1736" s="6"/>
    </row>
    <row r="1737" spans="1:68" s="10" customFormat="1" ht="12.75" x14ac:dyDescent="0.2">
      <c r="A1737" s="147"/>
      <c r="B1737" s="147"/>
      <c r="C1737" s="169"/>
      <c r="D1737" s="149" t="s">
        <v>288</v>
      </c>
      <c r="E1737" s="165"/>
      <c r="F1737" s="150"/>
      <c r="G1737" s="147"/>
      <c r="H1737" s="147">
        <v>5468</v>
      </c>
      <c r="I1737" s="152">
        <f>H1737/$H$1739</f>
        <v>0.27271820448877804</v>
      </c>
      <c r="J1737" s="153"/>
      <c r="K1737" s="139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  <c r="AE1737" s="6"/>
      <c r="AF1737" s="6"/>
      <c r="AG1737" s="6"/>
      <c r="AH1737" s="6"/>
      <c r="AI1737" s="6"/>
      <c r="AJ1737" s="6"/>
      <c r="AK1737" s="6"/>
      <c r="AL1737" s="6"/>
      <c r="AM1737" s="6"/>
      <c r="AN1737" s="6"/>
      <c r="AO1737" s="6"/>
      <c r="AP1737" s="6"/>
      <c r="AQ1737" s="6"/>
      <c r="AR1737" s="6"/>
      <c r="AS1737" s="6"/>
      <c r="AT1737" s="6"/>
      <c r="AU1737" s="6"/>
      <c r="AV1737" s="6"/>
      <c r="AW1737" s="6"/>
      <c r="AX1737" s="6"/>
      <c r="AY1737" s="6"/>
      <c r="AZ1737" s="6"/>
      <c r="BA1737" s="6"/>
      <c r="BB1737" s="6"/>
      <c r="BC1737" s="6"/>
      <c r="BD1737" s="6"/>
      <c r="BE1737" s="6"/>
      <c r="BF1737" s="6"/>
      <c r="BG1737" s="6"/>
      <c r="BH1737" s="6"/>
      <c r="BI1737" s="6"/>
      <c r="BJ1737" s="6"/>
      <c r="BK1737" s="6"/>
      <c r="BL1737" s="6"/>
      <c r="BM1737" s="6"/>
      <c r="BN1737" s="6"/>
      <c r="BO1737" s="6"/>
      <c r="BP1737" s="6"/>
    </row>
    <row r="1738" spans="1:68" s="10" customFormat="1" ht="12.75" x14ac:dyDescent="0.2">
      <c r="A1738" s="147"/>
      <c r="B1738" s="147"/>
      <c r="C1738" s="169"/>
      <c r="D1738" s="149" t="s">
        <v>292</v>
      </c>
      <c r="E1738" s="165"/>
      <c r="F1738" s="150"/>
      <c r="G1738" s="147"/>
      <c r="H1738" s="147">
        <v>10999</v>
      </c>
      <c r="I1738" s="152">
        <f>H1738/$H$1739</f>
        <v>0.54857855361596009</v>
      </c>
      <c r="J1738" s="153" t="s">
        <v>292</v>
      </c>
      <c r="K1738" s="139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  <c r="AE1738" s="6"/>
      <c r="AF1738" s="6"/>
      <c r="AG1738" s="6"/>
      <c r="AH1738" s="6"/>
      <c r="AI1738" s="6"/>
      <c r="AJ1738" s="6"/>
      <c r="AK1738" s="6"/>
      <c r="AL1738" s="6"/>
      <c r="AM1738" s="6"/>
      <c r="AN1738" s="6"/>
      <c r="AO1738" s="6"/>
      <c r="AP1738" s="6"/>
      <c r="AQ1738" s="6"/>
      <c r="AR1738" s="6"/>
      <c r="AS1738" s="6"/>
      <c r="AT1738" s="6"/>
      <c r="AU1738" s="6"/>
      <c r="AV1738" s="6"/>
      <c r="AW1738" s="6"/>
      <c r="AX1738" s="6"/>
      <c r="AY1738" s="6"/>
      <c r="AZ1738" s="6"/>
      <c r="BA1738" s="6"/>
      <c r="BB1738" s="6"/>
      <c r="BC1738" s="6"/>
      <c r="BD1738" s="6"/>
      <c r="BE1738" s="6"/>
      <c r="BF1738" s="6"/>
      <c r="BG1738" s="6"/>
      <c r="BH1738" s="6"/>
      <c r="BI1738" s="6"/>
      <c r="BJ1738" s="6"/>
      <c r="BK1738" s="6"/>
      <c r="BL1738" s="6"/>
      <c r="BM1738" s="6"/>
      <c r="BN1738" s="6"/>
      <c r="BO1738" s="6"/>
      <c r="BP1738" s="6"/>
    </row>
    <row r="1739" spans="1:68" s="10" customFormat="1" ht="12.75" x14ac:dyDescent="0.2">
      <c r="A1739" s="147"/>
      <c r="B1739" s="147"/>
      <c r="C1739" s="169"/>
      <c r="D1739" s="148"/>
      <c r="E1739" s="165"/>
      <c r="F1739" s="150"/>
      <c r="G1739" s="147"/>
      <c r="H1739" s="155">
        <f>SUM(H1736:H1738)</f>
        <v>20050</v>
      </c>
      <c r="I1739" s="156">
        <f>SUM(I1736:I1738)</f>
        <v>1</v>
      </c>
      <c r="J1739" s="147"/>
      <c r="K1739" s="139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  <c r="AE1739" s="6"/>
      <c r="AF1739" s="6"/>
      <c r="AG1739" s="6"/>
      <c r="AH1739" s="6"/>
      <c r="AI1739" s="6"/>
      <c r="AJ1739" s="6"/>
      <c r="AK1739" s="6"/>
      <c r="AL1739" s="6"/>
      <c r="AM1739" s="6"/>
      <c r="AN1739" s="6"/>
      <c r="AO1739" s="6"/>
      <c r="AP1739" s="6"/>
      <c r="AQ1739" s="6"/>
      <c r="AR1739" s="6"/>
      <c r="AS1739" s="6"/>
      <c r="AT1739" s="6"/>
      <c r="AU1739" s="6"/>
      <c r="AV1739" s="6"/>
      <c r="AW1739" s="6"/>
      <c r="AX1739" s="6"/>
      <c r="AY1739" s="6"/>
      <c r="AZ1739" s="6"/>
      <c r="BA1739" s="6"/>
      <c r="BB1739" s="6"/>
      <c r="BC1739" s="6"/>
      <c r="BD1739" s="6"/>
      <c r="BE1739" s="6"/>
      <c r="BF1739" s="6"/>
      <c r="BG1739" s="6"/>
      <c r="BH1739" s="6"/>
      <c r="BI1739" s="6"/>
      <c r="BJ1739" s="6"/>
      <c r="BK1739" s="6"/>
      <c r="BL1739" s="6"/>
      <c r="BM1739" s="6"/>
      <c r="BN1739" s="6"/>
      <c r="BO1739" s="6"/>
      <c r="BP1739" s="6"/>
    </row>
    <row r="1740" spans="1:68" s="10" customFormat="1" ht="12.75" x14ac:dyDescent="0.2">
      <c r="A1740" s="147"/>
      <c r="B1740" s="147"/>
      <c r="C1740" s="169"/>
      <c r="D1740" s="148"/>
      <c r="E1740" s="165"/>
      <c r="F1740" s="150"/>
      <c r="G1740" s="147"/>
      <c r="H1740" s="147"/>
      <c r="I1740" s="152"/>
      <c r="J1740" s="147"/>
      <c r="K1740" s="139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  <c r="AE1740" s="6"/>
      <c r="AF1740" s="6"/>
      <c r="AG1740" s="6"/>
      <c r="AH1740" s="6"/>
      <c r="AI1740" s="6"/>
      <c r="AJ1740" s="6"/>
      <c r="AK1740" s="6"/>
      <c r="AL1740" s="6"/>
      <c r="AM1740" s="6"/>
      <c r="AN1740" s="6"/>
      <c r="AO1740" s="6"/>
      <c r="AP1740" s="6"/>
      <c r="AQ1740" s="6"/>
      <c r="AR1740" s="6"/>
      <c r="AS1740" s="6"/>
      <c r="AT1740" s="6"/>
      <c r="AU1740" s="6"/>
      <c r="AV1740" s="6"/>
      <c r="AW1740" s="6"/>
      <c r="AX1740" s="6"/>
      <c r="AY1740" s="6"/>
      <c r="AZ1740" s="6"/>
      <c r="BA1740" s="6"/>
      <c r="BB1740" s="6"/>
      <c r="BC1740" s="6"/>
      <c r="BD1740" s="6"/>
      <c r="BE1740" s="6"/>
      <c r="BF1740" s="6"/>
      <c r="BG1740" s="6"/>
      <c r="BH1740" s="6"/>
      <c r="BI1740" s="6"/>
      <c r="BJ1740" s="6"/>
      <c r="BK1740" s="6"/>
      <c r="BL1740" s="6"/>
      <c r="BM1740" s="6"/>
      <c r="BN1740" s="6"/>
      <c r="BO1740" s="6"/>
      <c r="BP1740" s="6"/>
    </row>
    <row r="1741" spans="1:68" s="10" customFormat="1" ht="12.75" x14ac:dyDescent="0.2">
      <c r="A1741" s="148" t="s">
        <v>23</v>
      </c>
      <c r="B1741" s="160">
        <v>621</v>
      </c>
      <c r="C1741" s="148" t="s">
        <v>289</v>
      </c>
      <c r="D1741" s="147" t="s">
        <v>536</v>
      </c>
      <c r="E1741" s="204">
        <v>39052</v>
      </c>
      <c r="F1741" s="150">
        <v>8900000</v>
      </c>
      <c r="G1741" s="147">
        <v>50000</v>
      </c>
      <c r="H1741" s="147"/>
      <c r="I1741" s="152"/>
      <c r="J1741" s="147"/>
      <c r="K1741" s="139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  <c r="AE1741" s="6"/>
      <c r="AF1741" s="6"/>
      <c r="AG1741" s="6"/>
      <c r="AH1741" s="6"/>
      <c r="AI1741" s="6"/>
      <c r="AJ1741" s="6"/>
      <c r="AK1741" s="6"/>
      <c r="AL1741" s="6"/>
      <c r="AM1741" s="6"/>
      <c r="AN1741" s="6"/>
      <c r="AO1741" s="6"/>
      <c r="AP1741" s="6"/>
      <c r="AQ1741" s="6"/>
      <c r="AR1741" s="6"/>
      <c r="AS1741" s="6"/>
      <c r="AT1741" s="6"/>
      <c r="AU1741" s="6"/>
      <c r="AV1741" s="6"/>
      <c r="AW1741" s="6"/>
      <c r="AX1741" s="6"/>
      <c r="AY1741" s="6"/>
      <c r="AZ1741" s="6"/>
      <c r="BA1741" s="6"/>
      <c r="BB1741" s="6"/>
      <c r="BC1741" s="6"/>
      <c r="BD1741" s="6"/>
      <c r="BE1741" s="6"/>
      <c r="BF1741" s="6"/>
      <c r="BG1741" s="6"/>
      <c r="BH1741" s="6"/>
      <c r="BI1741" s="6"/>
      <c r="BJ1741" s="6"/>
      <c r="BK1741" s="6"/>
      <c r="BL1741" s="6"/>
      <c r="BM1741" s="6"/>
      <c r="BN1741" s="6"/>
      <c r="BO1741" s="6"/>
      <c r="BP1741" s="6"/>
    </row>
    <row r="1742" spans="1:68" s="10" customFormat="1" ht="12.75" x14ac:dyDescent="0.2">
      <c r="A1742" s="147"/>
      <c r="B1742" s="147"/>
      <c r="C1742" s="169"/>
      <c r="D1742" s="149" t="s">
        <v>261</v>
      </c>
      <c r="E1742" s="165"/>
      <c r="F1742" s="150"/>
      <c r="G1742" s="147"/>
      <c r="H1742" s="147">
        <v>2657</v>
      </c>
      <c r="I1742" s="152">
        <f>H1742/$H$1747</f>
        <v>9.3355820245247884E-2</v>
      </c>
      <c r="J1742" s="153"/>
      <c r="K1742" s="139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  <c r="AE1742" s="6"/>
      <c r="AF1742" s="6"/>
      <c r="AG1742" s="6"/>
      <c r="AH1742" s="6"/>
      <c r="AI1742" s="6"/>
      <c r="AJ1742" s="6"/>
      <c r="AK1742" s="6"/>
      <c r="AL1742" s="6"/>
      <c r="AM1742" s="6"/>
      <c r="AN1742" s="6"/>
      <c r="AO1742" s="6"/>
      <c r="AP1742" s="6"/>
      <c r="AQ1742" s="6"/>
      <c r="AR1742" s="6"/>
      <c r="AS1742" s="6"/>
      <c r="AT1742" s="6"/>
      <c r="AU1742" s="6"/>
      <c r="AV1742" s="6"/>
      <c r="AW1742" s="6"/>
      <c r="AX1742" s="6"/>
      <c r="AY1742" s="6"/>
      <c r="AZ1742" s="6"/>
      <c r="BA1742" s="6"/>
      <c r="BB1742" s="6"/>
      <c r="BC1742" s="6"/>
      <c r="BD1742" s="6"/>
      <c r="BE1742" s="6"/>
      <c r="BF1742" s="6"/>
      <c r="BG1742" s="6"/>
      <c r="BH1742" s="6"/>
      <c r="BI1742" s="6"/>
      <c r="BJ1742" s="6"/>
      <c r="BK1742" s="6"/>
      <c r="BL1742" s="6"/>
      <c r="BM1742" s="6"/>
      <c r="BN1742" s="6"/>
      <c r="BO1742" s="6"/>
      <c r="BP1742" s="6"/>
    </row>
    <row r="1743" spans="1:68" s="10" customFormat="1" ht="12.75" x14ac:dyDescent="0.2">
      <c r="A1743" s="147"/>
      <c r="B1743" s="147"/>
      <c r="C1743" s="169"/>
      <c r="D1743" s="149" t="s">
        <v>242</v>
      </c>
      <c r="E1743" s="165"/>
      <c r="F1743" s="150"/>
      <c r="G1743" s="147"/>
      <c r="H1743" s="147">
        <v>1673</v>
      </c>
      <c r="I1743" s="152">
        <f>H1743/$H$1747</f>
        <v>5.8782193176627667E-2</v>
      </c>
      <c r="J1743" s="153"/>
      <c r="K1743" s="139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  <c r="AE1743" s="6"/>
      <c r="AF1743" s="6"/>
      <c r="AG1743" s="6"/>
      <c r="AH1743" s="6"/>
      <c r="AI1743" s="6"/>
      <c r="AJ1743" s="6"/>
      <c r="AK1743" s="6"/>
      <c r="AL1743" s="6"/>
      <c r="AM1743" s="6"/>
      <c r="AN1743" s="6"/>
      <c r="AO1743" s="6"/>
      <c r="AP1743" s="6"/>
      <c r="AQ1743" s="6"/>
      <c r="AR1743" s="6"/>
      <c r="AS1743" s="6"/>
      <c r="AT1743" s="6"/>
      <c r="AU1743" s="6"/>
      <c r="AV1743" s="6"/>
      <c r="AW1743" s="6"/>
      <c r="AX1743" s="6"/>
      <c r="AY1743" s="6"/>
      <c r="AZ1743" s="6"/>
      <c r="BA1743" s="6"/>
      <c r="BB1743" s="6"/>
      <c r="BC1743" s="6"/>
      <c r="BD1743" s="6"/>
      <c r="BE1743" s="6"/>
      <c r="BF1743" s="6"/>
      <c r="BG1743" s="6"/>
      <c r="BH1743" s="6"/>
      <c r="BI1743" s="6"/>
      <c r="BJ1743" s="6"/>
      <c r="BK1743" s="6"/>
      <c r="BL1743" s="6"/>
      <c r="BM1743" s="6"/>
      <c r="BN1743" s="6"/>
      <c r="BO1743" s="6"/>
      <c r="BP1743" s="6"/>
    </row>
    <row r="1744" spans="1:68" s="10" customFormat="1" ht="12.75" x14ac:dyDescent="0.2">
      <c r="A1744" s="147"/>
      <c r="B1744" s="147"/>
      <c r="C1744" s="169"/>
      <c r="D1744" s="149" t="s">
        <v>288</v>
      </c>
      <c r="E1744" s="165"/>
      <c r="F1744" s="150"/>
      <c r="G1744" s="147"/>
      <c r="H1744" s="147">
        <v>16498</v>
      </c>
      <c r="I1744" s="152">
        <f>H1744/$H$1747</f>
        <v>0.5796704261972524</v>
      </c>
      <c r="J1744" s="153" t="s">
        <v>288</v>
      </c>
      <c r="K1744" s="139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  <c r="AE1744" s="6"/>
      <c r="AF1744" s="6"/>
      <c r="AG1744" s="6"/>
      <c r="AH1744" s="6"/>
      <c r="AI1744" s="6"/>
      <c r="AJ1744" s="6"/>
      <c r="AK1744" s="6"/>
      <c r="AL1744" s="6"/>
      <c r="AM1744" s="6"/>
      <c r="AN1744" s="6"/>
      <c r="AO1744" s="6"/>
      <c r="AP1744" s="6"/>
      <c r="AQ1744" s="6"/>
      <c r="AR1744" s="6"/>
      <c r="AS1744" s="6"/>
      <c r="AT1744" s="6"/>
      <c r="AU1744" s="6"/>
      <c r="AV1744" s="6"/>
      <c r="AW1744" s="6"/>
      <c r="AX1744" s="6"/>
      <c r="AY1744" s="6"/>
      <c r="AZ1744" s="6"/>
      <c r="BA1744" s="6"/>
      <c r="BB1744" s="6"/>
      <c r="BC1744" s="6"/>
      <c r="BD1744" s="6"/>
      <c r="BE1744" s="6"/>
      <c r="BF1744" s="6"/>
      <c r="BG1744" s="6"/>
      <c r="BH1744" s="6"/>
      <c r="BI1744" s="6"/>
      <c r="BJ1744" s="6"/>
      <c r="BK1744" s="6"/>
      <c r="BL1744" s="6"/>
      <c r="BM1744" s="6"/>
      <c r="BN1744" s="6"/>
      <c r="BO1744" s="6"/>
      <c r="BP1744" s="6"/>
    </row>
    <row r="1745" spans="1:68" s="10" customFormat="1" ht="12.75" x14ac:dyDescent="0.2">
      <c r="A1745" s="147"/>
      <c r="B1745" s="147"/>
      <c r="C1745" s="169"/>
      <c r="D1745" s="149" t="s">
        <v>292</v>
      </c>
      <c r="E1745" s="165"/>
      <c r="F1745" s="150"/>
      <c r="G1745" s="147"/>
      <c r="H1745" s="147">
        <v>6282</v>
      </c>
      <c r="I1745" s="152">
        <f>H1745/$H$1747</f>
        <v>0.22072309476125224</v>
      </c>
      <c r="J1745" s="153"/>
      <c r="K1745" s="139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  <c r="AE1745" s="6"/>
      <c r="AF1745" s="6"/>
      <c r="AG1745" s="6"/>
      <c r="AH1745" s="6"/>
      <c r="AI1745" s="6"/>
      <c r="AJ1745" s="6"/>
      <c r="AK1745" s="6"/>
      <c r="AL1745" s="6"/>
      <c r="AM1745" s="6"/>
      <c r="AN1745" s="6"/>
      <c r="AO1745" s="6"/>
      <c r="AP1745" s="6"/>
      <c r="AQ1745" s="6"/>
      <c r="AR1745" s="6"/>
      <c r="AS1745" s="6"/>
      <c r="AT1745" s="6"/>
      <c r="AU1745" s="6"/>
      <c r="AV1745" s="6"/>
      <c r="AW1745" s="6"/>
      <c r="AX1745" s="6"/>
      <c r="AY1745" s="6"/>
      <c r="AZ1745" s="6"/>
      <c r="BA1745" s="6"/>
      <c r="BB1745" s="6"/>
      <c r="BC1745" s="6"/>
      <c r="BD1745" s="6"/>
      <c r="BE1745" s="6"/>
      <c r="BF1745" s="6"/>
      <c r="BG1745" s="6"/>
      <c r="BH1745" s="6"/>
      <c r="BI1745" s="6"/>
      <c r="BJ1745" s="6"/>
      <c r="BK1745" s="6"/>
      <c r="BL1745" s="6"/>
      <c r="BM1745" s="6"/>
      <c r="BN1745" s="6"/>
      <c r="BO1745" s="6"/>
      <c r="BP1745" s="6"/>
    </row>
    <row r="1746" spans="1:68" s="10" customFormat="1" ht="12.75" x14ac:dyDescent="0.2">
      <c r="A1746" s="147"/>
      <c r="B1746" s="147"/>
      <c r="C1746" s="169"/>
      <c r="D1746" s="149" t="s">
        <v>285</v>
      </c>
      <c r="E1746" s="165"/>
      <c r="F1746" s="150"/>
      <c r="G1746" s="147"/>
      <c r="H1746" s="147">
        <v>1351</v>
      </c>
      <c r="I1746" s="152">
        <f>H1746/$H$1747</f>
        <v>4.7468465619619829E-2</v>
      </c>
      <c r="J1746" s="153"/>
      <c r="K1746" s="139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  <c r="AE1746" s="6"/>
      <c r="AF1746" s="6"/>
      <c r="AG1746" s="6"/>
      <c r="AH1746" s="6"/>
      <c r="AI1746" s="6"/>
      <c r="AJ1746" s="6"/>
      <c r="AK1746" s="6"/>
      <c r="AL1746" s="6"/>
      <c r="AM1746" s="6"/>
      <c r="AN1746" s="6"/>
      <c r="AO1746" s="6"/>
      <c r="AP1746" s="6"/>
      <c r="AQ1746" s="6"/>
      <c r="AR1746" s="6"/>
      <c r="AS1746" s="6"/>
      <c r="AT1746" s="6"/>
      <c r="AU1746" s="6"/>
      <c r="AV1746" s="6"/>
      <c r="AW1746" s="6"/>
      <c r="AX1746" s="6"/>
      <c r="AY1746" s="6"/>
      <c r="AZ1746" s="6"/>
      <c r="BA1746" s="6"/>
      <c r="BB1746" s="6"/>
      <c r="BC1746" s="6"/>
      <c r="BD1746" s="6"/>
      <c r="BE1746" s="6"/>
      <c r="BF1746" s="6"/>
      <c r="BG1746" s="6"/>
      <c r="BH1746" s="6"/>
      <c r="BI1746" s="6"/>
      <c r="BJ1746" s="6"/>
      <c r="BK1746" s="6"/>
      <c r="BL1746" s="6"/>
      <c r="BM1746" s="6"/>
      <c r="BN1746" s="6"/>
      <c r="BO1746" s="6"/>
      <c r="BP1746" s="6"/>
    </row>
    <row r="1747" spans="1:68" s="10" customFormat="1" ht="12.75" x14ac:dyDescent="0.2">
      <c r="A1747" s="147"/>
      <c r="B1747" s="147"/>
      <c r="C1747" s="169"/>
      <c r="D1747" s="148" t="s">
        <v>33</v>
      </c>
      <c r="E1747" s="165"/>
      <c r="F1747" s="150"/>
      <c r="G1747" s="147"/>
      <c r="H1747" s="155">
        <f>SUM(H1742:H1746)</f>
        <v>28461</v>
      </c>
      <c r="I1747" s="156">
        <f>SUM(I1742:I1746)</f>
        <v>1</v>
      </c>
      <c r="J1747" s="147"/>
      <c r="K1747" s="139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  <c r="AE1747" s="6"/>
      <c r="AF1747" s="6"/>
      <c r="AG1747" s="6"/>
      <c r="AH1747" s="6"/>
      <c r="AI1747" s="6"/>
      <c r="AJ1747" s="6"/>
      <c r="AK1747" s="6"/>
      <c r="AL1747" s="6"/>
      <c r="AM1747" s="6"/>
      <c r="AN1747" s="6"/>
      <c r="AO1747" s="6"/>
      <c r="AP1747" s="6"/>
      <c r="AQ1747" s="6"/>
      <c r="AR1747" s="6"/>
      <c r="AS1747" s="6"/>
      <c r="AT1747" s="6"/>
      <c r="AU1747" s="6"/>
      <c r="AV1747" s="6"/>
      <c r="AW1747" s="6"/>
      <c r="AX1747" s="6"/>
      <c r="AY1747" s="6"/>
      <c r="AZ1747" s="6"/>
      <c r="BA1747" s="6"/>
      <c r="BB1747" s="6"/>
      <c r="BC1747" s="6"/>
      <c r="BD1747" s="6"/>
      <c r="BE1747" s="6"/>
      <c r="BF1747" s="6"/>
      <c r="BG1747" s="6"/>
      <c r="BH1747" s="6"/>
      <c r="BI1747" s="6"/>
      <c r="BJ1747" s="6"/>
      <c r="BK1747" s="6"/>
      <c r="BL1747" s="6"/>
      <c r="BM1747" s="6"/>
      <c r="BN1747" s="6"/>
      <c r="BO1747" s="6"/>
      <c r="BP1747" s="6"/>
    </row>
    <row r="1748" spans="1:68" ht="12.75" x14ac:dyDescent="0.2">
      <c r="A1748" s="147"/>
      <c r="B1748" s="147"/>
      <c r="C1748" s="169"/>
      <c r="D1748" s="148"/>
      <c r="E1748" s="165"/>
      <c r="F1748" s="150"/>
      <c r="G1748" s="147"/>
      <c r="H1748" s="147"/>
      <c r="I1748" s="152"/>
      <c r="J1748" s="147"/>
      <c r="K1748" s="139"/>
    </row>
    <row r="1749" spans="1:68" ht="12.75" x14ac:dyDescent="0.2">
      <c r="A1749" s="148" t="s">
        <v>23</v>
      </c>
      <c r="B1749" s="160">
        <v>623</v>
      </c>
      <c r="C1749" s="148" t="s">
        <v>289</v>
      </c>
      <c r="D1749" s="147" t="s">
        <v>541</v>
      </c>
      <c r="E1749" s="204">
        <v>39391</v>
      </c>
      <c r="F1749" s="150">
        <v>7776600</v>
      </c>
      <c r="G1749" s="147">
        <v>31077</v>
      </c>
      <c r="H1749" s="147"/>
      <c r="I1749" s="152"/>
      <c r="J1749" s="147"/>
      <c r="K1749" s="139"/>
    </row>
    <row r="1750" spans="1:68" ht="12.75" x14ac:dyDescent="0.2">
      <c r="A1750" s="147"/>
      <c r="B1750" s="147"/>
      <c r="C1750" s="169"/>
      <c r="D1750" s="149" t="s">
        <v>261</v>
      </c>
      <c r="E1750" s="165"/>
      <c r="F1750" s="150"/>
      <c r="G1750" s="147"/>
      <c r="H1750" s="147">
        <v>10382</v>
      </c>
      <c r="I1750" s="152">
        <f>H1750/$H$1754</f>
        <v>0.49978337264718625</v>
      </c>
      <c r="J1750" s="153" t="s">
        <v>261</v>
      </c>
      <c r="K1750" s="139"/>
    </row>
    <row r="1751" spans="1:68" ht="12.75" x14ac:dyDescent="0.2">
      <c r="A1751" s="147"/>
      <c r="B1751" s="147"/>
      <c r="C1751" s="169"/>
      <c r="D1751" s="149" t="s">
        <v>293</v>
      </c>
      <c r="E1751" s="165"/>
      <c r="F1751" s="150"/>
      <c r="G1751" s="147"/>
      <c r="H1751" s="147">
        <v>1739</v>
      </c>
      <c r="I1751" s="152">
        <f>H1751/$H$1754</f>
        <v>8.3714437009579742E-2</v>
      </c>
      <c r="J1751" s="153"/>
      <c r="K1751" s="139"/>
    </row>
    <row r="1752" spans="1:68" ht="12.75" x14ac:dyDescent="0.2">
      <c r="A1752" s="147"/>
      <c r="B1752" s="147"/>
      <c r="C1752" s="169"/>
      <c r="D1752" s="149" t="s">
        <v>288</v>
      </c>
      <c r="E1752" s="165"/>
      <c r="F1752" s="150"/>
      <c r="G1752" s="147"/>
      <c r="H1752" s="147">
        <v>7823</v>
      </c>
      <c r="I1752" s="152">
        <f>H1752/$H$1754</f>
        <v>0.37659461801376787</v>
      </c>
      <c r="J1752" s="153"/>
      <c r="K1752" s="139"/>
    </row>
    <row r="1753" spans="1:68" ht="12.75" x14ac:dyDescent="0.2">
      <c r="A1753" s="147"/>
      <c r="B1753" s="147"/>
      <c r="C1753" s="169"/>
      <c r="D1753" s="149" t="s">
        <v>292</v>
      </c>
      <c r="E1753" s="165"/>
      <c r="F1753" s="150"/>
      <c r="G1753" s="147"/>
      <c r="H1753" s="147">
        <v>829</v>
      </c>
      <c r="I1753" s="152">
        <f>H1753/$H$1754</f>
        <v>3.9907572329466137E-2</v>
      </c>
      <c r="J1753" s="153"/>
      <c r="K1753" s="139"/>
    </row>
    <row r="1754" spans="1:68" ht="12.75" x14ac:dyDescent="0.2">
      <c r="A1754" s="147"/>
      <c r="B1754" s="147"/>
      <c r="C1754" s="169"/>
      <c r="D1754" s="148" t="s">
        <v>33</v>
      </c>
      <c r="E1754" s="165"/>
      <c r="F1754" s="150"/>
      <c r="G1754" s="147"/>
      <c r="H1754" s="155">
        <f>SUM(H1750:H1753)</f>
        <v>20773</v>
      </c>
      <c r="I1754" s="156">
        <f>SUM(I1750:I1753)</f>
        <v>1</v>
      </c>
      <c r="J1754" s="147"/>
      <c r="K1754" s="139"/>
    </row>
    <row r="1755" spans="1:68" ht="12.75" x14ac:dyDescent="0.2">
      <c r="A1755" s="147"/>
      <c r="B1755" s="147"/>
      <c r="C1755" s="169"/>
      <c r="D1755" s="148"/>
      <c r="E1755" s="165"/>
      <c r="F1755" s="150"/>
      <c r="G1755" s="147"/>
      <c r="H1755" s="147"/>
      <c r="I1755" s="152"/>
      <c r="J1755" s="147"/>
      <c r="K1755" s="139"/>
    </row>
    <row r="1756" spans="1:68" ht="12.75" x14ac:dyDescent="0.2">
      <c r="A1756" s="148" t="s">
        <v>23</v>
      </c>
      <c r="B1756" s="160">
        <v>672</v>
      </c>
      <c r="C1756" s="148" t="s">
        <v>289</v>
      </c>
      <c r="D1756" s="147" t="s">
        <v>542</v>
      </c>
      <c r="E1756" s="204">
        <v>39234</v>
      </c>
      <c r="F1756" s="150">
        <v>4146322</v>
      </c>
      <c r="G1756" s="147">
        <v>15282</v>
      </c>
      <c r="H1756" s="147"/>
      <c r="I1756" s="152"/>
      <c r="J1756" s="147"/>
      <c r="K1756" s="139"/>
    </row>
    <row r="1757" spans="1:68" s="10" customFormat="1" ht="12.75" x14ac:dyDescent="0.2">
      <c r="A1757" s="147"/>
      <c r="B1757" s="147"/>
      <c r="C1757" s="169"/>
      <c r="D1757" s="149" t="s">
        <v>261</v>
      </c>
      <c r="E1757" s="165"/>
      <c r="F1757" s="150"/>
      <c r="G1757" s="147"/>
      <c r="H1757" s="147">
        <v>3196</v>
      </c>
      <c r="I1757" s="152">
        <f>H1757/$H$1762</f>
        <v>0.35237045203969131</v>
      </c>
      <c r="J1757" s="153" t="s">
        <v>261</v>
      </c>
      <c r="K1757" s="139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  <c r="AE1757" s="6"/>
      <c r="AF1757" s="6"/>
      <c r="AG1757" s="6"/>
      <c r="AH1757" s="6"/>
      <c r="AI1757" s="6"/>
      <c r="AJ1757" s="6"/>
      <c r="AK1757" s="6"/>
      <c r="AL1757" s="6"/>
      <c r="AM1757" s="6"/>
      <c r="AN1757" s="6"/>
      <c r="AO1757" s="6"/>
      <c r="AP1757" s="6"/>
      <c r="AQ1757" s="6"/>
      <c r="AR1757" s="6"/>
      <c r="AS1757" s="6"/>
      <c r="AT1757" s="6"/>
      <c r="AU1757" s="6"/>
      <c r="AV1757" s="6"/>
      <c r="AW1757" s="6"/>
      <c r="AX1757" s="6"/>
      <c r="AY1757" s="6"/>
      <c r="AZ1757" s="6"/>
      <c r="BA1757" s="6"/>
      <c r="BB1757" s="6"/>
      <c r="BC1757" s="6"/>
      <c r="BD1757" s="6"/>
      <c r="BE1757" s="6"/>
      <c r="BF1757" s="6"/>
      <c r="BG1757" s="6"/>
      <c r="BH1757" s="6"/>
      <c r="BI1757" s="6"/>
      <c r="BJ1757" s="6"/>
      <c r="BK1757" s="6"/>
      <c r="BL1757" s="6"/>
      <c r="BM1757" s="6"/>
      <c r="BN1757" s="6"/>
      <c r="BO1757" s="6"/>
      <c r="BP1757" s="6"/>
    </row>
    <row r="1758" spans="1:68" s="10" customFormat="1" ht="12.75" x14ac:dyDescent="0.2">
      <c r="A1758" s="147"/>
      <c r="B1758" s="147"/>
      <c r="C1758" s="169"/>
      <c r="D1758" s="149" t="s">
        <v>284</v>
      </c>
      <c r="E1758" s="165"/>
      <c r="F1758" s="150"/>
      <c r="G1758" s="147"/>
      <c r="H1758" s="147">
        <v>1753</v>
      </c>
      <c r="I1758" s="152">
        <f>H1758/$H$1762</f>
        <v>0.19327453142227122</v>
      </c>
      <c r="J1758" s="153"/>
      <c r="K1758" s="139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  <c r="AE1758" s="6"/>
      <c r="AF1758" s="6"/>
      <c r="AG1758" s="6"/>
      <c r="AH1758" s="6"/>
      <c r="AI1758" s="6"/>
      <c r="AJ1758" s="6"/>
      <c r="AK1758" s="6"/>
      <c r="AL1758" s="6"/>
      <c r="AM1758" s="6"/>
      <c r="AN1758" s="6"/>
      <c r="AO1758" s="6"/>
      <c r="AP1758" s="6"/>
      <c r="AQ1758" s="6"/>
      <c r="AR1758" s="6"/>
      <c r="AS1758" s="6"/>
      <c r="AT1758" s="6"/>
      <c r="AU1758" s="6"/>
      <c r="AV1758" s="6"/>
      <c r="AW1758" s="6"/>
      <c r="AX1758" s="6"/>
      <c r="AY1758" s="6"/>
      <c r="AZ1758" s="6"/>
      <c r="BA1758" s="6"/>
      <c r="BB1758" s="6"/>
      <c r="BC1758" s="6"/>
      <c r="BD1758" s="6"/>
      <c r="BE1758" s="6"/>
      <c r="BF1758" s="6"/>
      <c r="BG1758" s="6"/>
      <c r="BH1758" s="6"/>
      <c r="BI1758" s="6"/>
      <c r="BJ1758" s="6"/>
      <c r="BK1758" s="6"/>
      <c r="BL1758" s="6"/>
      <c r="BM1758" s="6"/>
      <c r="BN1758" s="6"/>
      <c r="BO1758" s="6"/>
      <c r="BP1758" s="6"/>
    </row>
    <row r="1759" spans="1:68" s="10" customFormat="1" ht="12.75" x14ac:dyDescent="0.2">
      <c r="A1759" s="147"/>
      <c r="B1759" s="147"/>
      <c r="C1759" s="169"/>
      <c r="D1759" s="149" t="s">
        <v>262</v>
      </c>
      <c r="E1759" s="165"/>
      <c r="F1759" s="150"/>
      <c r="G1759" s="147"/>
      <c r="H1759" s="147">
        <v>1719</v>
      </c>
      <c r="I1759" s="152">
        <f>H1759/$H$1762</f>
        <v>0.18952590959206175</v>
      </c>
      <c r="J1759" s="153"/>
      <c r="K1759" s="139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  <c r="AE1759" s="6"/>
      <c r="AF1759" s="6"/>
      <c r="AG1759" s="6"/>
      <c r="AH1759" s="6"/>
      <c r="AI1759" s="6"/>
      <c r="AJ1759" s="6"/>
      <c r="AK1759" s="6"/>
      <c r="AL1759" s="6"/>
      <c r="AM1759" s="6"/>
      <c r="AN1759" s="6"/>
      <c r="AO1759" s="6"/>
      <c r="AP1759" s="6"/>
      <c r="AQ1759" s="6"/>
      <c r="AR1759" s="6"/>
      <c r="AS1759" s="6"/>
      <c r="AT1759" s="6"/>
      <c r="AU1759" s="6"/>
      <c r="AV1759" s="6"/>
      <c r="AW1759" s="6"/>
      <c r="AX1759" s="6"/>
      <c r="AY1759" s="6"/>
      <c r="AZ1759" s="6"/>
      <c r="BA1759" s="6"/>
      <c r="BB1759" s="6"/>
      <c r="BC1759" s="6"/>
      <c r="BD1759" s="6"/>
      <c r="BE1759" s="6"/>
      <c r="BF1759" s="6"/>
      <c r="BG1759" s="6"/>
      <c r="BH1759" s="6"/>
      <c r="BI1759" s="6"/>
      <c r="BJ1759" s="6"/>
      <c r="BK1759" s="6"/>
      <c r="BL1759" s="6"/>
      <c r="BM1759" s="6"/>
      <c r="BN1759" s="6"/>
      <c r="BO1759" s="6"/>
      <c r="BP1759" s="6"/>
    </row>
    <row r="1760" spans="1:68" s="10" customFormat="1" ht="12.75" x14ac:dyDescent="0.2">
      <c r="A1760" s="147"/>
      <c r="B1760" s="147"/>
      <c r="C1760" s="169"/>
      <c r="D1760" s="149" t="s">
        <v>243</v>
      </c>
      <c r="E1760" s="165"/>
      <c r="F1760" s="150"/>
      <c r="G1760" s="147"/>
      <c r="H1760" s="147">
        <v>853</v>
      </c>
      <c r="I1760" s="152">
        <f>H1760/$H$1762</f>
        <v>9.4046306504961416E-2</v>
      </c>
      <c r="J1760" s="153"/>
      <c r="K1760" s="139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  <c r="AE1760" s="6"/>
      <c r="AF1760" s="6"/>
      <c r="AG1760" s="6"/>
      <c r="AH1760" s="6"/>
      <c r="AI1760" s="6"/>
      <c r="AJ1760" s="6"/>
      <c r="AK1760" s="6"/>
      <c r="AL1760" s="6"/>
      <c r="AM1760" s="6"/>
      <c r="AN1760" s="6"/>
      <c r="AO1760" s="6"/>
      <c r="AP1760" s="6"/>
      <c r="AQ1760" s="6"/>
      <c r="AR1760" s="6"/>
      <c r="AS1760" s="6"/>
      <c r="AT1760" s="6"/>
      <c r="AU1760" s="6"/>
      <c r="AV1760" s="6"/>
      <c r="AW1760" s="6"/>
      <c r="AX1760" s="6"/>
      <c r="AY1760" s="6"/>
      <c r="AZ1760" s="6"/>
      <c r="BA1760" s="6"/>
      <c r="BB1760" s="6"/>
      <c r="BC1760" s="6"/>
      <c r="BD1760" s="6"/>
      <c r="BE1760" s="6"/>
      <c r="BF1760" s="6"/>
      <c r="BG1760" s="6"/>
      <c r="BH1760" s="6"/>
      <c r="BI1760" s="6"/>
      <c r="BJ1760" s="6"/>
      <c r="BK1760" s="6"/>
      <c r="BL1760" s="6"/>
      <c r="BM1760" s="6"/>
      <c r="BN1760" s="6"/>
      <c r="BO1760" s="6"/>
      <c r="BP1760" s="6"/>
    </row>
    <row r="1761" spans="1:68" s="10" customFormat="1" ht="12.75" x14ac:dyDescent="0.2">
      <c r="A1761" s="147"/>
      <c r="B1761" s="147"/>
      <c r="C1761" s="169"/>
      <c r="D1761" s="149" t="s">
        <v>288</v>
      </c>
      <c r="E1761" s="165"/>
      <c r="F1761" s="150"/>
      <c r="G1761" s="147"/>
      <c r="H1761" s="147">
        <v>1549</v>
      </c>
      <c r="I1761" s="152">
        <f>H1761/$H$1762</f>
        <v>0.17078280044101432</v>
      </c>
      <c r="J1761" s="153"/>
      <c r="K1761" s="139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  <c r="AD1761" s="6"/>
      <c r="AE1761" s="6"/>
      <c r="AF1761" s="6"/>
      <c r="AG1761" s="6"/>
      <c r="AH1761" s="6"/>
      <c r="AI1761" s="6"/>
      <c r="AJ1761" s="6"/>
      <c r="AK1761" s="6"/>
      <c r="AL1761" s="6"/>
      <c r="AM1761" s="6"/>
      <c r="AN1761" s="6"/>
      <c r="AO1761" s="6"/>
      <c r="AP1761" s="6"/>
      <c r="AQ1761" s="6"/>
      <c r="AR1761" s="6"/>
      <c r="AS1761" s="6"/>
      <c r="AT1761" s="6"/>
      <c r="AU1761" s="6"/>
      <c r="AV1761" s="6"/>
      <c r="AW1761" s="6"/>
      <c r="AX1761" s="6"/>
      <c r="AY1761" s="6"/>
      <c r="AZ1761" s="6"/>
      <c r="BA1761" s="6"/>
      <c r="BB1761" s="6"/>
      <c r="BC1761" s="6"/>
      <c r="BD1761" s="6"/>
      <c r="BE1761" s="6"/>
      <c r="BF1761" s="6"/>
      <c r="BG1761" s="6"/>
      <c r="BH1761" s="6"/>
      <c r="BI1761" s="6"/>
      <c r="BJ1761" s="6"/>
      <c r="BK1761" s="6"/>
      <c r="BL1761" s="6"/>
      <c r="BM1761" s="6"/>
      <c r="BN1761" s="6"/>
      <c r="BO1761" s="6"/>
      <c r="BP1761" s="6"/>
    </row>
    <row r="1762" spans="1:68" s="10" customFormat="1" ht="12.75" x14ac:dyDescent="0.2">
      <c r="A1762" s="147"/>
      <c r="B1762" s="147"/>
      <c r="C1762" s="169"/>
      <c r="D1762" s="148" t="s">
        <v>33</v>
      </c>
      <c r="E1762" s="165"/>
      <c r="F1762" s="150"/>
      <c r="G1762" s="147"/>
      <c r="H1762" s="155">
        <f>SUM(H1757:H1761)</f>
        <v>9070</v>
      </c>
      <c r="I1762" s="156">
        <f>SUM(I1757:I1761)</f>
        <v>1</v>
      </c>
      <c r="J1762" s="147"/>
      <c r="K1762" s="139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  <c r="AE1762" s="6"/>
      <c r="AF1762" s="6"/>
      <c r="AG1762" s="6"/>
      <c r="AH1762" s="6"/>
      <c r="AI1762" s="6"/>
      <c r="AJ1762" s="6"/>
      <c r="AK1762" s="6"/>
      <c r="AL1762" s="6"/>
      <c r="AM1762" s="6"/>
      <c r="AN1762" s="6"/>
      <c r="AO1762" s="6"/>
      <c r="AP1762" s="6"/>
      <c r="AQ1762" s="6"/>
      <c r="AR1762" s="6"/>
      <c r="AS1762" s="6"/>
      <c r="AT1762" s="6"/>
      <c r="AU1762" s="6"/>
      <c r="AV1762" s="6"/>
      <c r="AW1762" s="6"/>
      <c r="AX1762" s="6"/>
      <c r="AY1762" s="6"/>
      <c r="AZ1762" s="6"/>
      <c r="BA1762" s="6"/>
      <c r="BB1762" s="6"/>
      <c r="BC1762" s="6"/>
      <c r="BD1762" s="6"/>
      <c r="BE1762" s="6"/>
      <c r="BF1762" s="6"/>
      <c r="BG1762" s="6"/>
      <c r="BH1762" s="6"/>
      <c r="BI1762" s="6"/>
      <c r="BJ1762" s="6"/>
      <c r="BK1762" s="6"/>
      <c r="BL1762" s="6"/>
      <c r="BM1762" s="6"/>
      <c r="BN1762" s="6"/>
      <c r="BO1762" s="6"/>
      <c r="BP1762" s="6"/>
    </row>
    <row r="1763" spans="1:68" s="10" customFormat="1" ht="12.75" x14ac:dyDescent="0.2">
      <c r="A1763" s="147"/>
      <c r="B1763" s="147"/>
      <c r="C1763" s="169"/>
      <c r="D1763" s="148"/>
      <c r="E1763" s="165"/>
      <c r="F1763" s="150"/>
      <c r="G1763" s="147"/>
      <c r="H1763" s="147"/>
      <c r="I1763" s="152"/>
      <c r="J1763" s="147"/>
      <c r="K1763" s="139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  <c r="AE1763" s="6"/>
      <c r="AF1763" s="6"/>
      <c r="AG1763" s="6"/>
      <c r="AH1763" s="6"/>
      <c r="AI1763" s="6"/>
      <c r="AJ1763" s="6"/>
      <c r="AK1763" s="6"/>
      <c r="AL1763" s="6"/>
      <c r="AM1763" s="6"/>
      <c r="AN1763" s="6"/>
      <c r="AO1763" s="6"/>
      <c r="AP1763" s="6"/>
      <c r="AQ1763" s="6"/>
      <c r="AR1763" s="6"/>
      <c r="AS1763" s="6"/>
      <c r="AT1763" s="6"/>
      <c r="AU1763" s="6"/>
      <c r="AV1763" s="6"/>
      <c r="AW1763" s="6"/>
      <c r="AX1763" s="6"/>
      <c r="AY1763" s="6"/>
      <c r="AZ1763" s="6"/>
      <c r="BA1763" s="6"/>
      <c r="BB1763" s="6"/>
      <c r="BC1763" s="6"/>
      <c r="BD1763" s="6"/>
      <c r="BE1763" s="6"/>
      <c r="BF1763" s="6"/>
      <c r="BG1763" s="6"/>
      <c r="BH1763" s="6"/>
      <c r="BI1763" s="6"/>
      <c r="BJ1763" s="6"/>
      <c r="BK1763" s="6"/>
      <c r="BL1763" s="6"/>
      <c r="BM1763" s="6"/>
      <c r="BN1763" s="6"/>
      <c r="BO1763" s="6"/>
      <c r="BP1763" s="6"/>
    </row>
    <row r="1764" spans="1:68" ht="12.75" x14ac:dyDescent="0.2">
      <c r="A1764" s="148" t="s">
        <v>23</v>
      </c>
      <c r="B1764" s="160">
        <v>679</v>
      </c>
      <c r="C1764" s="148" t="s">
        <v>289</v>
      </c>
      <c r="D1764" s="147" t="s">
        <v>543</v>
      </c>
      <c r="E1764" s="204">
        <v>39387</v>
      </c>
      <c r="F1764" s="150">
        <v>3578737</v>
      </c>
      <c r="G1764" s="147">
        <v>13161</v>
      </c>
      <c r="H1764" s="147"/>
      <c r="I1764" s="152"/>
      <c r="J1764" s="147"/>
      <c r="K1764" s="139"/>
    </row>
    <row r="1765" spans="1:68" ht="12.75" x14ac:dyDescent="0.2">
      <c r="A1765" s="147"/>
      <c r="B1765" s="147"/>
      <c r="C1765" s="169"/>
      <c r="D1765" s="149" t="s">
        <v>261</v>
      </c>
      <c r="E1765" s="165"/>
      <c r="F1765" s="150"/>
      <c r="G1765" s="147"/>
      <c r="H1765" s="147">
        <v>2240</v>
      </c>
      <c r="I1765" s="152">
        <f>H1765/$H$1770</f>
        <v>0.26211092908963257</v>
      </c>
      <c r="J1765" s="153"/>
      <c r="K1765" s="139"/>
    </row>
    <row r="1766" spans="1:68" ht="12.75" x14ac:dyDescent="0.2">
      <c r="A1766" s="147"/>
      <c r="B1766" s="147"/>
      <c r="C1766" s="169"/>
      <c r="D1766" s="149" t="s">
        <v>284</v>
      </c>
      <c r="E1766" s="165"/>
      <c r="F1766" s="150"/>
      <c r="G1766" s="147"/>
      <c r="H1766" s="147">
        <v>414</v>
      </c>
      <c r="I1766" s="152">
        <f>H1766/$H$1770</f>
        <v>4.8443716358530307E-2</v>
      </c>
      <c r="J1766" s="153"/>
      <c r="K1766" s="139"/>
    </row>
    <row r="1767" spans="1:68" ht="12.75" x14ac:dyDescent="0.2">
      <c r="A1767" s="147"/>
      <c r="B1767" s="147"/>
      <c r="C1767" s="169"/>
      <c r="D1767" s="149" t="s">
        <v>262</v>
      </c>
      <c r="E1767" s="165"/>
      <c r="F1767" s="150"/>
      <c r="G1767" s="147"/>
      <c r="H1767" s="147">
        <v>1605</v>
      </c>
      <c r="I1767" s="152">
        <f>H1767/$H$1770</f>
        <v>0.18780716124502692</v>
      </c>
      <c r="J1767" s="153"/>
      <c r="K1767" s="139"/>
    </row>
    <row r="1768" spans="1:68" ht="12.75" x14ac:dyDescent="0.2">
      <c r="A1768" s="147"/>
      <c r="B1768" s="147"/>
      <c r="C1768" s="169"/>
      <c r="D1768" s="149" t="s">
        <v>243</v>
      </c>
      <c r="E1768" s="165"/>
      <c r="F1768" s="150"/>
      <c r="G1768" s="147"/>
      <c r="H1768" s="147">
        <v>348</v>
      </c>
      <c r="I1768" s="152">
        <f>H1768/$H$1770</f>
        <v>4.0720805054996492E-2</v>
      </c>
      <c r="J1768" s="153"/>
      <c r="K1768" s="139"/>
    </row>
    <row r="1769" spans="1:68" ht="12.75" x14ac:dyDescent="0.2">
      <c r="A1769" s="147"/>
      <c r="B1769" s="147"/>
      <c r="C1769" s="169"/>
      <c r="D1769" s="149" t="s">
        <v>288</v>
      </c>
      <c r="E1769" s="165"/>
      <c r="F1769" s="150"/>
      <c r="G1769" s="147"/>
      <c r="H1769" s="147">
        <v>3939</v>
      </c>
      <c r="I1769" s="152">
        <f>H1769/$H$1770</f>
        <v>0.46091738825181372</v>
      </c>
      <c r="J1769" s="151" t="s">
        <v>240</v>
      </c>
      <c r="K1769" s="139"/>
    </row>
    <row r="1770" spans="1:68" ht="12.75" x14ac:dyDescent="0.2">
      <c r="A1770" s="147"/>
      <c r="B1770" s="147"/>
      <c r="C1770" s="169"/>
      <c r="D1770" s="148" t="s">
        <v>33</v>
      </c>
      <c r="E1770" s="165"/>
      <c r="F1770" s="150"/>
      <c r="G1770" s="147"/>
      <c r="H1770" s="155">
        <f>SUM(H1765:H1769)</f>
        <v>8546</v>
      </c>
      <c r="I1770" s="156">
        <f>SUM(I1765:I1769)</f>
        <v>1</v>
      </c>
      <c r="J1770" s="147"/>
      <c r="K1770" s="139"/>
    </row>
    <row r="1771" spans="1:68" ht="12.75" x14ac:dyDescent="0.2">
      <c r="A1771" s="147"/>
      <c r="B1771" s="147"/>
      <c r="C1771" s="169"/>
      <c r="D1771" s="148"/>
      <c r="E1771" s="165"/>
      <c r="F1771" s="150"/>
      <c r="G1771" s="147"/>
      <c r="H1771" s="147"/>
      <c r="I1771" s="152"/>
      <c r="J1771" s="147"/>
      <c r="K1771" s="139"/>
    </row>
    <row r="1772" spans="1:68" ht="12.75" x14ac:dyDescent="0.2">
      <c r="A1772" s="148" t="s">
        <v>23</v>
      </c>
      <c r="B1772" s="160">
        <v>668</v>
      </c>
      <c r="C1772" s="148" t="s">
        <v>289</v>
      </c>
      <c r="D1772" s="147" t="s">
        <v>474</v>
      </c>
      <c r="E1772" s="204">
        <v>39448</v>
      </c>
      <c r="F1772" s="150">
        <v>8173658</v>
      </c>
      <c r="G1772" s="147">
        <v>39026</v>
      </c>
      <c r="H1772" s="147"/>
      <c r="I1772" s="152"/>
      <c r="J1772" s="147"/>
      <c r="K1772" s="139"/>
    </row>
    <row r="1773" spans="1:68" ht="12.75" x14ac:dyDescent="0.2">
      <c r="A1773" s="148"/>
      <c r="B1773" s="160"/>
      <c r="C1773" s="148"/>
      <c r="D1773" s="149" t="s">
        <v>314</v>
      </c>
      <c r="E1773" s="204"/>
      <c r="F1773" s="150"/>
      <c r="G1773" s="147"/>
      <c r="H1773" s="147">
        <v>19729</v>
      </c>
      <c r="I1773" s="152">
        <f>H1773/$H$1776</f>
        <v>0.69814926218195972</v>
      </c>
      <c r="J1773" s="153" t="s">
        <v>314</v>
      </c>
      <c r="K1773" s="139"/>
    </row>
    <row r="1774" spans="1:68" ht="12.75" x14ac:dyDescent="0.2">
      <c r="A1774" s="148"/>
      <c r="B1774" s="160"/>
      <c r="C1774" s="148"/>
      <c r="D1774" s="149" t="s">
        <v>288</v>
      </c>
      <c r="E1774" s="204"/>
      <c r="F1774" s="150"/>
      <c r="G1774" s="147"/>
      <c r="H1774" s="147">
        <v>2118</v>
      </c>
      <c r="I1774" s="152">
        <f>H1774/$H$1776</f>
        <v>7.4949573587175772E-2</v>
      </c>
      <c r="J1774" s="147"/>
      <c r="K1774" s="139"/>
    </row>
    <row r="1775" spans="1:68" ht="12.75" x14ac:dyDescent="0.2">
      <c r="A1775" s="147"/>
      <c r="B1775" s="147"/>
      <c r="C1775" s="169"/>
      <c r="D1775" s="149" t="s">
        <v>292</v>
      </c>
      <c r="E1775" s="165"/>
      <c r="F1775" s="150"/>
      <c r="G1775" s="147"/>
      <c r="H1775" s="147">
        <v>6412</v>
      </c>
      <c r="I1775" s="152">
        <f>H1775/$H$1776</f>
        <v>0.22690116423086451</v>
      </c>
      <c r="J1775" s="153" t="s">
        <v>292</v>
      </c>
      <c r="K1775" s="139"/>
    </row>
    <row r="1776" spans="1:68" ht="12.75" x14ac:dyDescent="0.2">
      <c r="A1776" s="147"/>
      <c r="B1776" s="147"/>
      <c r="C1776" s="169"/>
      <c r="D1776" s="148" t="s">
        <v>33</v>
      </c>
      <c r="E1776" s="165"/>
      <c r="F1776" s="150"/>
      <c r="G1776" s="147"/>
      <c r="H1776" s="155">
        <f>SUM(H1773:H1775)</f>
        <v>28259</v>
      </c>
      <c r="I1776" s="156">
        <f>SUM(I1773:I1775)</f>
        <v>1</v>
      </c>
      <c r="J1776" s="147"/>
      <c r="K1776" s="139"/>
    </row>
    <row r="1777" spans="1:17" ht="12.75" x14ac:dyDescent="0.2">
      <c r="A1777" s="147"/>
      <c r="B1777" s="147"/>
      <c r="C1777" s="169"/>
      <c r="D1777" s="148"/>
      <c r="E1777" s="165"/>
      <c r="F1777" s="150"/>
      <c r="G1777" s="147"/>
      <c r="H1777" s="147"/>
      <c r="I1777" s="152"/>
      <c r="J1777" s="147"/>
      <c r="K1777" s="139"/>
    </row>
    <row r="1778" spans="1:17" ht="12.75" x14ac:dyDescent="0.2">
      <c r="A1778" s="147"/>
      <c r="B1778" s="147"/>
      <c r="C1778" s="169"/>
      <c r="D1778" s="148"/>
      <c r="E1778" s="165"/>
      <c r="F1778" s="150"/>
      <c r="G1778" s="147"/>
      <c r="H1778" s="147"/>
      <c r="I1778" s="152"/>
      <c r="J1778" s="147"/>
      <c r="K1778" s="139"/>
    </row>
    <row r="1779" spans="1:17" ht="12.75" x14ac:dyDescent="0.2">
      <c r="A1779" s="148" t="s">
        <v>23</v>
      </c>
      <c r="B1779" s="160">
        <v>624</v>
      </c>
      <c r="C1779" s="148" t="s">
        <v>289</v>
      </c>
      <c r="D1779" s="147" t="s">
        <v>570</v>
      </c>
      <c r="E1779" s="204">
        <v>39904</v>
      </c>
      <c r="F1779" s="150">
        <v>26204519</v>
      </c>
      <c r="G1779" s="147"/>
      <c r="H1779" s="147"/>
      <c r="I1779" s="152"/>
      <c r="J1779" s="147"/>
      <c r="K1779" s="139"/>
    </row>
    <row r="1780" spans="1:17" ht="12.75" x14ac:dyDescent="0.2">
      <c r="A1780" s="148"/>
      <c r="B1780" s="160"/>
      <c r="C1780" s="148"/>
      <c r="D1780" s="149" t="s">
        <v>261</v>
      </c>
      <c r="E1780" s="204"/>
      <c r="F1780" s="150"/>
      <c r="G1780" s="147"/>
      <c r="H1780" s="147">
        <v>8982</v>
      </c>
      <c r="I1780" s="152">
        <f>H1780/$H$1783</f>
        <v>0.20569308631231822</v>
      </c>
      <c r="J1780" s="151" t="s">
        <v>16</v>
      </c>
      <c r="K1780" s="139"/>
    </row>
    <row r="1781" spans="1:17" ht="12.75" x14ac:dyDescent="0.2">
      <c r="A1781" s="148"/>
      <c r="B1781" s="160"/>
      <c r="C1781" s="148"/>
      <c r="D1781" s="149" t="s">
        <v>291</v>
      </c>
      <c r="E1781" s="204"/>
      <c r="F1781" s="150"/>
      <c r="G1781" s="147"/>
      <c r="H1781" s="147">
        <f>18208+3891</f>
        <v>22099</v>
      </c>
      <c r="I1781" s="152">
        <f>H1781/$H$1783</f>
        <v>0.5060801062587309</v>
      </c>
      <c r="J1781" s="153" t="s">
        <v>108</v>
      </c>
      <c r="K1781" s="139"/>
    </row>
    <row r="1782" spans="1:17" ht="12.75" x14ac:dyDescent="0.2">
      <c r="A1782" s="147"/>
      <c r="B1782" s="147"/>
      <c r="C1782" s="169"/>
      <c r="D1782" s="149" t="s">
        <v>240</v>
      </c>
      <c r="E1782" s="165"/>
      <c r="F1782" s="150"/>
      <c r="G1782" s="147"/>
      <c r="H1782" s="147">
        <f>11703+883</f>
        <v>12586</v>
      </c>
      <c r="I1782" s="152">
        <f>H1782/$H$1783</f>
        <v>0.2882268074289509</v>
      </c>
      <c r="J1782" s="153" t="s">
        <v>63</v>
      </c>
      <c r="K1782" s="139"/>
    </row>
    <row r="1783" spans="1:17" ht="12.75" x14ac:dyDescent="0.2">
      <c r="A1783" s="147"/>
      <c r="B1783" s="147"/>
      <c r="C1783" s="169"/>
      <c r="D1783" s="148" t="s">
        <v>33</v>
      </c>
      <c r="E1783" s="165"/>
      <c r="F1783" s="150"/>
      <c r="G1783" s="147"/>
      <c r="H1783" s="155">
        <f>SUM(H1780:H1782)</f>
        <v>43667</v>
      </c>
      <c r="I1783" s="156">
        <f>SUM(I1780:I1782)</f>
        <v>1</v>
      </c>
      <c r="J1783" s="147"/>
      <c r="K1783" s="139"/>
    </row>
    <row r="1784" spans="1:17" ht="12.75" x14ac:dyDescent="0.2">
      <c r="A1784" s="147"/>
      <c r="B1784" s="147"/>
      <c r="C1784" s="169"/>
      <c r="D1784" s="148"/>
      <c r="E1784" s="165"/>
      <c r="F1784" s="150"/>
      <c r="G1784" s="147"/>
      <c r="H1784" s="147"/>
      <c r="I1784" s="152"/>
      <c r="J1784" s="147"/>
      <c r="K1784" s="139"/>
    </row>
    <row r="1785" spans="1:17" ht="12.75" x14ac:dyDescent="0.2">
      <c r="A1785" s="148" t="s">
        <v>23</v>
      </c>
      <c r="B1785" s="160">
        <v>678</v>
      </c>
      <c r="C1785" s="148" t="s">
        <v>289</v>
      </c>
      <c r="D1785" s="147" t="s">
        <v>571</v>
      </c>
      <c r="E1785" s="204">
        <v>39934</v>
      </c>
      <c r="F1785" s="150">
        <v>18825512</v>
      </c>
      <c r="G1785" s="147">
        <v>73208</v>
      </c>
      <c r="H1785" s="147"/>
      <c r="I1785" s="152"/>
      <c r="J1785" s="147"/>
      <c r="K1785" s="139"/>
    </row>
    <row r="1786" spans="1:17" ht="12.75" x14ac:dyDescent="0.2">
      <c r="A1786" s="148"/>
      <c r="B1786" s="160"/>
      <c r="C1786" s="148"/>
      <c r="D1786" s="149" t="s">
        <v>261</v>
      </c>
      <c r="E1786" s="204"/>
      <c r="F1786" s="150"/>
      <c r="G1786" s="147"/>
      <c r="H1786" s="147">
        <v>7604</v>
      </c>
      <c r="I1786" s="152">
        <f>H1786/$H$1789</f>
        <v>0.17074594691696232</v>
      </c>
      <c r="J1786" s="147"/>
      <c r="K1786" s="139"/>
    </row>
    <row r="1787" spans="1:17" ht="12.75" x14ac:dyDescent="0.2">
      <c r="A1787" s="148"/>
      <c r="B1787" s="160"/>
      <c r="C1787" s="148"/>
      <c r="D1787" s="149" t="s">
        <v>262</v>
      </c>
      <c r="E1787" s="204"/>
      <c r="F1787" s="150"/>
      <c r="G1787" s="147"/>
      <c r="H1787" s="147">
        <v>8010</v>
      </c>
      <c r="I1787" s="152">
        <f>H1787/$H$1789</f>
        <v>0.17986257690753132</v>
      </c>
      <c r="J1787" s="147"/>
      <c r="K1787" s="139"/>
    </row>
    <row r="1788" spans="1:17" s="20" customFormat="1" ht="12.75" x14ac:dyDescent="0.2">
      <c r="A1788" s="147"/>
      <c r="B1788" s="147"/>
      <c r="C1788" s="169"/>
      <c r="D1788" s="149" t="s">
        <v>240</v>
      </c>
      <c r="E1788" s="165"/>
      <c r="F1788" s="150"/>
      <c r="G1788" s="147"/>
      <c r="H1788" s="147">
        <v>28920</v>
      </c>
      <c r="I1788" s="152">
        <f>H1788/$H$1789</f>
        <v>0.64939147617550641</v>
      </c>
      <c r="J1788" s="151" t="s">
        <v>572</v>
      </c>
      <c r="K1788" s="139"/>
      <c r="L1788" s="6"/>
      <c r="M1788" s="6"/>
      <c r="N1788" s="6"/>
      <c r="O1788" s="6"/>
      <c r="P1788" s="6"/>
      <c r="Q1788" s="6"/>
    </row>
    <row r="1789" spans="1:17" ht="12.75" x14ac:dyDescent="0.2">
      <c r="A1789" s="147"/>
      <c r="B1789" s="147"/>
      <c r="C1789" s="169"/>
      <c r="D1789" s="148" t="s">
        <v>33</v>
      </c>
      <c r="E1789" s="165"/>
      <c r="F1789" s="150"/>
      <c r="G1789" s="147"/>
      <c r="H1789" s="155">
        <f>SUM(H1786:H1788)</f>
        <v>44534</v>
      </c>
      <c r="I1789" s="156">
        <f>SUM(I1786:I1788)</f>
        <v>1</v>
      </c>
      <c r="J1789" s="147"/>
      <c r="K1789" s="139"/>
    </row>
    <row r="1790" spans="1:17" ht="12.75" x14ac:dyDescent="0.2">
      <c r="A1790" s="147"/>
      <c r="B1790" s="147"/>
      <c r="C1790" s="169"/>
      <c r="D1790" s="148"/>
      <c r="E1790" s="165"/>
      <c r="F1790" s="150"/>
      <c r="G1790" s="147"/>
      <c r="H1790" s="147"/>
      <c r="I1790" s="152"/>
      <c r="J1790" s="147"/>
      <c r="K1790" s="139"/>
    </row>
    <row r="1791" spans="1:17" ht="12.75" x14ac:dyDescent="0.2">
      <c r="A1791" s="148" t="s">
        <v>23</v>
      </c>
      <c r="B1791" s="148"/>
      <c r="C1791" s="148" t="s">
        <v>289</v>
      </c>
      <c r="D1791" s="149" t="s">
        <v>657</v>
      </c>
      <c r="E1791" s="204">
        <v>42537</v>
      </c>
      <c r="F1791" s="150">
        <v>5755993</v>
      </c>
      <c r="G1791" s="147">
        <v>22694</v>
      </c>
      <c r="H1791" s="147"/>
      <c r="I1791" s="152"/>
      <c r="J1791" s="147"/>
      <c r="K1791" s="139"/>
    </row>
    <row r="1792" spans="1:17" ht="12.75" x14ac:dyDescent="0.2">
      <c r="A1792" s="147"/>
      <c r="B1792" s="147"/>
      <c r="C1792" s="169"/>
      <c r="D1792" s="149" t="s">
        <v>627</v>
      </c>
      <c r="E1792" s="165"/>
      <c r="F1792" s="150"/>
      <c r="G1792" s="147"/>
      <c r="H1792" s="147">
        <v>494</v>
      </c>
      <c r="I1792" s="152">
        <f>H1792/$H$1795</f>
        <v>4.2081949058693245E-2</v>
      </c>
      <c r="J1792" s="147"/>
      <c r="K1792" s="139"/>
    </row>
    <row r="1793" spans="1:17" ht="12.75" x14ac:dyDescent="0.2">
      <c r="A1793" s="147"/>
      <c r="B1793" s="147"/>
      <c r="C1793" s="169"/>
      <c r="D1793" s="149" t="s">
        <v>589</v>
      </c>
      <c r="E1793" s="165"/>
      <c r="F1793" s="150"/>
      <c r="G1793" s="147"/>
      <c r="H1793" s="147">
        <v>9725</v>
      </c>
      <c r="I1793" s="152">
        <f>H1793/$H$1795</f>
        <v>0.82843513076071218</v>
      </c>
      <c r="J1793" s="151" t="s">
        <v>63</v>
      </c>
      <c r="K1793" s="139"/>
    </row>
    <row r="1794" spans="1:17" ht="12.75" x14ac:dyDescent="0.2">
      <c r="A1794" s="147"/>
      <c r="B1794" s="147"/>
      <c r="C1794" s="169"/>
      <c r="D1794" s="149" t="s">
        <v>615</v>
      </c>
      <c r="E1794" s="165"/>
      <c r="F1794" s="150"/>
      <c r="G1794" s="147"/>
      <c r="H1794" s="147">
        <v>1520</v>
      </c>
      <c r="I1794" s="152">
        <f>H1794/$H$1795</f>
        <v>0.1294829201805946</v>
      </c>
      <c r="J1794" s="147"/>
      <c r="K1794" s="139"/>
    </row>
    <row r="1795" spans="1:17" ht="12.75" x14ac:dyDescent="0.2">
      <c r="A1795" s="147"/>
      <c r="B1795" s="147"/>
      <c r="C1795" s="169"/>
      <c r="D1795" s="148" t="s">
        <v>33</v>
      </c>
      <c r="E1795" s="165"/>
      <c r="F1795" s="150"/>
      <c r="G1795" s="147"/>
      <c r="H1795" s="167">
        <f>SUM(H1792:H1794)</f>
        <v>11739</v>
      </c>
      <c r="I1795" s="168">
        <f>H1795/$H$1795</f>
        <v>1</v>
      </c>
      <c r="J1795" s="147"/>
      <c r="K1795" s="139"/>
    </row>
    <row r="1796" spans="1:17" ht="12.75" x14ac:dyDescent="0.2">
      <c r="A1796" s="147"/>
      <c r="B1796" s="147"/>
      <c r="C1796" s="169"/>
      <c r="D1796" s="148"/>
      <c r="E1796" s="165"/>
      <c r="F1796" s="150"/>
      <c r="G1796" s="147"/>
      <c r="H1796" s="177"/>
      <c r="I1796" s="178"/>
      <c r="J1796" s="147"/>
      <c r="K1796" s="139"/>
    </row>
    <row r="1797" spans="1:17" ht="12.75" x14ac:dyDescent="0.2">
      <c r="A1797" s="173" t="s">
        <v>23</v>
      </c>
      <c r="B1797" s="173"/>
      <c r="C1797" s="173" t="s">
        <v>289</v>
      </c>
      <c r="D1797" s="188" t="s">
        <v>684</v>
      </c>
      <c r="E1797" s="215">
        <v>43770</v>
      </c>
      <c r="F1797" s="176">
        <v>51600273.979999997</v>
      </c>
      <c r="G1797" s="177">
        <v>166127</v>
      </c>
      <c r="H1797" s="177"/>
      <c r="I1797" s="178"/>
      <c r="J1797" s="177"/>
      <c r="K1797" s="139"/>
    </row>
    <row r="1798" spans="1:17" ht="12.75" x14ac:dyDescent="0.2">
      <c r="A1798" s="173"/>
      <c r="B1798" s="173"/>
      <c r="C1798" s="173"/>
      <c r="D1798" s="201" t="s">
        <v>16</v>
      </c>
      <c r="E1798" s="215"/>
      <c r="F1798" s="176"/>
      <c r="G1798" s="177"/>
      <c r="H1798" s="177">
        <v>19717</v>
      </c>
      <c r="I1798" s="152">
        <f t="shared" ref="I1798:I1803" si="44">H1798/$H$1803</f>
        <v>0.58791782210692667</v>
      </c>
      <c r="J1798" s="202" t="s">
        <v>16</v>
      </c>
      <c r="K1798" s="140"/>
      <c r="L1798" s="20"/>
      <c r="M1798" s="20"/>
      <c r="N1798" s="20"/>
      <c r="O1798" s="20"/>
      <c r="P1798" s="20"/>
      <c r="Q1798" s="20"/>
    </row>
    <row r="1799" spans="1:17" ht="12.75" x14ac:dyDescent="0.2">
      <c r="A1799" s="147"/>
      <c r="B1799" s="147"/>
      <c r="C1799" s="169"/>
      <c r="D1799" s="149" t="s">
        <v>627</v>
      </c>
      <c r="E1799" s="165"/>
      <c r="F1799" s="150"/>
      <c r="G1799" s="147"/>
      <c r="H1799" s="147">
        <v>1263</v>
      </c>
      <c r="I1799" s="152">
        <f t="shared" si="44"/>
        <v>3.7659898023078987E-2</v>
      </c>
      <c r="J1799" s="147"/>
      <c r="K1799" s="139"/>
    </row>
    <row r="1800" spans="1:17" ht="12.75" x14ac:dyDescent="0.2">
      <c r="A1800" s="147"/>
      <c r="B1800" s="147"/>
      <c r="C1800" s="169"/>
      <c r="D1800" s="191" t="s">
        <v>42</v>
      </c>
      <c r="E1800" s="165"/>
      <c r="F1800" s="150"/>
      <c r="G1800" s="147"/>
      <c r="H1800" s="147">
        <v>8777</v>
      </c>
      <c r="I1800" s="152">
        <f t="shared" si="44"/>
        <v>0.26171094611921164</v>
      </c>
      <c r="J1800" s="151" t="s">
        <v>42</v>
      </c>
      <c r="K1800" s="139"/>
    </row>
    <row r="1801" spans="1:17" ht="12.75" x14ac:dyDescent="0.2">
      <c r="A1801" s="147"/>
      <c r="B1801" s="147"/>
      <c r="C1801" s="169"/>
      <c r="D1801" s="149" t="s">
        <v>589</v>
      </c>
      <c r="E1801" s="165"/>
      <c r="F1801" s="150"/>
      <c r="G1801" s="147"/>
      <c r="H1801" s="147">
        <v>3026</v>
      </c>
      <c r="I1801" s="152">
        <f t="shared" si="44"/>
        <v>9.0228702626949334E-2</v>
      </c>
      <c r="J1801" s="151"/>
      <c r="K1801" s="139"/>
    </row>
    <row r="1802" spans="1:17" ht="12.75" x14ac:dyDescent="0.2">
      <c r="A1802" s="147"/>
      <c r="B1802" s="147"/>
      <c r="C1802" s="169"/>
      <c r="D1802" s="149" t="s">
        <v>615</v>
      </c>
      <c r="E1802" s="165"/>
      <c r="F1802" s="150"/>
      <c r="G1802" s="147"/>
      <c r="H1802" s="147">
        <v>754</v>
      </c>
      <c r="I1802" s="152">
        <f t="shared" si="44"/>
        <v>2.2482631123833377E-2</v>
      </c>
      <c r="J1802" s="147"/>
      <c r="K1802" s="139"/>
    </row>
    <row r="1803" spans="1:17" ht="12.75" x14ac:dyDescent="0.2">
      <c r="A1803" s="147"/>
      <c r="B1803" s="147"/>
      <c r="C1803" s="169"/>
      <c r="D1803" s="148" t="s">
        <v>33</v>
      </c>
      <c r="E1803" s="165"/>
      <c r="F1803" s="150"/>
      <c r="G1803" s="147"/>
      <c r="H1803" s="219">
        <f>SUM(H1798:H1802)</f>
        <v>33537</v>
      </c>
      <c r="I1803" s="220">
        <f t="shared" si="44"/>
        <v>1</v>
      </c>
      <c r="J1803" s="147"/>
      <c r="K1803" s="139"/>
    </row>
    <row r="1804" spans="1:17" ht="12.75" x14ac:dyDescent="0.2">
      <c r="A1804" s="147"/>
      <c r="B1804" s="147"/>
      <c r="C1804" s="169"/>
      <c r="D1804" s="148"/>
      <c r="E1804" s="165"/>
      <c r="F1804" s="150"/>
      <c r="G1804" s="147"/>
      <c r="H1804" s="147"/>
      <c r="I1804" s="152"/>
      <c r="J1804" s="147"/>
      <c r="K1804" s="139"/>
    </row>
    <row r="1805" spans="1:17" ht="12.75" x14ac:dyDescent="0.2">
      <c r="A1805" s="148" t="s">
        <v>23</v>
      </c>
      <c r="B1805" s="151"/>
      <c r="C1805" s="148" t="s">
        <v>289</v>
      </c>
      <c r="D1805" s="149" t="s">
        <v>742</v>
      </c>
      <c r="E1805" s="165">
        <v>44887</v>
      </c>
      <c r="F1805" s="150">
        <v>35721666</v>
      </c>
      <c r="G1805" s="147">
        <v>62997</v>
      </c>
      <c r="H1805" s="147"/>
      <c r="I1805" s="152"/>
      <c r="J1805" s="147"/>
      <c r="K1805" s="139"/>
    </row>
    <row r="1806" spans="1:17" ht="12.75" x14ac:dyDescent="0.2">
      <c r="A1806" s="147"/>
      <c r="B1806" s="147"/>
      <c r="C1806" s="169"/>
      <c r="D1806" s="191" t="s">
        <v>108</v>
      </c>
      <c r="E1806" s="165"/>
      <c r="F1806" s="150"/>
      <c r="G1806" s="147"/>
      <c r="H1806" s="147">
        <v>26827</v>
      </c>
      <c r="I1806" s="152">
        <f>H1806/$H$1808</f>
        <v>0.77550371462434597</v>
      </c>
      <c r="J1806" s="151" t="s">
        <v>687</v>
      </c>
      <c r="K1806" s="139"/>
    </row>
    <row r="1807" spans="1:17" ht="12.75" x14ac:dyDescent="0.2">
      <c r="A1807" s="147"/>
      <c r="B1807" s="147"/>
      <c r="C1807" s="169"/>
      <c r="D1807" s="149" t="s">
        <v>589</v>
      </c>
      <c r="E1807" s="165"/>
      <c r="F1807" s="150"/>
      <c r="G1807" s="147"/>
      <c r="H1807" s="147">
        <v>7766</v>
      </c>
      <c r="I1807" s="152">
        <f>H1807/$H$1808</f>
        <v>0.22449628537565403</v>
      </c>
      <c r="J1807" s="151"/>
      <c r="K1807" s="139"/>
    </row>
    <row r="1808" spans="1:17" ht="12.75" x14ac:dyDescent="0.2">
      <c r="A1808" s="147"/>
      <c r="B1808" s="147"/>
      <c r="C1808" s="169"/>
      <c r="D1808" s="148" t="s">
        <v>33</v>
      </c>
      <c r="E1808" s="165"/>
      <c r="F1808" s="150"/>
      <c r="G1808" s="147"/>
      <c r="H1808" s="167">
        <f>SUM(H1806:H1807)</f>
        <v>34593</v>
      </c>
      <c r="I1808" s="168">
        <f>H1808/$H$1808</f>
        <v>1</v>
      </c>
      <c r="J1808" s="147"/>
      <c r="K1808" s="139"/>
    </row>
    <row r="1809" spans="1:11" ht="12.75" x14ac:dyDescent="0.2">
      <c r="A1809" s="147"/>
      <c r="B1809" s="147"/>
      <c r="C1809" s="169"/>
      <c r="D1809" s="148"/>
      <c r="E1809" s="165"/>
      <c r="F1809" s="150"/>
      <c r="G1809" s="147"/>
      <c r="H1809" s="147"/>
      <c r="I1809" s="152"/>
      <c r="J1809" s="147"/>
      <c r="K1809" s="139"/>
    </row>
    <row r="1810" spans="1:11" ht="12.75" x14ac:dyDescent="0.2">
      <c r="A1810" s="148" t="s">
        <v>29</v>
      </c>
      <c r="B1810" s="148" t="s">
        <v>382</v>
      </c>
      <c r="C1810" s="148" t="s">
        <v>234</v>
      </c>
      <c r="D1810" s="154" t="s">
        <v>189</v>
      </c>
      <c r="E1810" s="165" t="s">
        <v>383</v>
      </c>
      <c r="F1810" s="150">
        <v>2157403</v>
      </c>
      <c r="G1810" s="147">
        <v>37065</v>
      </c>
      <c r="H1810" s="147"/>
      <c r="I1810" s="152"/>
      <c r="J1810" s="151"/>
      <c r="K1810" s="139"/>
    </row>
    <row r="1811" spans="1:11" ht="12.75" x14ac:dyDescent="0.2">
      <c r="A1811" s="151"/>
      <c r="B1811" s="151"/>
      <c r="C1811" s="148"/>
      <c r="D1811" s="149" t="s">
        <v>240</v>
      </c>
      <c r="E1811" s="165"/>
      <c r="F1811" s="150"/>
      <c r="G1811" s="147"/>
      <c r="H1811" s="147">
        <v>10262</v>
      </c>
      <c r="I1811" s="152">
        <f>ROUND(H1811/$H$1814,4)</f>
        <v>0.69710000000000005</v>
      </c>
      <c r="J1811" s="151" t="s">
        <v>240</v>
      </c>
      <c r="K1811" s="139"/>
    </row>
    <row r="1812" spans="1:11" ht="12.75" x14ac:dyDescent="0.2">
      <c r="A1812" s="151"/>
      <c r="B1812" s="151"/>
      <c r="C1812" s="148"/>
      <c r="D1812" s="149" t="s">
        <v>242</v>
      </c>
      <c r="E1812" s="165"/>
      <c r="F1812" s="150"/>
      <c r="G1812" s="147"/>
      <c r="H1812" s="147">
        <v>4395</v>
      </c>
      <c r="I1812" s="152">
        <f>ROUND(H1812/$H$1814,4)</f>
        <v>0.29859999999999998</v>
      </c>
      <c r="J1812" s="153" t="s">
        <v>242</v>
      </c>
      <c r="K1812" s="139"/>
    </row>
    <row r="1813" spans="1:11" ht="12.75" x14ac:dyDescent="0.2">
      <c r="A1813" s="151"/>
      <c r="B1813" s="151"/>
      <c r="C1813" s="148"/>
      <c r="D1813" s="149" t="s">
        <v>243</v>
      </c>
      <c r="E1813" s="165"/>
      <c r="F1813" s="150"/>
      <c r="G1813" s="147"/>
      <c r="H1813" s="147">
        <v>63</v>
      </c>
      <c r="I1813" s="152">
        <f>ROUND(H1813/$H$1814,4)</f>
        <v>4.3E-3</v>
      </c>
      <c r="J1813" s="151"/>
      <c r="K1813" s="139"/>
    </row>
    <row r="1814" spans="1:11" ht="12.75" x14ac:dyDescent="0.2">
      <c r="A1814" s="151"/>
      <c r="B1814" s="151"/>
      <c r="C1814" s="148"/>
      <c r="D1814" s="148" t="s">
        <v>33</v>
      </c>
      <c r="E1814" s="165"/>
      <c r="F1814" s="150"/>
      <c r="G1814" s="147"/>
      <c r="H1814" s="155">
        <f>SUM(H1811:H1813)</f>
        <v>14720</v>
      </c>
      <c r="I1814" s="156">
        <f>SUM(I1811:I1813)</f>
        <v>1</v>
      </c>
      <c r="J1814" s="151"/>
      <c r="K1814" s="139"/>
    </row>
    <row r="1815" spans="1:11" ht="12.75" x14ac:dyDescent="0.2">
      <c r="A1815" s="151"/>
      <c r="B1815" s="151"/>
      <c r="C1815" s="148"/>
      <c r="D1815" s="148"/>
      <c r="E1815" s="165"/>
      <c r="F1815" s="150"/>
      <c r="G1815" s="147"/>
      <c r="H1815" s="157"/>
      <c r="I1815" s="158"/>
      <c r="J1815" s="151"/>
      <c r="K1815" s="139"/>
    </row>
    <row r="1816" spans="1:11" ht="12.75" x14ac:dyDescent="0.2">
      <c r="A1816" s="148" t="s">
        <v>29</v>
      </c>
      <c r="B1816" s="148" t="s">
        <v>384</v>
      </c>
      <c r="C1816" s="148" t="s">
        <v>234</v>
      </c>
      <c r="D1816" s="149" t="s">
        <v>169</v>
      </c>
      <c r="E1816" s="165" t="s">
        <v>324</v>
      </c>
      <c r="F1816" s="150">
        <v>2568000</v>
      </c>
      <c r="G1816" s="147">
        <v>36345</v>
      </c>
      <c r="H1816" s="147"/>
      <c r="I1816" s="152"/>
      <c r="J1816" s="151"/>
      <c r="K1816" s="139"/>
    </row>
    <row r="1817" spans="1:11" ht="12.75" x14ac:dyDescent="0.2">
      <c r="A1817" s="151"/>
      <c r="B1817" s="151"/>
      <c r="C1817" s="148"/>
      <c r="D1817" s="149" t="s">
        <v>261</v>
      </c>
      <c r="E1817" s="165"/>
      <c r="F1817" s="150"/>
      <c r="G1817" s="147"/>
      <c r="H1817" s="147">
        <v>1200</v>
      </c>
      <c r="I1817" s="152">
        <f t="shared" ref="I1817:I1822" si="45">ROUND(H1817/$H$1823,4)</f>
        <v>5.11E-2</v>
      </c>
      <c r="J1817" s="151"/>
      <c r="K1817" s="139"/>
    </row>
    <row r="1818" spans="1:11" ht="12.75" x14ac:dyDescent="0.2">
      <c r="A1818" s="151"/>
      <c r="B1818" s="151"/>
      <c r="C1818" s="148"/>
      <c r="D1818" s="149" t="s">
        <v>238</v>
      </c>
      <c r="E1818" s="165"/>
      <c r="F1818" s="150"/>
      <c r="G1818" s="147"/>
      <c r="H1818" s="147">
        <v>6000</v>
      </c>
      <c r="I1818" s="152">
        <f t="shared" si="45"/>
        <v>0.25540000000000002</v>
      </c>
      <c r="J1818" s="151" t="s">
        <v>238</v>
      </c>
      <c r="K1818" s="139"/>
    </row>
    <row r="1819" spans="1:11" ht="12.75" x14ac:dyDescent="0.2">
      <c r="A1819" s="151"/>
      <c r="B1819" s="151"/>
      <c r="C1819" s="148"/>
      <c r="D1819" s="149" t="s">
        <v>241</v>
      </c>
      <c r="E1819" s="165"/>
      <c r="F1819" s="150"/>
      <c r="G1819" s="147"/>
      <c r="H1819" s="147">
        <v>1000</v>
      </c>
      <c r="I1819" s="152">
        <f t="shared" si="45"/>
        <v>4.2599999999999999E-2</v>
      </c>
      <c r="J1819" s="151"/>
      <c r="K1819" s="139"/>
    </row>
    <row r="1820" spans="1:11" ht="12.75" x14ac:dyDescent="0.2">
      <c r="A1820" s="151"/>
      <c r="B1820" s="151"/>
      <c r="C1820" s="148"/>
      <c r="D1820" s="149" t="s">
        <v>239</v>
      </c>
      <c r="E1820" s="165"/>
      <c r="F1820" s="150"/>
      <c r="G1820" s="147"/>
      <c r="H1820" s="147">
        <v>600</v>
      </c>
      <c r="I1820" s="152">
        <f t="shared" si="45"/>
        <v>2.5499999999999998E-2</v>
      </c>
      <c r="J1820" s="151"/>
      <c r="K1820" s="139"/>
    </row>
    <row r="1821" spans="1:11" ht="12.75" x14ac:dyDescent="0.2">
      <c r="A1821" s="151"/>
      <c r="B1821" s="151"/>
      <c r="C1821" s="148"/>
      <c r="D1821" s="149" t="s">
        <v>240</v>
      </c>
      <c r="E1821" s="165"/>
      <c r="F1821" s="150"/>
      <c r="G1821" s="147"/>
      <c r="H1821" s="147">
        <v>13895</v>
      </c>
      <c r="I1821" s="152">
        <f t="shared" si="45"/>
        <v>0.59140000000000004</v>
      </c>
      <c r="J1821" s="153" t="s">
        <v>240</v>
      </c>
      <c r="K1821" s="139"/>
    </row>
    <row r="1822" spans="1:11" ht="12.75" x14ac:dyDescent="0.2">
      <c r="A1822" s="151"/>
      <c r="B1822" s="151"/>
      <c r="C1822" s="148"/>
      <c r="D1822" s="149" t="s">
        <v>243</v>
      </c>
      <c r="E1822" s="165"/>
      <c r="F1822" s="150"/>
      <c r="G1822" s="147"/>
      <c r="H1822" s="147">
        <v>800</v>
      </c>
      <c r="I1822" s="152">
        <f t="shared" si="45"/>
        <v>3.4000000000000002E-2</v>
      </c>
      <c r="J1822" s="151"/>
      <c r="K1822" s="139"/>
    </row>
    <row r="1823" spans="1:11" ht="12.75" x14ac:dyDescent="0.2">
      <c r="A1823" s="151"/>
      <c r="B1823" s="151"/>
      <c r="C1823" s="148"/>
      <c r="D1823" s="148" t="s">
        <v>33</v>
      </c>
      <c r="E1823" s="165"/>
      <c r="F1823" s="150"/>
      <c r="G1823" s="147"/>
      <c r="H1823" s="155">
        <f>SUM(H1817:H1822)</f>
        <v>23495</v>
      </c>
      <c r="I1823" s="156">
        <f>SUM(I1817:I1822)</f>
        <v>1</v>
      </c>
      <c r="J1823" s="151"/>
      <c r="K1823" s="139"/>
    </row>
    <row r="1824" spans="1:11" ht="12.75" x14ac:dyDescent="0.2">
      <c r="A1824" s="151"/>
      <c r="B1824" s="151"/>
      <c r="C1824" s="148"/>
      <c r="D1824" s="148"/>
      <c r="E1824" s="165"/>
      <c r="F1824" s="150"/>
      <c r="G1824" s="147"/>
      <c r="H1824" s="157"/>
      <c r="I1824" s="158"/>
      <c r="J1824" s="151"/>
      <c r="K1824" s="139"/>
    </row>
    <row r="1825" spans="1:11" ht="12.75" x14ac:dyDescent="0.2">
      <c r="A1825" s="148" t="s">
        <v>29</v>
      </c>
      <c r="B1825" s="148" t="s">
        <v>385</v>
      </c>
      <c r="C1825" s="148" t="s">
        <v>234</v>
      </c>
      <c r="D1825" s="149" t="s">
        <v>170</v>
      </c>
      <c r="E1825" s="165" t="s">
        <v>386</v>
      </c>
      <c r="F1825" s="150">
        <v>7592100</v>
      </c>
      <c r="G1825" s="147">
        <v>75400</v>
      </c>
      <c r="H1825" s="147"/>
      <c r="I1825" s="147"/>
      <c r="J1825" s="151"/>
      <c r="K1825" s="139"/>
    </row>
    <row r="1826" spans="1:11" ht="12.75" x14ac:dyDescent="0.2">
      <c r="A1826" s="151"/>
      <c r="B1826" s="151"/>
      <c r="C1826" s="148"/>
      <c r="D1826" s="149" t="s">
        <v>261</v>
      </c>
      <c r="E1826" s="165"/>
      <c r="F1826" s="150"/>
      <c r="G1826" s="147"/>
      <c r="H1826" s="147">
        <v>1724</v>
      </c>
      <c r="I1826" s="152">
        <f>ROUND(H1826/$H$1832,4)</f>
        <v>3.09E-2</v>
      </c>
      <c r="J1826" s="151"/>
      <c r="K1826" s="139"/>
    </row>
    <row r="1827" spans="1:11" ht="12.75" x14ac:dyDescent="0.2">
      <c r="A1827" s="151"/>
      <c r="B1827" s="151"/>
      <c r="C1827" s="148"/>
      <c r="D1827" s="149" t="s">
        <v>238</v>
      </c>
      <c r="E1827" s="165"/>
      <c r="F1827" s="150"/>
      <c r="G1827" s="147"/>
      <c r="H1827" s="147">
        <v>17961</v>
      </c>
      <c r="I1827" s="152">
        <f>ROUND(H1827/$H$1832,4)</f>
        <v>0.3216</v>
      </c>
      <c r="J1827" s="153" t="s">
        <v>238</v>
      </c>
      <c r="K1827" s="139"/>
    </row>
    <row r="1828" spans="1:11" ht="12.75" x14ac:dyDescent="0.2">
      <c r="A1828" s="151"/>
      <c r="B1828" s="151"/>
      <c r="C1828" s="148"/>
      <c r="D1828" s="149" t="s">
        <v>241</v>
      </c>
      <c r="E1828" s="165"/>
      <c r="F1828" s="150"/>
      <c r="G1828" s="147"/>
      <c r="H1828" s="147">
        <v>2150</v>
      </c>
      <c r="I1828" s="152">
        <f>ROUND(H1828/$H$1832,4)</f>
        <v>3.85E-2</v>
      </c>
      <c r="J1828" s="151"/>
      <c r="K1828" s="139"/>
    </row>
    <row r="1829" spans="1:11" ht="12.75" x14ac:dyDescent="0.2">
      <c r="A1829" s="151"/>
      <c r="B1829" s="151"/>
      <c r="C1829" s="148"/>
      <c r="D1829" s="149" t="s">
        <v>240</v>
      </c>
      <c r="E1829" s="165"/>
      <c r="F1829" s="150"/>
      <c r="G1829" s="147"/>
      <c r="H1829" s="147">
        <v>6634</v>
      </c>
      <c r="I1829" s="152">
        <f>ROUND(H1829/$H$1832,4)-0.0001</f>
        <v>0.1187</v>
      </c>
      <c r="J1829" s="151"/>
      <c r="K1829" s="139"/>
    </row>
    <row r="1830" spans="1:11" ht="12.75" x14ac:dyDescent="0.2">
      <c r="A1830" s="151"/>
      <c r="B1830" s="151"/>
      <c r="C1830" s="148"/>
      <c r="D1830" s="149" t="s">
        <v>262</v>
      </c>
      <c r="E1830" s="165"/>
      <c r="F1830" s="150"/>
      <c r="G1830" s="147"/>
      <c r="H1830" s="147">
        <v>27084</v>
      </c>
      <c r="I1830" s="152">
        <f>ROUND(H1830/$H$1832,4)</f>
        <v>0.4849</v>
      </c>
      <c r="J1830" s="153" t="s">
        <v>262</v>
      </c>
      <c r="K1830" s="139"/>
    </row>
    <row r="1831" spans="1:11" ht="12.75" x14ac:dyDescent="0.2">
      <c r="A1831" s="151"/>
      <c r="B1831" s="151"/>
      <c r="C1831" s="148"/>
      <c r="D1831" s="149" t="s">
        <v>243</v>
      </c>
      <c r="E1831" s="165"/>
      <c r="F1831" s="150"/>
      <c r="G1831" s="147"/>
      <c r="H1831" s="147">
        <v>300</v>
      </c>
      <c r="I1831" s="152">
        <f>ROUND(H1831/$H$1832,4)</f>
        <v>5.4000000000000003E-3</v>
      </c>
      <c r="J1831" s="151"/>
      <c r="K1831" s="139"/>
    </row>
    <row r="1832" spans="1:11" ht="12.75" x14ac:dyDescent="0.2">
      <c r="A1832" s="151"/>
      <c r="B1832" s="151"/>
      <c r="C1832" s="148"/>
      <c r="D1832" s="148" t="s">
        <v>33</v>
      </c>
      <c r="E1832" s="165"/>
      <c r="F1832" s="150"/>
      <c r="G1832" s="147"/>
      <c r="H1832" s="155">
        <f>SUM(H1826:H1831)</f>
        <v>55853</v>
      </c>
      <c r="I1832" s="156">
        <f>SUM(I1826:I1831)</f>
        <v>0.99999999999999989</v>
      </c>
      <c r="J1832" s="151"/>
      <c r="K1832" s="139"/>
    </row>
    <row r="1833" spans="1:11" ht="12.75" x14ac:dyDescent="0.2">
      <c r="A1833" s="151"/>
      <c r="B1833" s="151"/>
      <c r="C1833" s="148"/>
      <c r="D1833" s="147"/>
      <c r="E1833" s="165"/>
      <c r="F1833" s="150"/>
      <c r="G1833" s="147"/>
      <c r="H1833" s="147"/>
      <c r="I1833" s="152"/>
      <c r="J1833" s="151"/>
      <c r="K1833" s="139"/>
    </row>
    <row r="1834" spans="1:11" ht="12.75" x14ac:dyDescent="0.2">
      <c r="A1834" s="148" t="s">
        <v>29</v>
      </c>
      <c r="B1834" s="148" t="s">
        <v>387</v>
      </c>
      <c r="C1834" s="148" t="s">
        <v>234</v>
      </c>
      <c r="D1834" s="149" t="s">
        <v>388</v>
      </c>
      <c r="E1834" s="165" t="s">
        <v>267</v>
      </c>
      <c r="F1834" s="150">
        <v>5322000</v>
      </c>
      <c r="G1834" s="147">
        <v>50235</v>
      </c>
      <c r="H1834" s="147"/>
      <c r="I1834" s="147"/>
      <c r="J1834" s="151"/>
      <c r="K1834" s="139"/>
    </row>
    <row r="1835" spans="1:11" ht="12.75" x14ac:dyDescent="0.2">
      <c r="A1835" s="151"/>
      <c r="B1835" s="151"/>
      <c r="C1835" s="148"/>
      <c r="D1835" s="149" t="s">
        <v>261</v>
      </c>
      <c r="E1835" s="165"/>
      <c r="F1835" s="150"/>
      <c r="G1835" s="147"/>
      <c r="H1835" s="147">
        <v>4900</v>
      </c>
      <c r="I1835" s="152">
        <f>ROUND(H1835/$H$1840,4)</f>
        <v>0.14080000000000001</v>
      </c>
      <c r="J1835" s="151"/>
      <c r="K1835" s="139"/>
    </row>
    <row r="1836" spans="1:11" ht="12.75" x14ac:dyDescent="0.2">
      <c r="A1836" s="151"/>
      <c r="B1836" s="151"/>
      <c r="C1836" s="148"/>
      <c r="D1836" s="149" t="s">
        <v>238</v>
      </c>
      <c r="E1836" s="165"/>
      <c r="F1836" s="150"/>
      <c r="G1836" s="147"/>
      <c r="H1836" s="147">
        <v>11684</v>
      </c>
      <c r="I1836" s="152">
        <f>ROUND(H1836/$H$1840,4)-0.0001</f>
        <v>0.33560000000000001</v>
      </c>
      <c r="J1836" s="153" t="s">
        <v>238</v>
      </c>
      <c r="K1836" s="139"/>
    </row>
    <row r="1837" spans="1:11" ht="12.75" x14ac:dyDescent="0.2">
      <c r="A1837" s="151"/>
      <c r="B1837" s="151"/>
      <c r="C1837" s="148"/>
      <c r="D1837" s="149" t="s">
        <v>241</v>
      </c>
      <c r="E1837" s="165"/>
      <c r="F1837" s="150"/>
      <c r="G1837" s="147"/>
      <c r="H1837" s="147">
        <v>2860</v>
      </c>
      <c r="I1837" s="152">
        <f>ROUND(H1837/$H$1840,4)</f>
        <v>8.2199999999999995E-2</v>
      </c>
      <c r="J1837" s="151"/>
      <c r="K1837" s="139"/>
    </row>
    <row r="1838" spans="1:11" ht="12.75" x14ac:dyDescent="0.2">
      <c r="A1838" s="151"/>
      <c r="B1838" s="151"/>
      <c r="C1838" s="148"/>
      <c r="D1838" s="149" t="s">
        <v>240</v>
      </c>
      <c r="E1838" s="165"/>
      <c r="F1838" s="150"/>
      <c r="G1838" s="147"/>
      <c r="H1838" s="147">
        <v>13030</v>
      </c>
      <c r="I1838" s="152">
        <f>ROUND(H1838/$H$1840,4)</f>
        <v>0.37430000000000002</v>
      </c>
      <c r="J1838" s="153" t="s">
        <v>240</v>
      </c>
      <c r="K1838" s="139"/>
    </row>
    <row r="1839" spans="1:11" ht="12.75" x14ac:dyDescent="0.2">
      <c r="A1839" s="151"/>
      <c r="B1839" s="151"/>
      <c r="C1839" s="148"/>
      <c r="D1839" s="149" t="s">
        <v>243</v>
      </c>
      <c r="E1839" s="165"/>
      <c r="F1839" s="150"/>
      <c r="G1839" s="147"/>
      <c r="H1839" s="147">
        <v>2335</v>
      </c>
      <c r="I1839" s="152">
        <f>ROUND(H1839/$H$1840,4)</f>
        <v>6.7100000000000007E-2</v>
      </c>
      <c r="J1839" s="151"/>
      <c r="K1839" s="139"/>
    </row>
    <row r="1840" spans="1:11" ht="12.75" x14ac:dyDescent="0.2">
      <c r="A1840" s="151"/>
      <c r="B1840" s="151"/>
      <c r="C1840" s="148"/>
      <c r="D1840" s="148" t="s">
        <v>33</v>
      </c>
      <c r="E1840" s="165"/>
      <c r="F1840" s="150"/>
      <c r="G1840" s="147"/>
      <c r="H1840" s="155">
        <f>SUM(H1835:H1839)</f>
        <v>34809</v>
      </c>
      <c r="I1840" s="156">
        <f>SUM(I1835:I1839)</f>
        <v>1</v>
      </c>
      <c r="J1840" s="151"/>
      <c r="K1840" s="139"/>
    </row>
    <row r="1841" spans="1:11" ht="12.75" x14ac:dyDescent="0.2">
      <c r="A1841" s="151"/>
      <c r="B1841" s="151"/>
      <c r="C1841" s="148"/>
      <c r="D1841" s="147"/>
      <c r="E1841" s="165"/>
      <c r="F1841" s="150"/>
      <c r="G1841" s="147"/>
      <c r="H1841" s="147"/>
      <c r="I1841" s="147"/>
      <c r="J1841" s="151"/>
      <c r="K1841" s="139"/>
    </row>
    <row r="1842" spans="1:11" ht="12.75" x14ac:dyDescent="0.2">
      <c r="A1842" s="148" t="s">
        <v>29</v>
      </c>
      <c r="B1842" s="148" t="s">
        <v>389</v>
      </c>
      <c r="C1842" s="148" t="s">
        <v>234</v>
      </c>
      <c r="D1842" s="149" t="s">
        <v>197</v>
      </c>
      <c r="E1842" s="165" t="s">
        <v>390</v>
      </c>
      <c r="F1842" s="150">
        <v>703150</v>
      </c>
      <c r="G1842" s="147">
        <v>9100</v>
      </c>
      <c r="H1842" s="147"/>
      <c r="I1842" s="147"/>
      <c r="J1842" s="151"/>
      <c r="K1842" s="139"/>
    </row>
    <row r="1843" spans="1:11" ht="12.75" x14ac:dyDescent="0.2">
      <c r="A1843" s="151"/>
      <c r="B1843" s="151"/>
      <c r="C1843" s="148"/>
      <c r="D1843" s="149" t="s">
        <v>240</v>
      </c>
      <c r="E1843" s="165"/>
      <c r="F1843" s="150"/>
      <c r="G1843" s="147"/>
      <c r="H1843" s="147">
        <v>5760</v>
      </c>
      <c r="I1843" s="152">
        <f>ROUND(H1843/$H$1845,4)</f>
        <v>0.96130000000000004</v>
      </c>
      <c r="J1843" s="153" t="s">
        <v>240</v>
      </c>
      <c r="K1843" s="139"/>
    </row>
    <row r="1844" spans="1:11" ht="12.75" x14ac:dyDescent="0.2">
      <c r="A1844" s="151"/>
      <c r="B1844" s="151"/>
      <c r="C1844" s="148"/>
      <c r="D1844" s="149" t="s">
        <v>243</v>
      </c>
      <c r="E1844" s="165"/>
      <c r="F1844" s="150"/>
      <c r="G1844" s="147"/>
      <c r="H1844" s="147">
        <v>232</v>
      </c>
      <c r="I1844" s="152">
        <f>ROUND(H1844/$H$1845,4)</f>
        <v>3.8699999999999998E-2</v>
      </c>
      <c r="J1844" s="151"/>
      <c r="K1844" s="139"/>
    </row>
    <row r="1845" spans="1:11" ht="12.75" x14ac:dyDescent="0.2">
      <c r="A1845" s="151"/>
      <c r="B1845" s="151"/>
      <c r="C1845" s="148"/>
      <c r="D1845" s="148" t="s">
        <v>33</v>
      </c>
      <c r="E1845" s="165"/>
      <c r="F1845" s="150"/>
      <c r="G1845" s="147"/>
      <c r="H1845" s="155">
        <f>SUM(H1843:H1844)</f>
        <v>5992</v>
      </c>
      <c r="I1845" s="156">
        <f>SUM(I1843:I1844)</f>
        <v>1</v>
      </c>
      <c r="J1845" s="151"/>
      <c r="K1845" s="139"/>
    </row>
    <row r="1846" spans="1:11" ht="12.75" x14ac:dyDescent="0.2">
      <c r="A1846" s="147"/>
      <c r="B1846" s="147"/>
      <c r="C1846" s="169"/>
      <c r="D1846" s="147"/>
      <c r="E1846" s="165"/>
      <c r="F1846" s="147"/>
      <c r="G1846" s="147"/>
      <c r="H1846" s="147"/>
      <c r="I1846" s="147"/>
      <c r="J1846" s="147"/>
      <c r="K1846" s="139"/>
    </row>
    <row r="1847" spans="1:11" ht="12.75" x14ac:dyDescent="0.2">
      <c r="A1847" s="148" t="s">
        <v>29</v>
      </c>
      <c r="B1847" s="148" t="s">
        <v>391</v>
      </c>
      <c r="C1847" s="148" t="s">
        <v>234</v>
      </c>
      <c r="D1847" s="149" t="s">
        <v>81</v>
      </c>
      <c r="E1847" s="165" t="s">
        <v>392</v>
      </c>
      <c r="F1847" s="150">
        <v>1034700</v>
      </c>
      <c r="G1847" s="147">
        <v>10355</v>
      </c>
      <c r="H1847" s="147"/>
      <c r="I1847" s="147"/>
      <c r="J1847" s="151"/>
      <c r="K1847" s="139"/>
    </row>
    <row r="1848" spans="1:11" ht="12.75" x14ac:dyDescent="0.2">
      <c r="A1848" s="151"/>
      <c r="B1848" s="151"/>
      <c r="C1848" s="148"/>
      <c r="D1848" s="149" t="s">
        <v>240</v>
      </c>
      <c r="E1848" s="165"/>
      <c r="F1848" s="150"/>
      <c r="G1848" s="147"/>
      <c r="H1848" s="147">
        <v>2290</v>
      </c>
      <c r="I1848" s="152">
        <f>ROUND(H1848/$H$1850,4)</f>
        <v>0.36670000000000003</v>
      </c>
      <c r="J1848" s="151"/>
      <c r="K1848" s="139"/>
    </row>
    <row r="1849" spans="1:11" ht="12.75" x14ac:dyDescent="0.2">
      <c r="A1849" s="151"/>
      <c r="B1849" s="151"/>
      <c r="C1849" s="148"/>
      <c r="D1849" s="149" t="s">
        <v>242</v>
      </c>
      <c r="E1849" s="165"/>
      <c r="F1849" s="150"/>
      <c r="G1849" s="147"/>
      <c r="H1849" s="147">
        <v>3955</v>
      </c>
      <c r="I1849" s="152">
        <f>ROUND(H1849/$H$1850,4)</f>
        <v>0.63329999999999997</v>
      </c>
      <c r="J1849" s="153" t="s">
        <v>242</v>
      </c>
      <c r="K1849" s="139"/>
    </row>
    <row r="1850" spans="1:11" ht="12.75" x14ac:dyDescent="0.2">
      <c r="A1850" s="151"/>
      <c r="B1850" s="151"/>
      <c r="C1850" s="148"/>
      <c r="D1850" s="148" t="s">
        <v>33</v>
      </c>
      <c r="E1850" s="165"/>
      <c r="F1850" s="150"/>
      <c r="G1850" s="147"/>
      <c r="H1850" s="155">
        <f>SUM(H1848:H1849)</f>
        <v>6245</v>
      </c>
      <c r="I1850" s="156">
        <f>SUM(I1848:I1849)</f>
        <v>1</v>
      </c>
      <c r="J1850" s="151"/>
      <c r="K1850" s="139"/>
    </row>
    <row r="1851" spans="1:11" ht="12.75" x14ac:dyDescent="0.2">
      <c r="A1851" s="151"/>
      <c r="B1851" s="151"/>
      <c r="C1851" s="148"/>
      <c r="D1851" s="147"/>
      <c r="E1851" s="165"/>
      <c r="F1851" s="150"/>
      <c r="G1851" s="147"/>
      <c r="H1851" s="147"/>
      <c r="I1851" s="152"/>
      <c r="J1851" s="151"/>
      <c r="K1851" s="139"/>
    </row>
    <row r="1852" spans="1:11" ht="12.75" x14ac:dyDescent="0.2">
      <c r="A1852" s="148" t="s">
        <v>29</v>
      </c>
      <c r="B1852" s="148">
        <v>796</v>
      </c>
      <c r="C1852" s="148" t="s">
        <v>234</v>
      </c>
      <c r="D1852" s="149" t="s">
        <v>101</v>
      </c>
      <c r="E1852" s="165" t="s">
        <v>393</v>
      </c>
      <c r="F1852" s="150">
        <v>4924008</v>
      </c>
      <c r="G1852" s="147">
        <v>52891</v>
      </c>
      <c r="H1852" s="147"/>
      <c r="I1852" s="152"/>
      <c r="J1852" s="151"/>
      <c r="K1852" s="139"/>
    </row>
    <row r="1853" spans="1:11" ht="12.75" x14ac:dyDescent="0.2">
      <c r="A1853" s="151"/>
      <c r="B1853" s="151"/>
      <c r="C1853" s="148"/>
      <c r="D1853" s="149" t="s">
        <v>240</v>
      </c>
      <c r="E1853" s="165"/>
      <c r="F1853" s="150"/>
      <c r="G1853" s="147"/>
      <c r="H1853" s="147">
        <v>2000</v>
      </c>
      <c r="I1853" s="152">
        <f>ROUND(H1853/$H$1855,4)</f>
        <v>7.1400000000000005E-2</v>
      </c>
      <c r="J1853" s="151"/>
      <c r="K1853" s="139"/>
    </row>
    <row r="1854" spans="1:11" ht="12.75" x14ac:dyDescent="0.2">
      <c r="A1854" s="151"/>
      <c r="B1854" s="151"/>
      <c r="C1854" s="148"/>
      <c r="D1854" s="149" t="s">
        <v>244</v>
      </c>
      <c r="E1854" s="165"/>
      <c r="F1854" s="150"/>
      <c r="G1854" s="147"/>
      <c r="H1854" s="147">
        <v>26000</v>
      </c>
      <c r="I1854" s="152">
        <f>ROUND(H1854/$H$1855,4)</f>
        <v>0.92859999999999998</v>
      </c>
      <c r="J1854" s="153" t="s">
        <v>244</v>
      </c>
      <c r="K1854" s="139"/>
    </row>
    <row r="1855" spans="1:11" ht="12.75" x14ac:dyDescent="0.2">
      <c r="A1855" s="151"/>
      <c r="B1855" s="151"/>
      <c r="C1855" s="148"/>
      <c r="D1855" s="148" t="s">
        <v>33</v>
      </c>
      <c r="E1855" s="165"/>
      <c r="F1855" s="150"/>
      <c r="G1855" s="147"/>
      <c r="H1855" s="155">
        <f>SUM(H1853:H1854)</f>
        <v>28000</v>
      </c>
      <c r="I1855" s="156">
        <f>SUM(I1853:I1854)</f>
        <v>1</v>
      </c>
      <c r="J1855" s="151"/>
      <c r="K1855" s="139"/>
    </row>
    <row r="1856" spans="1:11" ht="12.75" x14ac:dyDescent="0.2">
      <c r="A1856" s="151"/>
      <c r="B1856" s="151"/>
      <c r="C1856" s="148"/>
      <c r="D1856" s="148"/>
      <c r="E1856" s="165"/>
      <c r="F1856" s="150"/>
      <c r="G1856" s="147"/>
      <c r="H1856" s="157"/>
      <c r="I1856" s="158"/>
      <c r="J1856" s="151"/>
      <c r="K1856" s="139"/>
    </row>
    <row r="1857" spans="1:11" ht="12.75" x14ac:dyDescent="0.2">
      <c r="A1857" s="148" t="s">
        <v>29</v>
      </c>
      <c r="B1857" s="148">
        <v>704</v>
      </c>
      <c r="C1857" s="148" t="s">
        <v>234</v>
      </c>
      <c r="D1857" s="147" t="s">
        <v>30</v>
      </c>
      <c r="E1857" s="204" t="s">
        <v>339</v>
      </c>
      <c r="F1857" s="150">
        <v>2576000</v>
      </c>
      <c r="G1857" s="147">
        <v>25420</v>
      </c>
      <c r="H1857" s="157"/>
      <c r="I1857" s="158"/>
      <c r="J1857" s="151"/>
      <c r="K1857" s="139"/>
    </row>
    <row r="1858" spans="1:11" ht="12.75" x14ac:dyDescent="0.2">
      <c r="A1858" s="151"/>
      <c r="B1858" s="151"/>
      <c r="C1858" s="148"/>
      <c r="D1858" s="147" t="s">
        <v>261</v>
      </c>
      <c r="E1858" s="165"/>
      <c r="F1858" s="150"/>
      <c r="G1858" s="147"/>
      <c r="H1858" s="157">
        <v>2970</v>
      </c>
      <c r="I1858" s="152">
        <f>ROUND(H1858/$H$1864,4)</f>
        <v>0.18210000000000001</v>
      </c>
      <c r="J1858" s="151" t="s">
        <v>261</v>
      </c>
      <c r="K1858" s="139"/>
    </row>
    <row r="1859" spans="1:11" ht="12.75" x14ac:dyDescent="0.2">
      <c r="A1859" s="151"/>
      <c r="B1859" s="151"/>
      <c r="C1859" s="148"/>
      <c r="D1859" s="149" t="s">
        <v>238</v>
      </c>
      <c r="E1859" s="165"/>
      <c r="F1859" s="150"/>
      <c r="G1859" s="147"/>
      <c r="H1859" s="157">
        <v>1410</v>
      </c>
      <c r="I1859" s="152">
        <f>ROUND(H1859/$H$1864,4)</f>
        <v>8.6499999999999994E-2</v>
      </c>
      <c r="J1859" s="151"/>
      <c r="K1859" s="139"/>
    </row>
    <row r="1860" spans="1:11" ht="12.75" x14ac:dyDescent="0.2">
      <c r="A1860" s="151"/>
      <c r="B1860" s="151"/>
      <c r="C1860" s="148"/>
      <c r="D1860" s="147" t="s">
        <v>284</v>
      </c>
      <c r="E1860" s="165"/>
      <c r="F1860" s="150"/>
      <c r="G1860" s="147"/>
      <c r="H1860" s="157">
        <v>300</v>
      </c>
      <c r="I1860" s="152">
        <f>ROUND(H1860/$H$1864,4)</f>
        <v>1.84E-2</v>
      </c>
      <c r="J1860" s="151"/>
      <c r="K1860" s="139"/>
    </row>
    <row r="1861" spans="1:11" ht="12.75" x14ac:dyDescent="0.2">
      <c r="A1861" s="151"/>
      <c r="B1861" s="151"/>
      <c r="C1861" s="148"/>
      <c r="D1861" s="147" t="s">
        <v>239</v>
      </c>
      <c r="E1861" s="165"/>
      <c r="F1861" s="150"/>
      <c r="G1861" s="147"/>
      <c r="H1861" s="157">
        <v>5550</v>
      </c>
      <c r="I1861" s="152">
        <f>ROUND(H1861/$H$1864,4)</f>
        <v>0.34029999999999999</v>
      </c>
      <c r="J1861" s="151" t="s">
        <v>239</v>
      </c>
      <c r="K1861" s="139"/>
    </row>
    <row r="1862" spans="1:11" ht="12.75" x14ac:dyDescent="0.2">
      <c r="A1862" s="151"/>
      <c r="B1862" s="151"/>
      <c r="C1862" s="148"/>
      <c r="D1862" s="147" t="s">
        <v>240</v>
      </c>
      <c r="E1862" s="165"/>
      <c r="F1862" s="150"/>
      <c r="G1862" s="147"/>
      <c r="H1862" s="157">
        <v>5880</v>
      </c>
      <c r="I1862" s="152">
        <f>ROUND(H1862/$H$1864,4)</f>
        <v>0.36049999999999999</v>
      </c>
      <c r="J1862" s="151" t="s">
        <v>240</v>
      </c>
      <c r="K1862" s="139"/>
    </row>
    <row r="1863" spans="1:11" ht="12.75" x14ac:dyDescent="0.2">
      <c r="A1863" s="151"/>
      <c r="B1863" s="151"/>
      <c r="C1863" s="148"/>
      <c r="D1863" s="147" t="s">
        <v>242</v>
      </c>
      <c r="E1863" s="165"/>
      <c r="F1863" s="150"/>
      <c r="G1863" s="147"/>
      <c r="H1863" s="157">
        <v>200</v>
      </c>
      <c r="I1863" s="152">
        <f>ROUND(H1863/$H$1864,4)-0.0001</f>
        <v>1.2200000000000001E-2</v>
      </c>
      <c r="J1863" s="151"/>
      <c r="K1863" s="139"/>
    </row>
    <row r="1864" spans="1:11" ht="12.75" x14ac:dyDescent="0.2">
      <c r="A1864" s="151"/>
      <c r="B1864" s="151"/>
      <c r="C1864" s="148"/>
      <c r="D1864" s="148" t="s">
        <v>33</v>
      </c>
      <c r="E1864" s="165"/>
      <c r="F1864" s="150"/>
      <c r="G1864" s="147"/>
      <c r="H1864" s="155">
        <f>SUM(H1858:H1863)</f>
        <v>16310</v>
      </c>
      <c r="I1864" s="156">
        <f>SUM(I1858:I1863)</f>
        <v>1</v>
      </c>
      <c r="J1864" s="151"/>
      <c r="K1864" s="139"/>
    </row>
    <row r="1865" spans="1:11" ht="12.75" x14ac:dyDescent="0.2">
      <c r="A1865" s="151"/>
      <c r="B1865" s="151"/>
      <c r="C1865" s="148"/>
      <c r="D1865" s="147"/>
      <c r="E1865" s="165"/>
      <c r="F1865" s="150"/>
      <c r="G1865" s="147"/>
      <c r="H1865" s="147"/>
      <c r="I1865" s="152"/>
      <c r="J1865" s="151"/>
      <c r="K1865" s="139"/>
    </row>
    <row r="1866" spans="1:11" ht="12.75" x14ac:dyDescent="0.2">
      <c r="A1866" s="148" t="s">
        <v>29</v>
      </c>
      <c r="B1866" s="148">
        <v>719</v>
      </c>
      <c r="C1866" s="148" t="s">
        <v>234</v>
      </c>
      <c r="D1866" s="147" t="s">
        <v>61</v>
      </c>
      <c r="E1866" s="204" t="s">
        <v>394</v>
      </c>
      <c r="F1866" s="150">
        <v>779700</v>
      </c>
      <c r="G1866" s="147">
        <v>9420</v>
      </c>
      <c r="H1866" s="147"/>
      <c r="I1866" s="152"/>
      <c r="J1866" s="151"/>
      <c r="K1866" s="139"/>
    </row>
    <row r="1867" spans="1:11" ht="12.75" x14ac:dyDescent="0.2">
      <c r="A1867" s="151"/>
      <c r="B1867" s="151"/>
      <c r="C1867" s="148"/>
      <c r="D1867" s="147" t="s">
        <v>239</v>
      </c>
      <c r="E1867" s="165"/>
      <c r="F1867" s="150"/>
      <c r="G1867" s="147"/>
      <c r="H1867" s="147">
        <v>1684</v>
      </c>
      <c r="I1867" s="152">
        <f>ROUND(H1867/$H$1870,4)</f>
        <v>0.30459999999999998</v>
      </c>
      <c r="J1867" s="151" t="s">
        <v>239</v>
      </c>
      <c r="K1867" s="139"/>
    </row>
    <row r="1868" spans="1:11" ht="12.75" x14ac:dyDescent="0.2">
      <c r="A1868" s="151"/>
      <c r="B1868" s="151"/>
      <c r="C1868" s="148"/>
      <c r="D1868" s="147" t="s">
        <v>240</v>
      </c>
      <c r="E1868" s="165"/>
      <c r="F1868" s="150"/>
      <c r="G1868" s="147"/>
      <c r="H1868" s="147">
        <v>1996</v>
      </c>
      <c r="I1868" s="152">
        <f>ROUND(H1868/$H$1870,4)</f>
        <v>0.36109999999999998</v>
      </c>
      <c r="J1868" s="151" t="s">
        <v>240</v>
      </c>
      <c r="K1868" s="139"/>
    </row>
    <row r="1869" spans="1:11" ht="12.75" x14ac:dyDescent="0.2">
      <c r="A1869" s="151"/>
      <c r="B1869" s="151"/>
      <c r="C1869" s="148"/>
      <c r="D1869" s="149" t="s">
        <v>262</v>
      </c>
      <c r="E1869" s="165"/>
      <c r="F1869" s="150"/>
      <c r="G1869" s="147"/>
      <c r="H1869" s="147">
        <v>1848</v>
      </c>
      <c r="I1869" s="152">
        <f>ROUND(H1869/$H$1870,4)</f>
        <v>0.33429999999999999</v>
      </c>
      <c r="J1869" s="153" t="s">
        <v>262</v>
      </c>
      <c r="K1869" s="139"/>
    </row>
    <row r="1870" spans="1:11" ht="12.75" x14ac:dyDescent="0.2">
      <c r="A1870" s="151"/>
      <c r="B1870" s="151"/>
      <c r="C1870" s="148"/>
      <c r="D1870" s="148" t="s">
        <v>33</v>
      </c>
      <c r="E1870" s="165"/>
      <c r="F1870" s="150"/>
      <c r="G1870" s="147"/>
      <c r="H1870" s="155">
        <f>SUM(H1867:H1869)</f>
        <v>5528</v>
      </c>
      <c r="I1870" s="156">
        <f>SUM(I1867:I1869)</f>
        <v>1</v>
      </c>
      <c r="J1870" s="151"/>
      <c r="K1870" s="139"/>
    </row>
    <row r="1871" spans="1:11" ht="12.75" x14ac:dyDescent="0.2">
      <c r="A1871" s="151"/>
      <c r="B1871" s="151"/>
      <c r="C1871" s="148"/>
      <c r="D1871" s="147"/>
      <c r="E1871" s="165"/>
      <c r="F1871" s="150"/>
      <c r="G1871" s="147"/>
      <c r="H1871" s="147"/>
      <c r="I1871" s="152"/>
      <c r="J1871" s="151"/>
      <c r="K1871" s="139"/>
    </row>
    <row r="1872" spans="1:11" ht="12.75" x14ac:dyDescent="0.2">
      <c r="A1872" s="148" t="s">
        <v>29</v>
      </c>
      <c r="B1872" s="148">
        <v>700</v>
      </c>
      <c r="C1872" s="148" t="s">
        <v>234</v>
      </c>
      <c r="D1872" s="147" t="s">
        <v>112</v>
      </c>
      <c r="E1872" s="204">
        <v>35827</v>
      </c>
      <c r="F1872" s="150">
        <v>2915000</v>
      </c>
      <c r="G1872" s="147">
        <v>26000</v>
      </c>
      <c r="H1872" s="147"/>
      <c r="I1872" s="152"/>
      <c r="J1872" s="151"/>
      <c r="K1872" s="139"/>
    </row>
    <row r="1873" spans="1:11" ht="12.75" x14ac:dyDescent="0.2">
      <c r="A1873" s="151"/>
      <c r="B1873" s="151"/>
      <c r="C1873" s="148"/>
      <c r="D1873" s="147" t="s">
        <v>261</v>
      </c>
      <c r="E1873" s="165"/>
      <c r="F1873" s="150"/>
      <c r="G1873" s="147"/>
      <c r="H1873" s="147">
        <v>8082</v>
      </c>
      <c r="I1873" s="152">
        <f>H1873/H1878</f>
        <v>0.44440778620917187</v>
      </c>
      <c r="J1873" s="151" t="s">
        <v>261</v>
      </c>
      <c r="K1873" s="139"/>
    </row>
    <row r="1874" spans="1:11" ht="12.75" x14ac:dyDescent="0.2">
      <c r="A1874" s="151"/>
      <c r="B1874" s="151"/>
      <c r="C1874" s="148"/>
      <c r="D1874" s="147" t="s">
        <v>290</v>
      </c>
      <c r="E1874" s="165"/>
      <c r="F1874" s="150"/>
      <c r="G1874" s="147"/>
      <c r="H1874" s="147">
        <v>7984</v>
      </c>
      <c r="I1874" s="152">
        <f>H1874/H1878</f>
        <v>0.43901902562410644</v>
      </c>
      <c r="J1874" s="151" t="s">
        <v>290</v>
      </c>
      <c r="K1874" s="139"/>
    </row>
    <row r="1875" spans="1:11" ht="12.75" x14ac:dyDescent="0.2">
      <c r="A1875" s="151"/>
      <c r="B1875" s="151"/>
      <c r="C1875" s="148"/>
      <c r="D1875" s="149" t="s">
        <v>293</v>
      </c>
      <c r="E1875" s="165"/>
      <c r="F1875" s="150"/>
      <c r="G1875" s="147"/>
      <c r="H1875" s="147">
        <v>312</v>
      </c>
      <c r="I1875" s="152">
        <f>H1875/H1878</f>
        <v>1.7156054107555264E-2</v>
      </c>
      <c r="J1875" s="151"/>
      <c r="K1875" s="139"/>
    </row>
    <row r="1876" spans="1:11" ht="12.75" x14ac:dyDescent="0.2">
      <c r="A1876" s="151"/>
      <c r="B1876" s="151"/>
      <c r="C1876" s="148"/>
      <c r="D1876" s="149" t="s">
        <v>288</v>
      </c>
      <c r="E1876" s="165"/>
      <c r="F1876" s="150"/>
      <c r="G1876" s="147"/>
      <c r="H1876" s="147">
        <v>468</v>
      </c>
      <c r="I1876" s="152">
        <f>H1876/H1878</f>
        <v>2.5734081161332894E-2</v>
      </c>
      <c r="J1876" s="151"/>
      <c r="K1876" s="139"/>
    </row>
    <row r="1877" spans="1:11" ht="12.75" x14ac:dyDescent="0.2">
      <c r="A1877" s="151"/>
      <c r="B1877" s="151"/>
      <c r="C1877" s="148"/>
      <c r="D1877" s="149" t="s">
        <v>285</v>
      </c>
      <c r="E1877" s="165"/>
      <c r="F1877" s="150"/>
      <c r="G1877" s="147"/>
      <c r="H1877" s="147">
        <v>1340</v>
      </c>
      <c r="I1877" s="152">
        <f>H1877/H1878</f>
        <v>7.3683052897833501E-2</v>
      </c>
      <c r="J1877" s="153"/>
      <c r="K1877" s="139"/>
    </row>
    <row r="1878" spans="1:11" ht="12.75" x14ac:dyDescent="0.2">
      <c r="A1878" s="151"/>
      <c r="B1878" s="151"/>
      <c r="C1878" s="148"/>
      <c r="D1878" s="148" t="s">
        <v>33</v>
      </c>
      <c r="E1878" s="165"/>
      <c r="F1878" s="150"/>
      <c r="G1878" s="147"/>
      <c r="H1878" s="155">
        <f>SUM(H1873:H1877)</f>
        <v>18186</v>
      </c>
      <c r="I1878" s="156">
        <f>SUM(I1873:I1877)</f>
        <v>1</v>
      </c>
      <c r="J1878" s="151"/>
      <c r="K1878" s="139"/>
    </row>
    <row r="1879" spans="1:11" ht="12.75" x14ac:dyDescent="0.2">
      <c r="A1879" s="151"/>
      <c r="B1879" s="151"/>
      <c r="C1879" s="148"/>
      <c r="D1879" s="148"/>
      <c r="E1879" s="165"/>
      <c r="F1879" s="150"/>
      <c r="G1879" s="147"/>
      <c r="H1879" s="147"/>
      <c r="I1879" s="152"/>
      <c r="J1879" s="151"/>
      <c r="K1879" s="139"/>
    </row>
    <row r="1880" spans="1:11" ht="12.75" x14ac:dyDescent="0.2">
      <c r="A1880" s="148" t="s">
        <v>29</v>
      </c>
      <c r="B1880" s="148">
        <v>716</v>
      </c>
      <c r="C1880" s="148" t="s">
        <v>234</v>
      </c>
      <c r="D1880" s="149" t="s">
        <v>477</v>
      </c>
      <c r="E1880" s="165">
        <v>37745</v>
      </c>
      <c r="F1880" s="150">
        <v>2104000</v>
      </c>
      <c r="G1880" s="147">
        <v>14401</v>
      </c>
      <c r="H1880" s="147"/>
      <c r="I1880" s="147"/>
      <c r="J1880" s="151"/>
      <c r="K1880" s="139"/>
    </row>
    <row r="1881" spans="1:11" ht="12.75" x14ac:dyDescent="0.2">
      <c r="A1881" s="151"/>
      <c r="B1881" s="151"/>
      <c r="C1881" s="148"/>
      <c r="D1881" s="149" t="s">
        <v>261</v>
      </c>
      <c r="E1881" s="165"/>
      <c r="F1881" s="150"/>
      <c r="G1881" s="147"/>
      <c r="H1881" s="147">
        <v>4118</v>
      </c>
      <c r="I1881" s="152">
        <f>H1881/$H$1886</f>
        <v>0.45178277564454195</v>
      </c>
      <c r="J1881" s="153" t="s">
        <v>261</v>
      </c>
      <c r="K1881" s="139"/>
    </row>
    <row r="1882" spans="1:11" ht="12.75" x14ac:dyDescent="0.2">
      <c r="A1882" s="151"/>
      <c r="B1882" s="151"/>
      <c r="C1882" s="148"/>
      <c r="D1882" s="149" t="s">
        <v>262</v>
      </c>
      <c r="E1882" s="165"/>
      <c r="F1882" s="150"/>
      <c r="G1882" s="147"/>
      <c r="H1882" s="147">
        <v>1195</v>
      </c>
      <c r="I1882" s="152">
        <f>H1882/$H$1886</f>
        <v>0.13110257816785517</v>
      </c>
      <c r="J1882" s="153"/>
      <c r="K1882" s="139"/>
    </row>
    <row r="1883" spans="1:11" ht="12.75" x14ac:dyDescent="0.2">
      <c r="A1883" s="151"/>
      <c r="B1883" s="151"/>
      <c r="C1883" s="148"/>
      <c r="D1883" s="149" t="s">
        <v>293</v>
      </c>
      <c r="E1883" s="165"/>
      <c r="F1883" s="150"/>
      <c r="G1883" s="147"/>
      <c r="H1883" s="147">
        <v>460</v>
      </c>
      <c r="I1883" s="152">
        <f>H1883/$H$1886</f>
        <v>5.0466264399341744E-2</v>
      </c>
      <c r="J1883" s="151"/>
      <c r="K1883" s="139"/>
    </row>
    <row r="1884" spans="1:11" ht="12.75" x14ac:dyDescent="0.2">
      <c r="A1884" s="151"/>
      <c r="B1884" s="151"/>
      <c r="C1884" s="148"/>
      <c r="D1884" s="149" t="s">
        <v>288</v>
      </c>
      <c r="E1884" s="165"/>
      <c r="F1884" s="150"/>
      <c r="G1884" s="147"/>
      <c r="H1884" s="147">
        <v>3262</v>
      </c>
      <c r="I1884" s="152">
        <f>H1884/$H$1886</f>
        <v>0.35787164015359296</v>
      </c>
      <c r="J1884" s="153" t="s">
        <v>288</v>
      </c>
      <c r="K1884" s="139"/>
    </row>
    <row r="1885" spans="1:11" ht="12.75" x14ac:dyDescent="0.2">
      <c r="A1885" s="151"/>
      <c r="B1885" s="151"/>
      <c r="C1885" s="148"/>
      <c r="D1885" s="154" t="s">
        <v>292</v>
      </c>
      <c r="E1885" s="165"/>
      <c r="F1885" s="150"/>
      <c r="G1885" s="147"/>
      <c r="H1885" s="147">
        <v>80</v>
      </c>
      <c r="I1885" s="152">
        <f>H1885/$H$1886</f>
        <v>8.7767416346681299E-3</v>
      </c>
      <c r="J1885" s="151"/>
      <c r="K1885" s="139"/>
    </row>
    <row r="1886" spans="1:11" ht="12.75" x14ac:dyDescent="0.2">
      <c r="A1886" s="151"/>
      <c r="B1886" s="151"/>
      <c r="C1886" s="148"/>
      <c r="D1886" s="148" t="s">
        <v>33</v>
      </c>
      <c r="E1886" s="165"/>
      <c r="F1886" s="150"/>
      <c r="G1886" s="147"/>
      <c r="H1886" s="155">
        <f>SUM(H1881:H1885)</f>
        <v>9115</v>
      </c>
      <c r="I1886" s="156">
        <f>SUM(I1881:I1885)</f>
        <v>1</v>
      </c>
      <c r="J1886" s="151"/>
      <c r="K1886" s="139"/>
    </row>
    <row r="1887" spans="1:11" ht="12.75" x14ac:dyDescent="0.2">
      <c r="A1887" s="151"/>
      <c r="B1887" s="151"/>
      <c r="C1887" s="148"/>
      <c r="D1887" s="148"/>
      <c r="E1887" s="165"/>
      <c r="F1887" s="150"/>
      <c r="G1887" s="147"/>
      <c r="H1887" s="147"/>
      <c r="I1887" s="152"/>
      <c r="J1887" s="151"/>
      <c r="K1887" s="139"/>
    </row>
    <row r="1888" spans="1:11" ht="12.75" x14ac:dyDescent="0.2">
      <c r="A1888" s="148" t="s">
        <v>29</v>
      </c>
      <c r="B1888" s="148">
        <v>708</v>
      </c>
      <c r="C1888" s="148" t="s">
        <v>289</v>
      </c>
      <c r="D1888" s="149" t="s">
        <v>478</v>
      </c>
      <c r="E1888" s="165">
        <v>37841</v>
      </c>
      <c r="F1888" s="150">
        <v>12763601</v>
      </c>
      <c r="G1888" s="147">
        <v>108358</v>
      </c>
      <c r="H1888" s="147"/>
      <c r="I1888" s="147"/>
      <c r="J1888" s="151"/>
      <c r="K1888" s="139"/>
    </row>
    <row r="1889" spans="1:11" ht="12.75" x14ac:dyDescent="0.2">
      <c r="A1889" s="151"/>
      <c r="B1889" s="151"/>
      <c r="C1889" s="148"/>
      <c r="D1889" s="149" t="s">
        <v>261</v>
      </c>
      <c r="E1889" s="165"/>
      <c r="F1889" s="150"/>
      <c r="G1889" s="147"/>
      <c r="H1889" s="147">
        <v>4200</v>
      </c>
      <c r="I1889" s="152">
        <f>H1889/$H$1894</f>
        <v>4.8904310565659859E-2</v>
      </c>
      <c r="J1889" s="153"/>
      <c r="K1889" s="139"/>
    </row>
    <row r="1890" spans="1:11" ht="12.75" x14ac:dyDescent="0.2">
      <c r="A1890" s="151"/>
      <c r="B1890" s="151"/>
      <c r="C1890" s="148"/>
      <c r="D1890" s="147" t="s">
        <v>290</v>
      </c>
      <c r="E1890" s="165"/>
      <c r="F1890" s="150"/>
      <c r="G1890" s="147"/>
      <c r="H1890" s="147">
        <v>6180</v>
      </c>
      <c r="I1890" s="152">
        <f>H1890/$H$1894</f>
        <v>7.1959199832328083E-2</v>
      </c>
      <c r="J1890" s="153"/>
      <c r="K1890" s="139"/>
    </row>
    <row r="1891" spans="1:11" ht="12.75" x14ac:dyDescent="0.2">
      <c r="A1891" s="151"/>
      <c r="B1891" s="151"/>
      <c r="C1891" s="148"/>
      <c r="D1891" s="147" t="s">
        <v>479</v>
      </c>
      <c r="E1891" s="165"/>
      <c r="F1891" s="150"/>
      <c r="G1891" s="147"/>
      <c r="H1891" s="147">
        <v>67682</v>
      </c>
      <c r="I1891" s="152">
        <f>H1891/$H$1894</f>
        <v>0.78808132088214056</v>
      </c>
      <c r="J1891" s="151" t="s">
        <v>479</v>
      </c>
      <c r="K1891" s="139"/>
    </row>
    <row r="1892" spans="1:11" ht="12.75" x14ac:dyDescent="0.2">
      <c r="A1892" s="151"/>
      <c r="B1892" s="151"/>
      <c r="C1892" s="148"/>
      <c r="D1892" s="149" t="s">
        <v>288</v>
      </c>
      <c r="E1892" s="165"/>
      <c r="F1892" s="150"/>
      <c r="G1892" s="147"/>
      <c r="H1892" s="147">
        <v>6220</v>
      </c>
      <c r="I1892" s="152">
        <f>H1892/$H$1894</f>
        <v>7.2424955171048647E-2</v>
      </c>
      <c r="J1892" s="153"/>
      <c r="K1892" s="139"/>
    </row>
    <row r="1893" spans="1:11" ht="12.75" x14ac:dyDescent="0.2">
      <c r="A1893" s="151"/>
      <c r="B1893" s="151"/>
      <c r="C1893" s="148"/>
      <c r="D1893" s="154" t="s">
        <v>292</v>
      </c>
      <c r="E1893" s="165"/>
      <c r="F1893" s="150"/>
      <c r="G1893" s="147"/>
      <c r="H1893" s="147">
        <v>1600</v>
      </c>
      <c r="I1893" s="152">
        <f>H1893/$H$1894</f>
        <v>1.8630213548822803E-2</v>
      </c>
      <c r="J1893" s="151"/>
      <c r="K1893" s="139"/>
    </row>
    <row r="1894" spans="1:11" ht="12.75" x14ac:dyDescent="0.2">
      <c r="A1894" s="151"/>
      <c r="B1894" s="151"/>
      <c r="C1894" s="148"/>
      <c r="D1894" s="148" t="s">
        <v>33</v>
      </c>
      <c r="E1894" s="165"/>
      <c r="F1894" s="150"/>
      <c r="G1894" s="147"/>
      <c r="H1894" s="155">
        <f>SUM(H1889:H1893)</f>
        <v>85882</v>
      </c>
      <c r="I1894" s="156">
        <f>SUM(I1889:I1893)</f>
        <v>0.99999999999999989</v>
      </c>
      <c r="J1894" s="151"/>
      <c r="K1894" s="139"/>
    </row>
    <row r="1895" spans="1:11" ht="12.75" x14ac:dyDescent="0.2">
      <c r="A1895" s="151"/>
      <c r="B1895" s="151"/>
      <c r="C1895" s="148"/>
      <c r="D1895" s="148"/>
      <c r="E1895" s="165"/>
      <c r="F1895" s="150"/>
      <c r="G1895" s="147"/>
      <c r="H1895" s="147"/>
      <c r="I1895" s="152"/>
      <c r="J1895" s="151"/>
      <c r="K1895" s="139"/>
    </row>
    <row r="1896" spans="1:11" ht="12.75" x14ac:dyDescent="0.2">
      <c r="A1896" s="148" t="s">
        <v>29</v>
      </c>
      <c r="B1896" s="148"/>
      <c r="C1896" s="148" t="s">
        <v>289</v>
      </c>
      <c r="D1896" s="149" t="s">
        <v>573</v>
      </c>
      <c r="E1896" s="165">
        <v>39600</v>
      </c>
      <c r="F1896" s="150">
        <v>22381425</v>
      </c>
      <c r="G1896" s="147">
        <v>94719</v>
      </c>
      <c r="H1896" s="147"/>
      <c r="I1896" s="147"/>
      <c r="J1896" s="151"/>
      <c r="K1896" s="139"/>
    </row>
    <row r="1897" spans="1:11" ht="12.75" x14ac:dyDescent="0.2">
      <c r="A1897" s="151"/>
      <c r="B1897" s="151"/>
      <c r="C1897" s="148"/>
      <c r="D1897" s="149" t="s">
        <v>261</v>
      </c>
      <c r="E1897" s="165"/>
      <c r="F1897" s="150"/>
      <c r="G1897" s="147"/>
      <c r="H1897" s="147">
        <v>13961</v>
      </c>
      <c r="I1897" s="152">
        <f>H1897/$H$1904</f>
        <v>0.25412745508491547</v>
      </c>
      <c r="J1897" s="151" t="s">
        <v>16</v>
      </c>
      <c r="K1897" s="139"/>
    </row>
    <row r="1898" spans="1:11" ht="12.75" x14ac:dyDescent="0.2">
      <c r="A1898" s="151"/>
      <c r="B1898" s="151"/>
      <c r="C1898" s="148"/>
      <c r="D1898" s="147" t="s">
        <v>290</v>
      </c>
      <c r="E1898" s="165"/>
      <c r="F1898" s="150"/>
      <c r="G1898" s="147"/>
      <c r="H1898" s="147">
        <v>16682</v>
      </c>
      <c r="I1898" s="152">
        <f t="shared" ref="I1898:I1903" si="46">H1898/$H$1904</f>
        <v>0.30365691610390083</v>
      </c>
      <c r="J1898" s="151" t="s">
        <v>107</v>
      </c>
      <c r="K1898" s="139"/>
    </row>
    <row r="1899" spans="1:11" ht="12.75" x14ac:dyDescent="0.2">
      <c r="A1899" s="151"/>
      <c r="B1899" s="151"/>
      <c r="C1899" s="148"/>
      <c r="D1899" s="147" t="s">
        <v>574</v>
      </c>
      <c r="E1899" s="165"/>
      <c r="F1899" s="150"/>
      <c r="G1899" s="147"/>
      <c r="H1899" s="147">
        <v>925</v>
      </c>
      <c r="I1899" s="152">
        <f t="shared" si="46"/>
        <v>1.683746837286346E-2</v>
      </c>
      <c r="J1899" s="151"/>
      <c r="K1899" s="139"/>
    </row>
    <row r="1900" spans="1:11" ht="12.75" x14ac:dyDescent="0.2">
      <c r="A1900" s="151"/>
      <c r="B1900" s="151"/>
      <c r="C1900" s="148"/>
      <c r="D1900" s="149" t="s">
        <v>293</v>
      </c>
      <c r="E1900" s="165"/>
      <c r="F1900" s="150"/>
      <c r="G1900" s="147"/>
      <c r="H1900" s="147">
        <v>631</v>
      </c>
      <c r="I1900" s="152">
        <f t="shared" si="46"/>
        <v>1.1485883830569562E-2</v>
      </c>
      <c r="J1900" s="151"/>
      <c r="K1900" s="139"/>
    </row>
    <row r="1901" spans="1:11" ht="12.75" x14ac:dyDescent="0.2">
      <c r="A1901" s="151"/>
      <c r="B1901" s="151"/>
      <c r="C1901" s="148"/>
      <c r="D1901" s="149" t="s">
        <v>288</v>
      </c>
      <c r="E1901" s="165"/>
      <c r="F1901" s="150"/>
      <c r="G1901" s="147"/>
      <c r="H1901" s="147">
        <v>13826</v>
      </c>
      <c r="I1901" s="152">
        <f t="shared" si="46"/>
        <v>0.25167009483590297</v>
      </c>
      <c r="J1901" s="151" t="s">
        <v>63</v>
      </c>
      <c r="K1901" s="139"/>
    </row>
    <row r="1902" spans="1:11" ht="12.75" x14ac:dyDescent="0.2">
      <c r="A1902" s="151"/>
      <c r="B1902" s="151"/>
      <c r="C1902" s="148"/>
      <c r="D1902" s="154" t="s">
        <v>292</v>
      </c>
      <c r="E1902" s="165"/>
      <c r="F1902" s="150"/>
      <c r="G1902" s="147"/>
      <c r="H1902" s="147">
        <v>8068</v>
      </c>
      <c r="I1902" s="152">
        <f t="shared" si="46"/>
        <v>0.14685912954839178</v>
      </c>
      <c r="J1902" s="151"/>
      <c r="K1902" s="139"/>
    </row>
    <row r="1903" spans="1:11" ht="12.75" x14ac:dyDescent="0.2">
      <c r="A1903" s="151"/>
      <c r="B1903" s="151"/>
      <c r="C1903" s="148"/>
      <c r="D1903" s="149" t="s">
        <v>473</v>
      </c>
      <c r="E1903" s="165"/>
      <c r="F1903" s="150"/>
      <c r="G1903" s="147"/>
      <c r="H1903" s="147">
        <v>844</v>
      </c>
      <c r="I1903" s="152">
        <f t="shared" si="46"/>
        <v>1.5363052223455959E-2</v>
      </c>
      <c r="J1903" s="151"/>
      <c r="K1903" s="139"/>
    </row>
    <row r="1904" spans="1:11" ht="12.75" x14ac:dyDescent="0.2">
      <c r="A1904" s="151"/>
      <c r="B1904" s="151"/>
      <c r="C1904" s="148"/>
      <c r="D1904" s="148" t="s">
        <v>33</v>
      </c>
      <c r="E1904" s="165"/>
      <c r="F1904" s="150"/>
      <c r="G1904" s="147"/>
      <c r="H1904" s="155">
        <f>SUM(H1897:H1903)</f>
        <v>54937</v>
      </c>
      <c r="I1904" s="156">
        <f>SUM(I1897:I1903)</f>
        <v>1</v>
      </c>
      <c r="J1904" s="151"/>
      <c r="K1904" s="139"/>
    </row>
    <row r="1905" spans="1:11" ht="12.75" x14ac:dyDescent="0.2">
      <c r="A1905" s="151"/>
      <c r="B1905" s="151"/>
      <c r="C1905" s="148"/>
      <c r="D1905" s="148"/>
      <c r="E1905" s="165"/>
      <c r="F1905" s="150"/>
      <c r="G1905" s="147"/>
      <c r="H1905" s="147"/>
      <c r="I1905" s="152"/>
      <c r="J1905" s="151"/>
      <c r="K1905" s="139"/>
    </row>
    <row r="1906" spans="1:11" ht="12.75" x14ac:dyDescent="0.2">
      <c r="A1906" s="148" t="s">
        <v>29</v>
      </c>
      <c r="B1906" s="148">
        <v>716</v>
      </c>
      <c r="C1906" s="148" t="s">
        <v>234</v>
      </c>
      <c r="D1906" s="149" t="s">
        <v>613</v>
      </c>
      <c r="E1906" s="165">
        <v>40223</v>
      </c>
      <c r="F1906" s="150">
        <v>3396700</v>
      </c>
      <c r="G1906" s="147">
        <v>19832</v>
      </c>
      <c r="H1906" s="147"/>
      <c r="I1906" s="152"/>
      <c r="J1906" s="151"/>
      <c r="K1906" s="139"/>
    </row>
    <row r="1907" spans="1:11" ht="12.75" x14ac:dyDescent="0.2">
      <c r="A1907" s="151"/>
      <c r="B1907" s="151"/>
      <c r="C1907" s="148"/>
      <c r="D1907" s="149" t="s">
        <v>288</v>
      </c>
      <c r="E1907" s="165"/>
      <c r="F1907" s="150"/>
      <c r="G1907" s="147"/>
      <c r="H1907" s="147">
        <v>3760</v>
      </c>
      <c r="I1907" s="152">
        <f>H1907/H1909</f>
        <v>0.43303005873546008</v>
      </c>
      <c r="J1907" s="153" t="s">
        <v>288</v>
      </c>
      <c r="K1907" s="139"/>
    </row>
    <row r="1908" spans="1:11" ht="12.75" x14ac:dyDescent="0.2">
      <c r="A1908" s="151"/>
      <c r="B1908" s="151"/>
      <c r="C1908" s="148"/>
      <c r="D1908" s="149" t="s">
        <v>285</v>
      </c>
      <c r="E1908" s="165"/>
      <c r="F1908" s="150"/>
      <c r="G1908" s="147"/>
      <c r="H1908" s="147">
        <v>4923</v>
      </c>
      <c r="I1908" s="152">
        <f>H1908/H1909</f>
        <v>0.56696994126453992</v>
      </c>
      <c r="J1908" s="151"/>
      <c r="K1908" s="139"/>
    </row>
    <row r="1909" spans="1:11" ht="12.75" x14ac:dyDescent="0.2">
      <c r="A1909" s="151"/>
      <c r="B1909" s="151"/>
      <c r="C1909" s="148"/>
      <c r="D1909" s="148" t="s">
        <v>33</v>
      </c>
      <c r="E1909" s="165"/>
      <c r="F1909" s="150"/>
      <c r="G1909" s="147"/>
      <c r="H1909" s="167">
        <f>SUM(H1907:H1908)</f>
        <v>8683</v>
      </c>
      <c r="I1909" s="168">
        <f>SUM(I1907:I1908)</f>
        <v>1</v>
      </c>
      <c r="J1909" s="151"/>
      <c r="K1909" s="139"/>
    </row>
    <row r="1910" spans="1:11" ht="12.75" x14ac:dyDescent="0.2">
      <c r="A1910" s="151"/>
      <c r="B1910" s="151"/>
      <c r="C1910" s="148"/>
      <c r="D1910" s="148"/>
      <c r="E1910" s="165"/>
      <c r="F1910" s="150"/>
      <c r="G1910" s="147"/>
      <c r="H1910" s="147"/>
      <c r="I1910" s="152"/>
      <c r="J1910" s="151"/>
      <c r="K1910" s="139"/>
    </row>
    <row r="1911" spans="1:11" ht="12.75" x14ac:dyDescent="0.2">
      <c r="A1911" s="148" t="s">
        <v>29</v>
      </c>
      <c r="B1911" s="151"/>
      <c r="C1911" s="148" t="s">
        <v>619</v>
      </c>
      <c r="D1911" s="147" t="s">
        <v>620</v>
      </c>
      <c r="E1911" s="165">
        <v>41091</v>
      </c>
      <c r="F1911" s="150">
        <v>13810164</v>
      </c>
      <c r="G1911" s="147">
        <v>44380</v>
      </c>
      <c r="H1911" s="147"/>
      <c r="I1911" s="152"/>
      <c r="J1911" s="151"/>
      <c r="K1911" s="139"/>
    </row>
    <row r="1912" spans="1:11" ht="12.75" x14ac:dyDescent="0.2">
      <c r="A1912" s="151"/>
      <c r="B1912" s="151"/>
      <c r="C1912" s="148"/>
      <c r="D1912" s="149" t="s">
        <v>261</v>
      </c>
      <c r="E1912" s="165"/>
      <c r="F1912" s="150"/>
      <c r="G1912" s="147"/>
      <c r="H1912" s="147">
        <v>3020</v>
      </c>
      <c r="I1912" s="152">
        <f>H1912/$H$1917</f>
        <v>0.15745568300312826</v>
      </c>
      <c r="J1912" s="151"/>
      <c r="K1912" s="139"/>
    </row>
    <row r="1913" spans="1:11" ht="12.75" x14ac:dyDescent="0.2">
      <c r="A1913" s="151"/>
      <c r="B1913" s="151"/>
      <c r="C1913" s="148"/>
      <c r="D1913" s="147" t="s">
        <v>290</v>
      </c>
      <c r="E1913" s="165"/>
      <c r="F1913" s="150"/>
      <c r="G1913" s="147"/>
      <c r="H1913" s="147">
        <v>3116</v>
      </c>
      <c r="I1913" s="152">
        <f>H1913/$H$1917</f>
        <v>0.16246089676746611</v>
      </c>
      <c r="J1913" s="151"/>
      <c r="K1913" s="139"/>
    </row>
    <row r="1914" spans="1:11" ht="12.75" x14ac:dyDescent="0.2">
      <c r="A1914" s="151"/>
      <c r="B1914" s="151"/>
      <c r="C1914" s="148"/>
      <c r="D1914" s="149" t="s">
        <v>284</v>
      </c>
      <c r="E1914" s="165"/>
      <c r="F1914" s="150"/>
      <c r="G1914" s="147"/>
      <c r="H1914" s="147">
        <v>2131</v>
      </c>
      <c r="I1914" s="152">
        <f>H1914/$H$1917</f>
        <v>0.1111053180396246</v>
      </c>
      <c r="J1914" s="151"/>
      <c r="K1914" s="139"/>
    </row>
    <row r="1915" spans="1:11" ht="12.75" x14ac:dyDescent="0.2">
      <c r="A1915" s="151"/>
      <c r="B1915" s="151"/>
      <c r="C1915" s="148"/>
      <c r="D1915" s="149" t="s">
        <v>293</v>
      </c>
      <c r="E1915" s="165"/>
      <c r="F1915" s="150"/>
      <c r="G1915" s="147"/>
      <c r="H1915" s="147">
        <v>3468</v>
      </c>
      <c r="I1915" s="152">
        <f>H1915/$H$1917</f>
        <v>0.18081334723670489</v>
      </c>
      <c r="J1915" s="151"/>
      <c r="K1915" s="139"/>
    </row>
    <row r="1916" spans="1:11" ht="12.75" x14ac:dyDescent="0.2">
      <c r="A1916" s="151"/>
      <c r="B1916" s="151"/>
      <c r="C1916" s="148"/>
      <c r="D1916" s="149" t="s">
        <v>288</v>
      </c>
      <c r="E1916" s="165"/>
      <c r="F1916" s="150"/>
      <c r="G1916" s="147"/>
      <c r="H1916" s="147">
        <v>7445</v>
      </c>
      <c r="I1916" s="152">
        <f>H1916/$H$1917</f>
        <v>0.38816475495307612</v>
      </c>
      <c r="J1916" s="153" t="s">
        <v>288</v>
      </c>
      <c r="K1916" s="139"/>
    </row>
    <row r="1917" spans="1:11" ht="12.75" x14ac:dyDescent="0.2">
      <c r="A1917" s="151"/>
      <c r="B1917" s="151"/>
      <c r="C1917" s="148"/>
      <c r="D1917" s="148" t="s">
        <v>33</v>
      </c>
      <c r="E1917" s="165"/>
      <c r="F1917" s="150"/>
      <c r="G1917" s="147"/>
      <c r="H1917" s="167">
        <f>SUM(H1912:H1916)</f>
        <v>19180</v>
      </c>
      <c r="I1917" s="168">
        <f>SUM(I1912:I1916)</f>
        <v>1</v>
      </c>
      <c r="J1917" s="151"/>
      <c r="K1917" s="139"/>
    </row>
    <row r="1918" spans="1:11" ht="12.75" x14ac:dyDescent="0.2">
      <c r="A1918" s="151"/>
      <c r="B1918" s="151"/>
      <c r="C1918" s="148"/>
      <c r="D1918" s="148"/>
      <c r="E1918" s="165"/>
      <c r="F1918" s="150"/>
      <c r="G1918" s="147"/>
      <c r="H1918" s="147"/>
      <c r="I1918" s="152"/>
      <c r="J1918" s="151"/>
      <c r="K1918" s="139"/>
    </row>
    <row r="1919" spans="1:11" ht="12.75" x14ac:dyDescent="0.2">
      <c r="A1919" s="148" t="s">
        <v>29</v>
      </c>
      <c r="B1919" s="151"/>
      <c r="C1919" s="148" t="s">
        <v>289</v>
      </c>
      <c r="D1919" s="147" t="s">
        <v>680</v>
      </c>
      <c r="E1919" s="165">
        <v>43198</v>
      </c>
      <c r="F1919" s="150">
        <v>6518063</v>
      </c>
      <c r="G1919" s="147">
        <v>34353</v>
      </c>
      <c r="H1919" s="147"/>
      <c r="I1919" s="152"/>
      <c r="J1919" s="151"/>
      <c r="K1919" s="139"/>
    </row>
    <row r="1920" spans="1:11" ht="12.75" x14ac:dyDescent="0.2">
      <c r="A1920" s="151"/>
      <c r="B1920" s="151"/>
      <c r="C1920" s="148"/>
      <c r="D1920" s="191" t="s">
        <v>42</v>
      </c>
      <c r="E1920" s="165"/>
      <c r="F1920" s="150"/>
      <c r="G1920" s="147"/>
      <c r="H1920" s="147">
        <v>503</v>
      </c>
      <c r="I1920" s="152">
        <f>H1920/$H$1924</f>
        <v>2.5969332438432548E-2</v>
      </c>
      <c r="J1920" s="151"/>
      <c r="K1920" s="139"/>
    </row>
    <row r="1921" spans="1:11" ht="12.75" x14ac:dyDescent="0.2">
      <c r="A1921" s="151"/>
      <c r="B1921" s="151"/>
      <c r="C1921" s="148"/>
      <c r="D1921" s="191" t="s">
        <v>92</v>
      </c>
      <c r="E1921" s="165"/>
      <c r="F1921" s="150"/>
      <c r="G1921" s="147"/>
      <c r="H1921" s="147">
        <v>9965</v>
      </c>
      <c r="I1921" s="152">
        <f>H1921/$H$1924</f>
        <v>0.51448190407351957</v>
      </c>
      <c r="J1921" s="203" t="s">
        <v>92</v>
      </c>
      <c r="K1921" s="139"/>
    </row>
    <row r="1922" spans="1:11" ht="12.75" x14ac:dyDescent="0.2">
      <c r="A1922" s="151"/>
      <c r="B1922" s="151"/>
      <c r="C1922" s="148"/>
      <c r="D1922" s="149" t="s">
        <v>589</v>
      </c>
      <c r="E1922" s="165"/>
      <c r="F1922" s="150"/>
      <c r="G1922" s="147"/>
      <c r="H1922" s="147">
        <v>5737</v>
      </c>
      <c r="I1922" s="152">
        <f>H1922/$H$1924</f>
        <v>0.2961949506944086</v>
      </c>
      <c r="J1922" s="153" t="s">
        <v>288</v>
      </c>
      <c r="K1922" s="139"/>
    </row>
    <row r="1923" spans="1:11" ht="12.75" x14ac:dyDescent="0.2">
      <c r="A1923" s="151"/>
      <c r="B1923" s="151"/>
      <c r="C1923" s="148"/>
      <c r="D1923" s="191" t="s">
        <v>669</v>
      </c>
      <c r="E1923" s="165"/>
      <c r="F1923" s="150"/>
      <c r="G1923" s="147"/>
      <c r="H1923" s="147">
        <v>3164</v>
      </c>
      <c r="I1923" s="152">
        <f>H1923/$H$1924</f>
        <v>0.16335381279363931</v>
      </c>
      <c r="J1923" s="153"/>
      <c r="K1923" s="139"/>
    </row>
    <row r="1924" spans="1:11" ht="12.75" x14ac:dyDescent="0.2">
      <c r="A1924" s="151"/>
      <c r="B1924" s="151"/>
      <c r="C1924" s="148"/>
      <c r="D1924" s="148" t="s">
        <v>33</v>
      </c>
      <c r="E1924" s="165"/>
      <c r="F1924" s="150"/>
      <c r="G1924" s="147"/>
      <c r="H1924" s="167">
        <f>SUM(H1920:H1923)</f>
        <v>19369</v>
      </c>
      <c r="I1924" s="168">
        <f>SUM(I1920:I1923)</f>
        <v>1</v>
      </c>
      <c r="J1924" s="151"/>
      <c r="K1924" s="139"/>
    </row>
    <row r="1925" spans="1:11" ht="12.75" x14ac:dyDescent="0.2">
      <c r="A1925" s="151"/>
      <c r="B1925" s="151"/>
      <c r="C1925" s="148"/>
      <c r="D1925" s="148"/>
      <c r="E1925" s="165"/>
      <c r="F1925" s="150"/>
      <c r="G1925" s="147"/>
      <c r="H1925" s="147"/>
      <c r="I1925" s="152"/>
      <c r="J1925" s="151"/>
      <c r="K1925" s="139"/>
    </row>
    <row r="1926" spans="1:11" ht="12.75" x14ac:dyDescent="0.2">
      <c r="A1926" s="173" t="s">
        <v>29</v>
      </c>
      <c r="B1926" s="202"/>
      <c r="C1926" s="173" t="s">
        <v>289</v>
      </c>
      <c r="D1926" s="177" t="s">
        <v>701</v>
      </c>
      <c r="E1926" s="175">
        <v>43621</v>
      </c>
      <c r="F1926" s="176">
        <v>22769048</v>
      </c>
      <c r="G1926" s="177">
        <v>52162</v>
      </c>
      <c r="H1926" s="177"/>
      <c r="I1926" s="178"/>
      <c r="J1926" s="202"/>
      <c r="K1926" s="139"/>
    </row>
    <row r="1927" spans="1:11" ht="12.75" x14ac:dyDescent="0.2">
      <c r="A1927" s="148"/>
      <c r="B1927" s="151"/>
      <c r="C1927" s="148"/>
      <c r="D1927" s="191" t="s">
        <v>107</v>
      </c>
      <c r="E1927" s="165"/>
      <c r="F1927" s="150"/>
      <c r="G1927" s="147"/>
      <c r="H1927" s="147">
        <v>16225</v>
      </c>
      <c r="I1927" s="152">
        <f>H1927/$H$1931</f>
        <v>0.71992723077605714</v>
      </c>
      <c r="J1927" s="151" t="s">
        <v>107</v>
      </c>
      <c r="K1927" s="139"/>
    </row>
    <row r="1928" spans="1:11" ht="12.75" x14ac:dyDescent="0.2">
      <c r="A1928" s="151"/>
      <c r="B1928" s="151"/>
      <c r="C1928" s="148"/>
      <c r="D1928" s="191" t="s">
        <v>42</v>
      </c>
      <c r="E1928" s="165"/>
      <c r="F1928" s="150"/>
      <c r="G1928" s="147"/>
      <c r="H1928" s="147">
        <v>1968</v>
      </c>
      <c r="I1928" s="152">
        <f>H1928/$H$1931</f>
        <v>8.7323068731419443E-2</v>
      </c>
      <c r="J1928" s="151"/>
      <c r="K1928" s="139"/>
    </row>
    <row r="1929" spans="1:11" ht="12.75" x14ac:dyDescent="0.2">
      <c r="A1929" s="151"/>
      <c r="B1929" s="151"/>
      <c r="C1929" s="148"/>
      <c r="D1929" s="149" t="s">
        <v>589</v>
      </c>
      <c r="E1929" s="165"/>
      <c r="F1929" s="150"/>
      <c r="G1929" s="147"/>
      <c r="H1929" s="147">
        <v>2435</v>
      </c>
      <c r="I1929" s="152">
        <f>H1929/$H$1931</f>
        <v>0.10804454896392598</v>
      </c>
      <c r="J1929" s="153"/>
      <c r="K1929" s="139"/>
    </row>
    <row r="1930" spans="1:11" ht="12.75" x14ac:dyDescent="0.2">
      <c r="A1930" s="151"/>
      <c r="B1930" s="151"/>
      <c r="C1930" s="148"/>
      <c r="D1930" s="191" t="s">
        <v>669</v>
      </c>
      <c r="E1930" s="165"/>
      <c r="F1930" s="150"/>
      <c r="G1930" s="147"/>
      <c r="H1930" s="147">
        <v>1909</v>
      </c>
      <c r="I1930" s="152">
        <f>H1930/$H$1931</f>
        <v>8.4705151528597422E-2</v>
      </c>
      <c r="J1930" s="153"/>
      <c r="K1930" s="139"/>
    </row>
    <row r="1931" spans="1:11" ht="12.75" x14ac:dyDescent="0.2">
      <c r="A1931" s="151"/>
      <c r="B1931" s="151"/>
      <c r="C1931" s="148"/>
      <c r="D1931" s="148" t="s">
        <v>33</v>
      </c>
      <c r="E1931" s="165"/>
      <c r="F1931" s="150"/>
      <c r="G1931" s="147"/>
      <c r="H1931" s="167">
        <f>SUM(H1927:H1930)</f>
        <v>22537</v>
      </c>
      <c r="I1931" s="168">
        <f>H1931/$H$1931</f>
        <v>1</v>
      </c>
      <c r="J1931" s="151"/>
      <c r="K1931" s="139"/>
    </row>
    <row r="1932" spans="1:11" ht="12.75" x14ac:dyDescent="0.2">
      <c r="A1932" s="151"/>
      <c r="B1932" s="151"/>
      <c r="C1932" s="148"/>
      <c r="D1932" s="148"/>
      <c r="E1932" s="165"/>
      <c r="F1932" s="150"/>
      <c r="G1932" s="147"/>
      <c r="H1932" s="147"/>
      <c r="I1932" s="152"/>
      <c r="J1932" s="151"/>
      <c r="K1932" s="139"/>
    </row>
    <row r="1933" spans="1:11" ht="12.75" x14ac:dyDescent="0.2">
      <c r="A1933" s="148" t="s">
        <v>22</v>
      </c>
      <c r="B1933" s="148" t="s">
        <v>395</v>
      </c>
      <c r="C1933" s="148" t="s">
        <v>234</v>
      </c>
      <c r="D1933" s="149" t="s">
        <v>191</v>
      </c>
      <c r="E1933" s="165" t="s">
        <v>383</v>
      </c>
      <c r="F1933" s="150">
        <v>5511430</v>
      </c>
      <c r="G1933" s="147">
        <v>71434</v>
      </c>
      <c r="H1933" s="147"/>
      <c r="I1933" s="152"/>
      <c r="J1933" s="151"/>
      <c r="K1933" s="139"/>
    </row>
    <row r="1934" spans="1:11" ht="12.75" x14ac:dyDescent="0.2">
      <c r="A1934" s="151"/>
      <c r="B1934" s="151"/>
      <c r="C1934" s="148"/>
      <c r="D1934" s="149" t="s">
        <v>261</v>
      </c>
      <c r="E1934" s="165"/>
      <c r="F1934" s="150"/>
      <c r="G1934" s="147"/>
      <c r="H1934" s="147">
        <v>3664</v>
      </c>
      <c r="I1934" s="152">
        <f>ROUND(H1934/$H$1940,4)</f>
        <v>8.4599999999999995E-2</v>
      </c>
      <c r="J1934" s="151"/>
      <c r="K1934" s="139"/>
    </row>
    <row r="1935" spans="1:11" ht="12.75" x14ac:dyDescent="0.2">
      <c r="A1935" s="151"/>
      <c r="B1935" s="151"/>
      <c r="C1935" s="148"/>
      <c r="D1935" s="149" t="s">
        <v>240</v>
      </c>
      <c r="E1935" s="165"/>
      <c r="F1935" s="150"/>
      <c r="G1935" s="147"/>
      <c r="H1935" s="147">
        <v>7700</v>
      </c>
      <c r="I1935" s="152">
        <f>ROUND(H1935/$H$1940,4)</f>
        <v>0.1777</v>
      </c>
      <c r="J1935" s="151" t="s">
        <v>240</v>
      </c>
      <c r="K1935" s="139"/>
    </row>
    <row r="1936" spans="1:11" ht="12.75" x14ac:dyDescent="0.2">
      <c r="A1936" s="151"/>
      <c r="B1936" s="151"/>
      <c r="C1936" s="148"/>
      <c r="D1936" s="149" t="s">
        <v>262</v>
      </c>
      <c r="E1936" s="165"/>
      <c r="F1936" s="150"/>
      <c r="G1936" s="147"/>
      <c r="H1936" s="147">
        <v>5504</v>
      </c>
      <c r="I1936" s="152">
        <f>ROUND(H1936/$H$1940,4)</f>
        <v>0.12709999999999999</v>
      </c>
      <c r="J1936" s="151"/>
      <c r="K1936" s="139"/>
    </row>
    <row r="1937" spans="1:11" ht="12.75" x14ac:dyDescent="0.2">
      <c r="A1937" s="151"/>
      <c r="B1937" s="151"/>
      <c r="C1937" s="148"/>
      <c r="D1937" s="149" t="s">
        <v>243</v>
      </c>
      <c r="E1937" s="165"/>
      <c r="F1937" s="150"/>
      <c r="G1937" s="147"/>
      <c r="H1937" s="147">
        <v>23631</v>
      </c>
      <c r="I1937" s="152">
        <f>ROUND(H1937/$H$1940,4)-0.0001</f>
        <v>0.5454</v>
      </c>
      <c r="J1937" s="153" t="s">
        <v>243</v>
      </c>
      <c r="K1937" s="139"/>
    </row>
    <row r="1938" spans="1:11" ht="12.75" x14ac:dyDescent="0.2">
      <c r="A1938" s="151"/>
      <c r="B1938" s="151"/>
      <c r="C1938" s="148"/>
      <c r="D1938" s="149" t="s">
        <v>303</v>
      </c>
      <c r="E1938" s="165"/>
      <c r="F1938" s="150"/>
      <c r="G1938" s="147"/>
      <c r="H1938" s="147">
        <v>1826</v>
      </c>
      <c r="I1938" s="152">
        <f>ROUND(H1938/$H$1940,4)</f>
        <v>4.2200000000000001E-2</v>
      </c>
      <c r="J1938" s="151"/>
      <c r="K1938" s="139"/>
    </row>
    <row r="1939" spans="1:11" ht="12.75" x14ac:dyDescent="0.2">
      <c r="A1939" s="151"/>
      <c r="B1939" s="151"/>
      <c r="C1939" s="148"/>
      <c r="D1939" s="154" t="s">
        <v>244</v>
      </c>
      <c r="E1939" s="165"/>
      <c r="F1939" s="150"/>
      <c r="G1939" s="147"/>
      <c r="H1939" s="147">
        <v>996</v>
      </c>
      <c r="I1939" s="152">
        <f>ROUND(H1939/$H$1940,4)</f>
        <v>2.3E-2</v>
      </c>
      <c r="J1939" s="151"/>
      <c r="K1939" s="139"/>
    </row>
    <row r="1940" spans="1:11" ht="12.75" x14ac:dyDescent="0.2">
      <c r="A1940" s="151"/>
      <c r="B1940" s="151"/>
      <c r="C1940" s="148"/>
      <c r="D1940" s="148" t="s">
        <v>33</v>
      </c>
      <c r="E1940" s="165"/>
      <c r="F1940" s="150"/>
      <c r="G1940" s="147"/>
      <c r="H1940" s="155">
        <f>SUM(H1934:H1939)</f>
        <v>43321</v>
      </c>
      <c r="I1940" s="156">
        <f>SUM(I1934:I1939)</f>
        <v>1</v>
      </c>
      <c r="J1940" s="151"/>
      <c r="K1940" s="139"/>
    </row>
    <row r="1941" spans="1:11" ht="12.75" x14ac:dyDescent="0.2">
      <c r="A1941" s="151"/>
      <c r="B1941" s="151"/>
      <c r="C1941" s="148"/>
      <c r="D1941" s="147"/>
      <c r="E1941" s="165"/>
      <c r="F1941" s="150"/>
      <c r="G1941" s="147"/>
      <c r="H1941" s="147"/>
      <c r="I1941" s="152"/>
      <c r="J1941" s="151"/>
      <c r="K1941" s="139"/>
    </row>
    <row r="1942" spans="1:11" ht="12.75" x14ac:dyDescent="0.2">
      <c r="A1942" s="148" t="s">
        <v>22</v>
      </c>
      <c r="B1942" s="148" t="s">
        <v>217</v>
      </c>
      <c r="C1942" s="148" t="s">
        <v>234</v>
      </c>
      <c r="D1942" s="149" t="s">
        <v>218</v>
      </c>
      <c r="E1942" s="165" t="s">
        <v>396</v>
      </c>
      <c r="F1942" s="150">
        <v>237550</v>
      </c>
      <c r="G1942" s="147">
        <v>4120</v>
      </c>
      <c r="H1942" s="147"/>
      <c r="I1942" s="152"/>
      <c r="J1942" s="151"/>
      <c r="K1942" s="139"/>
    </row>
    <row r="1943" spans="1:11" ht="12.75" x14ac:dyDescent="0.2">
      <c r="A1943" s="151"/>
      <c r="B1943" s="151"/>
      <c r="C1943" s="148"/>
      <c r="D1943" s="149" t="s">
        <v>240</v>
      </c>
      <c r="E1943" s="165"/>
      <c r="F1943" s="150"/>
      <c r="G1943" s="147"/>
      <c r="H1943" s="147">
        <v>580</v>
      </c>
      <c r="I1943" s="152">
        <f>ROUND(H1943/$H$1945,4)</f>
        <v>0.17460000000000001</v>
      </c>
      <c r="J1943" s="151"/>
      <c r="K1943" s="139"/>
    </row>
    <row r="1944" spans="1:11" ht="12.75" x14ac:dyDescent="0.2">
      <c r="A1944" s="151"/>
      <c r="B1944" s="151"/>
      <c r="C1944" s="148"/>
      <c r="D1944" s="154" t="s">
        <v>244</v>
      </c>
      <c r="E1944" s="165"/>
      <c r="F1944" s="150"/>
      <c r="G1944" s="147"/>
      <c r="H1944" s="147">
        <v>2741</v>
      </c>
      <c r="I1944" s="152">
        <f>ROUND(H1944/$H$1945,4)</f>
        <v>0.82540000000000002</v>
      </c>
      <c r="J1944" s="159" t="s">
        <v>244</v>
      </c>
      <c r="K1944" s="139"/>
    </row>
    <row r="1945" spans="1:11" ht="12.75" x14ac:dyDescent="0.2">
      <c r="A1945" s="151"/>
      <c r="B1945" s="151"/>
      <c r="C1945" s="148"/>
      <c r="D1945" s="148" t="s">
        <v>33</v>
      </c>
      <c r="E1945" s="165"/>
      <c r="F1945" s="150"/>
      <c r="G1945" s="147"/>
      <c r="H1945" s="155">
        <f>SUM(H1943:H1944)</f>
        <v>3321</v>
      </c>
      <c r="I1945" s="156">
        <f>SUM(I1943:I1944)</f>
        <v>1</v>
      </c>
      <c r="J1945" s="151"/>
      <c r="K1945" s="139"/>
    </row>
    <row r="1946" spans="1:11" ht="12.75" x14ac:dyDescent="0.2">
      <c r="A1946" s="151"/>
      <c r="B1946" s="151"/>
      <c r="C1946" s="148"/>
      <c r="D1946" s="147"/>
      <c r="E1946" s="165"/>
      <c r="F1946" s="150"/>
      <c r="G1946" s="147"/>
      <c r="H1946" s="147"/>
      <c r="I1946" s="152"/>
      <c r="J1946" s="151"/>
      <c r="K1946" s="139"/>
    </row>
    <row r="1947" spans="1:11" ht="12.75" x14ac:dyDescent="0.2">
      <c r="A1947" s="148" t="s">
        <v>22</v>
      </c>
      <c r="B1947" s="148" t="s">
        <v>397</v>
      </c>
      <c r="C1947" s="148" t="s">
        <v>234</v>
      </c>
      <c r="D1947" s="149" t="s">
        <v>193</v>
      </c>
      <c r="E1947" s="165" t="s">
        <v>316</v>
      </c>
      <c r="F1947" s="150">
        <v>2162000</v>
      </c>
      <c r="G1947" s="147">
        <v>33633</v>
      </c>
      <c r="H1947" s="147"/>
      <c r="I1947" s="152"/>
      <c r="J1947" s="151"/>
      <c r="K1947" s="139"/>
    </row>
    <row r="1948" spans="1:11" ht="12.75" x14ac:dyDescent="0.2">
      <c r="A1948" s="151"/>
      <c r="B1948" s="151"/>
      <c r="C1948" s="148"/>
      <c r="D1948" s="149" t="s">
        <v>240</v>
      </c>
      <c r="E1948" s="165"/>
      <c r="F1948" s="150"/>
      <c r="G1948" s="147"/>
      <c r="H1948" s="147">
        <v>7000</v>
      </c>
      <c r="I1948" s="152">
        <f>ROUND(H1948/$H$1950,4)</f>
        <v>0.31819999999999998</v>
      </c>
      <c r="J1948" s="151" t="s">
        <v>240</v>
      </c>
      <c r="K1948" s="139"/>
    </row>
    <row r="1949" spans="1:11" ht="12.75" x14ac:dyDescent="0.2">
      <c r="A1949" s="151"/>
      <c r="B1949" s="151"/>
      <c r="C1949" s="148"/>
      <c r="D1949" s="154" t="s">
        <v>244</v>
      </c>
      <c r="E1949" s="165"/>
      <c r="F1949" s="150"/>
      <c r="G1949" s="147"/>
      <c r="H1949" s="147">
        <v>15000</v>
      </c>
      <c r="I1949" s="152">
        <f>ROUND(H1949/$H$1950,4)</f>
        <v>0.68179999999999996</v>
      </c>
      <c r="J1949" s="159" t="s">
        <v>244</v>
      </c>
      <c r="K1949" s="139"/>
    </row>
    <row r="1950" spans="1:11" ht="12.75" x14ac:dyDescent="0.2">
      <c r="A1950" s="151"/>
      <c r="B1950" s="151"/>
      <c r="C1950" s="148"/>
      <c r="D1950" s="148" t="s">
        <v>33</v>
      </c>
      <c r="E1950" s="165"/>
      <c r="F1950" s="150"/>
      <c r="G1950" s="147"/>
      <c r="H1950" s="155">
        <f>SUM(H1948:H1949)</f>
        <v>22000</v>
      </c>
      <c r="I1950" s="156">
        <f>SUM(I1948:I1949)</f>
        <v>1</v>
      </c>
      <c r="J1950" s="151"/>
      <c r="K1950" s="139"/>
    </row>
    <row r="1951" spans="1:11" ht="12.75" x14ac:dyDescent="0.2">
      <c r="A1951" s="151"/>
      <c r="B1951" s="151"/>
      <c r="C1951" s="148"/>
      <c r="D1951" s="148"/>
      <c r="E1951" s="165"/>
      <c r="F1951" s="150"/>
      <c r="G1951" s="147"/>
      <c r="H1951" s="157"/>
      <c r="I1951" s="158"/>
      <c r="J1951" s="151"/>
      <c r="K1951" s="139"/>
    </row>
    <row r="1952" spans="1:11" ht="12.75" x14ac:dyDescent="0.2">
      <c r="A1952" s="148" t="s">
        <v>22</v>
      </c>
      <c r="B1952" s="148" t="s">
        <v>398</v>
      </c>
      <c r="C1952" s="148" t="s">
        <v>234</v>
      </c>
      <c r="D1952" s="149" t="s">
        <v>160</v>
      </c>
      <c r="E1952" s="165" t="s">
        <v>399</v>
      </c>
      <c r="F1952" s="150">
        <v>9938000</v>
      </c>
      <c r="G1952" s="147">
        <v>97841</v>
      </c>
      <c r="H1952" s="147"/>
      <c r="I1952" s="152"/>
      <c r="J1952" s="151"/>
      <c r="K1952" s="139"/>
    </row>
    <row r="1953" spans="1:11" ht="12.75" x14ac:dyDescent="0.2">
      <c r="A1953" s="151"/>
      <c r="B1953" s="151"/>
      <c r="C1953" s="148"/>
      <c r="D1953" s="149" t="s">
        <v>261</v>
      </c>
      <c r="E1953" s="165"/>
      <c r="F1953" s="150"/>
      <c r="G1953" s="147"/>
      <c r="H1953" s="147">
        <v>6800</v>
      </c>
      <c r="I1953" s="152">
        <f t="shared" ref="I1953:I1958" si="47">ROUND(H1953/$H$1959,4)</f>
        <v>0.1057</v>
      </c>
      <c r="J1953" s="151"/>
      <c r="K1953" s="139"/>
    </row>
    <row r="1954" spans="1:11" ht="12.75" x14ac:dyDescent="0.2">
      <c r="A1954" s="151"/>
      <c r="B1954" s="151"/>
      <c r="C1954" s="148"/>
      <c r="D1954" s="149" t="s">
        <v>238</v>
      </c>
      <c r="E1954" s="165"/>
      <c r="F1954" s="150"/>
      <c r="G1954" s="147"/>
      <c r="H1954" s="147">
        <v>25738</v>
      </c>
      <c r="I1954" s="152">
        <f t="shared" si="47"/>
        <v>0.4002</v>
      </c>
      <c r="J1954" s="153" t="s">
        <v>238</v>
      </c>
      <c r="K1954" s="139"/>
    </row>
    <row r="1955" spans="1:11" ht="12.75" x14ac:dyDescent="0.2">
      <c r="A1955" s="151"/>
      <c r="B1955" s="151"/>
      <c r="C1955" s="148"/>
      <c r="D1955" s="149" t="s">
        <v>239</v>
      </c>
      <c r="E1955" s="165"/>
      <c r="F1955" s="150"/>
      <c r="G1955" s="147"/>
      <c r="H1955" s="147">
        <v>14100</v>
      </c>
      <c r="I1955" s="152">
        <f t="shared" si="47"/>
        <v>0.21920000000000001</v>
      </c>
      <c r="J1955" s="153" t="s">
        <v>239</v>
      </c>
      <c r="K1955" s="139"/>
    </row>
    <row r="1956" spans="1:11" ht="12.75" x14ac:dyDescent="0.2">
      <c r="A1956" s="151"/>
      <c r="B1956" s="151"/>
      <c r="C1956" s="148"/>
      <c r="D1956" s="149" t="s">
        <v>240</v>
      </c>
      <c r="E1956" s="165"/>
      <c r="F1956" s="150"/>
      <c r="G1956" s="147"/>
      <c r="H1956" s="147">
        <v>14105</v>
      </c>
      <c r="I1956" s="152">
        <f t="shared" si="47"/>
        <v>0.21929999999999999</v>
      </c>
      <c r="J1956" s="153" t="s">
        <v>240</v>
      </c>
      <c r="K1956" s="139"/>
    </row>
    <row r="1957" spans="1:11" ht="12.75" x14ac:dyDescent="0.2">
      <c r="A1957" s="151"/>
      <c r="B1957" s="151"/>
      <c r="C1957" s="148"/>
      <c r="D1957" s="149" t="s">
        <v>242</v>
      </c>
      <c r="E1957" s="165"/>
      <c r="F1957" s="150"/>
      <c r="G1957" s="147"/>
      <c r="H1957" s="147">
        <v>1400</v>
      </c>
      <c r="I1957" s="152">
        <f t="shared" si="47"/>
        <v>2.18E-2</v>
      </c>
      <c r="J1957" s="151"/>
      <c r="K1957" s="139"/>
    </row>
    <row r="1958" spans="1:11" ht="12.75" x14ac:dyDescent="0.2">
      <c r="A1958" s="151"/>
      <c r="B1958" s="151"/>
      <c r="C1958" s="148"/>
      <c r="D1958" s="154" t="s">
        <v>244</v>
      </c>
      <c r="E1958" s="165"/>
      <c r="F1958" s="150"/>
      <c r="G1958" s="147"/>
      <c r="H1958" s="147">
        <v>2175</v>
      </c>
      <c r="I1958" s="152">
        <f t="shared" si="47"/>
        <v>3.3799999999999997E-2</v>
      </c>
      <c r="J1958" s="151"/>
      <c r="K1958" s="139"/>
    </row>
    <row r="1959" spans="1:11" ht="12.75" x14ac:dyDescent="0.2">
      <c r="A1959" s="151"/>
      <c r="B1959" s="151"/>
      <c r="C1959" s="148"/>
      <c r="D1959" s="148" t="s">
        <v>33</v>
      </c>
      <c r="E1959" s="165"/>
      <c r="F1959" s="150"/>
      <c r="G1959" s="147"/>
      <c r="H1959" s="155">
        <f>SUM(H1953:H1958)</f>
        <v>64318</v>
      </c>
      <c r="I1959" s="156">
        <f>SUM(I1953:I1958)</f>
        <v>1.0000000000000002</v>
      </c>
      <c r="J1959" s="151"/>
      <c r="K1959" s="139"/>
    </row>
    <row r="1960" spans="1:11" ht="12.75" x14ac:dyDescent="0.2">
      <c r="A1960" s="151"/>
      <c r="B1960" s="151"/>
      <c r="C1960" s="148"/>
      <c r="D1960" s="148"/>
      <c r="E1960" s="165"/>
      <c r="F1960" s="150"/>
      <c r="G1960" s="147"/>
      <c r="H1960" s="157"/>
      <c r="I1960" s="158"/>
      <c r="J1960" s="151"/>
      <c r="K1960" s="139"/>
    </row>
    <row r="1961" spans="1:11" ht="12.75" x14ac:dyDescent="0.2">
      <c r="A1961" s="148" t="s">
        <v>22</v>
      </c>
      <c r="B1961" s="148" t="s">
        <v>400</v>
      </c>
      <c r="C1961" s="148" t="s">
        <v>234</v>
      </c>
      <c r="D1961" s="149" t="s">
        <v>161</v>
      </c>
      <c r="E1961" s="165" t="s">
        <v>401</v>
      </c>
      <c r="F1961" s="150">
        <v>11341000</v>
      </c>
      <c r="G1961" s="147">
        <v>114363</v>
      </c>
      <c r="H1961" s="147"/>
      <c r="I1961" s="147"/>
      <c r="J1961" s="151"/>
      <c r="K1961" s="139"/>
    </row>
    <row r="1962" spans="1:11" ht="12.75" x14ac:dyDescent="0.2">
      <c r="A1962" s="151"/>
      <c r="B1962" s="151"/>
      <c r="C1962" s="148"/>
      <c r="D1962" s="149" t="s">
        <v>261</v>
      </c>
      <c r="E1962" s="165"/>
      <c r="F1962" s="150"/>
      <c r="G1962" s="147"/>
      <c r="H1962" s="147">
        <v>17920</v>
      </c>
      <c r="I1962" s="152">
        <f>ROUND(H1962/$H$1968,4)</f>
        <v>0.2621</v>
      </c>
      <c r="J1962" s="153" t="s">
        <v>261</v>
      </c>
      <c r="K1962" s="139"/>
    </row>
    <row r="1963" spans="1:11" ht="12.75" x14ac:dyDescent="0.2">
      <c r="A1963" s="151"/>
      <c r="B1963" s="151"/>
      <c r="C1963" s="148"/>
      <c r="D1963" s="149" t="s">
        <v>238</v>
      </c>
      <c r="E1963" s="165"/>
      <c r="F1963" s="150"/>
      <c r="G1963" s="147"/>
      <c r="H1963" s="147">
        <v>21328</v>
      </c>
      <c r="I1963" s="152">
        <f>ROUND(H1963/$H$1968,4)</f>
        <v>0.312</v>
      </c>
      <c r="J1963" s="153" t="s">
        <v>238</v>
      </c>
      <c r="K1963" s="139"/>
    </row>
    <row r="1964" spans="1:11" ht="12.75" x14ac:dyDescent="0.2">
      <c r="A1964" s="151"/>
      <c r="B1964" s="151"/>
      <c r="C1964" s="148"/>
      <c r="D1964" s="149" t="s">
        <v>239</v>
      </c>
      <c r="E1964" s="165"/>
      <c r="F1964" s="150"/>
      <c r="G1964" s="147"/>
      <c r="H1964" s="147">
        <v>14330</v>
      </c>
      <c r="I1964" s="152">
        <f>ROUND(H1964/$H$1968,4)</f>
        <v>0.20960000000000001</v>
      </c>
      <c r="J1964" s="151" t="s">
        <v>239</v>
      </c>
      <c r="K1964" s="139"/>
    </row>
    <row r="1965" spans="1:11" ht="12.75" x14ac:dyDescent="0.2">
      <c r="A1965" s="151"/>
      <c r="B1965" s="151"/>
      <c r="C1965" s="148"/>
      <c r="D1965" s="149" t="s">
        <v>240</v>
      </c>
      <c r="E1965" s="165"/>
      <c r="F1965" s="150"/>
      <c r="G1965" s="147"/>
      <c r="H1965" s="147">
        <v>12035</v>
      </c>
      <c r="I1965" s="152">
        <f>ROUND(H1965/$H$1968,4)+0.0001</f>
        <v>0.17609999999999998</v>
      </c>
      <c r="J1965" s="151"/>
      <c r="K1965" s="139"/>
    </row>
    <row r="1966" spans="1:11" ht="12.75" x14ac:dyDescent="0.2">
      <c r="A1966" s="151"/>
      <c r="B1966" s="151"/>
      <c r="C1966" s="148"/>
      <c r="D1966" s="149" t="s">
        <v>242</v>
      </c>
      <c r="E1966" s="165"/>
      <c r="F1966" s="150"/>
      <c r="G1966" s="147"/>
      <c r="H1966" s="147">
        <v>440</v>
      </c>
      <c r="I1966" s="152">
        <f>ROUND(H1966/$H$1968,4)</f>
        <v>6.4000000000000003E-3</v>
      </c>
      <c r="J1966" s="151"/>
      <c r="K1966" s="139"/>
    </row>
    <row r="1967" spans="1:11" ht="12.75" x14ac:dyDescent="0.2">
      <c r="A1967" s="151"/>
      <c r="B1967" s="151"/>
      <c r="C1967" s="148"/>
      <c r="D1967" s="154" t="s">
        <v>244</v>
      </c>
      <c r="E1967" s="165"/>
      <c r="F1967" s="150"/>
      <c r="G1967" s="147"/>
      <c r="H1967" s="147">
        <v>2312</v>
      </c>
      <c r="I1967" s="152">
        <f>ROUND(H1967/$H$1968,4)</f>
        <v>3.3799999999999997E-2</v>
      </c>
      <c r="J1967" s="151"/>
      <c r="K1967" s="139"/>
    </row>
    <row r="1968" spans="1:11" ht="12.75" x14ac:dyDescent="0.2">
      <c r="A1968" s="151"/>
      <c r="B1968" s="151"/>
      <c r="C1968" s="148"/>
      <c r="D1968" s="148" t="s">
        <v>33</v>
      </c>
      <c r="E1968" s="165"/>
      <c r="F1968" s="150"/>
      <c r="G1968" s="147"/>
      <c r="H1968" s="155">
        <f>SUM(H1962:H1967)</f>
        <v>68365</v>
      </c>
      <c r="I1968" s="156">
        <f>SUM(I1962:I1967)</f>
        <v>1</v>
      </c>
      <c r="J1968" s="151"/>
      <c r="K1968" s="139"/>
    </row>
    <row r="1969" spans="1:11" ht="12.75" x14ac:dyDescent="0.2">
      <c r="A1969" s="151"/>
      <c r="B1969" s="151"/>
      <c r="C1969" s="148"/>
      <c r="D1969" s="147"/>
      <c r="E1969" s="165"/>
      <c r="F1969" s="150"/>
      <c r="G1969" s="147"/>
      <c r="H1969" s="147"/>
      <c r="I1969" s="147"/>
      <c r="J1969" s="151"/>
      <c r="K1969" s="139"/>
    </row>
    <row r="1970" spans="1:11" ht="12.75" x14ac:dyDescent="0.2">
      <c r="A1970" s="148" t="s">
        <v>22</v>
      </c>
      <c r="B1970" s="148" t="s">
        <v>402</v>
      </c>
      <c r="C1970" s="148" t="s">
        <v>234</v>
      </c>
      <c r="D1970" s="149" t="s">
        <v>195</v>
      </c>
      <c r="E1970" s="165" t="s">
        <v>401</v>
      </c>
      <c r="F1970" s="150">
        <v>526800</v>
      </c>
      <c r="G1970" s="147">
        <v>9255</v>
      </c>
      <c r="H1970" s="147"/>
      <c r="I1970" s="147"/>
      <c r="J1970" s="151"/>
      <c r="K1970" s="139"/>
    </row>
    <row r="1971" spans="1:11" ht="12.75" x14ac:dyDescent="0.2">
      <c r="A1971" s="151"/>
      <c r="B1971" s="151"/>
      <c r="C1971" s="148"/>
      <c r="D1971" s="149" t="s">
        <v>371</v>
      </c>
      <c r="E1971" s="165"/>
      <c r="F1971" s="150"/>
      <c r="G1971" s="147"/>
      <c r="H1971" s="147">
        <v>5728</v>
      </c>
      <c r="I1971" s="152">
        <f>ROUND(H1971/$H$1973,4)</f>
        <v>0.8679</v>
      </c>
      <c r="J1971" s="153" t="s">
        <v>240</v>
      </c>
      <c r="K1971" s="139"/>
    </row>
    <row r="1972" spans="1:11" ht="12.75" x14ac:dyDescent="0.2">
      <c r="A1972" s="151"/>
      <c r="B1972" s="151"/>
      <c r="C1972" s="148"/>
      <c r="D1972" s="154" t="s">
        <v>244</v>
      </c>
      <c r="E1972" s="165"/>
      <c r="F1972" s="150"/>
      <c r="G1972" s="147"/>
      <c r="H1972" s="147">
        <v>872</v>
      </c>
      <c r="I1972" s="152">
        <f>ROUND(H1972/$H$1973,4)</f>
        <v>0.1321</v>
      </c>
      <c r="J1972" s="151"/>
      <c r="K1972" s="139"/>
    </row>
    <row r="1973" spans="1:11" ht="12.75" x14ac:dyDescent="0.2">
      <c r="A1973" s="151"/>
      <c r="B1973" s="151"/>
      <c r="C1973" s="148"/>
      <c r="D1973" s="148" t="s">
        <v>33</v>
      </c>
      <c r="E1973" s="165"/>
      <c r="F1973" s="150"/>
      <c r="G1973" s="147"/>
      <c r="H1973" s="155">
        <f>SUM(H1971:H1972)</f>
        <v>6600</v>
      </c>
      <c r="I1973" s="156">
        <f>SUM(I1971:I1972)</f>
        <v>1</v>
      </c>
      <c r="J1973" s="151"/>
      <c r="K1973" s="139"/>
    </row>
    <row r="1974" spans="1:11" ht="12.75" x14ac:dyDescent="0.2">
      <c r="A1974" s="151"/>
      <c r="B1974" s="151"/>
      <c r="C1974" s="148"/>
      <c r="D1974" s="147"/>
      <c r="E1974" s="165"/>
      <c r="F1974" s="150"/>
      <c r="G1974" s="147"/>
      <c r="H1974" s="147"/>
      <c r="I1974" s="147"/>
      <c r="J1974" s="151"/>
      <c r="K1974" s="139"/>
    </row>
    <row r="1975" spans="1:11" ht="12.75" x14ac:dyDescent="0.2">
      <c r="A1975" s="148" t="s">
        <v>22</v>
      </c>
      <c r="B1975" s="148" t="s">
        <v>403</v>
      </c>
      <c r="C1975" s="148" t="s">
        <v>234</v>
      </c>
      <c r="D1975" s="154" t="s">
        <v>166</v>
      </c>
      <c r="E1975" s="165" t="s">
        <v>274</v>
      </c>
      <c r="F1975" s="150">
        <v>1803000</v>
      </c>
      <c r="G1975" s="147">
        <v>17710</v>
      </c>
      <c r="H1975" s="147"/>
      <c r="I1975" s="147"/>
      <c r="J1975" s="151"/>
      <c r="K1975" s="139"/>
    </row>
    <row r="1976" spans="1:11" ht="12.75" x14ac:dyDescent="0.2">
      <c r="A1976" s="151"/>
      <c r="B1976" s="151"/>
      <c r="C1976" s="148"/>
      <c r="D1976" s="149" t="s">
        <v>261</v>
      </c>
      <c r="E1976" s="165"/>
      <c r="F1976" s="150"/>
      <c r="G1976" s="147"/>
      <c r="H1976" s="147">
        <v>4509</v>
      </c>
      <c r="I1976" s="152">
        <f>ROUND(H1976/$H$1982,4)</f>
        <v>0.29199999999999998</v>
      </c>
      <c r="J1976" s="153" t="s">
        <v>261</v>
      </c>
      <c r="K1976" s="139"/>
    </row>
    <row r="1977" spans="1:11" ht="12.75" x14ac:dyDescent="0.2">
      <c r="A1977" s="151"/>
      <c r="B1977" s="151"/>
      <c r="C1977" s="148"/>
      <c r="D1977" s="149" t="s">
        <v>238</v>
      </c>
      <c r="E1977" s="165"/>
      <c r="F1977" s="150"/>
      <c r="G1977" s="147"/>
      <c r="H1977" s="147">
        <v>1669</v>
      </c>
      <c r="I1977" s="152">
        <f>ROUND(H1977/$H$1982,4)</f>
        <v>0.1081</v>
      </c>
      <c r="J1977" s="151"/>
      <c r="K1977" s="139"/>
    </row>
    <row r="1978" spans="1:11" ht="12.75" x14ac:dyDescent="0.2">
      <c r="A1978" s="151"/>
      <c r="B1978" s="151"/>
      <c r="C1978" s="148"/>
      <c r="D1978" s="149" t="s">
        <v>239</v>
      </c>
      <c r="E1978" s="165"/>
      <c r="F1978" s="150"/>
      <c r="G1978" s="147"/>
      <c r="H1978" s="147">
        <v>593</v>
      </c>
      <c r="I1978" s="152">
        <f>ROUND(H1978/$H$1982,4)+0.0001</f>
        <v>3.85E-2</v>
      </c>
      <c r="J1978" s="151"/>
      <c r="K1978" s="139"/>
    </row>
    <row r="1979" spans="1:11" ht="12.75" x14ac:dyDescent="0.2">
      <c r="A1979" s="151"/>
      <c r="B1979" s="151"/>
      <c r="C1979" s="148"/>
      <c r="D1979" s="149" t="s">
        <v>240</v>
      </c>
      <c r="E1979" s="165"/>
      <c r="F1979" s="150"/>
      <c r="G1979" s="147"/>
      <c r="H1979" s="147">
        <v>5800</v>
      </c>
      <c r="I1979" s="152">
        <f>ROUND(H1979/$H$1982,4)</f>
        <v>0.37559999999999999</v>
      </c>
      <c r="J1979" s="153" t="s">
        <v>240</v>
      </c>
      <c r="K1979" s="139"/>
    </row>
    <row r="1980" spans="1:11" ht="12.75" x14ac:dyDescent="0.2">
      <c r="A1980" s="151"/>
      <c r="B1980" s="151"/>
      <c r="C1980" s="148"/>
      <c r="D1980" s="149" t="s">
        <v>243</v>
      </c>
      <c r="E1980" s="165"/>
      <c r="F1980" s="150"/>
      <c r="G1980" s="147"/>
      <c r="H1980" s="147">
        <v>1711</v>
      </c>
      <c r="I1980" s="152">
        <f>ROUND(H1980/$H$1982,4)</f>
        <v>0.1108</v>
      </c>
      <c r="J1980" s="151"/>
      <c r="K1980" s="139"/>
    </row>
    <row r="1981" spans="1:11" ht="12.75" x14ac:dyDescent="0.2">
      <c r="A1981" s="151"/>
      <c r="B1981" s="151"/>
      <c r="C1981" s="148"/>
      <c r="D1981" s="154" t="s">
        <v>244</v>
      </c>
      <c r="E1981" s="165"/>
      <c r="F1981" s="150"/>
      <c r="G1981" s="147"/>
      <c r="H1981" s="147">
        <v>1158</v>
      </c>
      <c r="I1981" s="152">
        <f>ROUND(H1981/$H$1982,4)</f>
        <v>7.4999999999999997E-2</v>
      </c>
      <c r="J1981" s="151"/>
      <c r="K1981" s="139"/>
    </row>
    <row r="1982" spans="1:11" ht="12.75" x14ac:dyDescent="0.2">
      <c r="A1982" s="151"/>
      <c r="B1982" s="151"/>
      <c r="C1982" s="148"/>
      <c r="D1982" s="148" t="s">
        <v>33</v>
      </c>
      <c r="E1982" s="165"/>
      <c r="F1982" s="150"/>
      <c r="G1982" s="147"/>
      <c r="H1982" s="155">
        <f>SUM(H1976:H1981)</f>
        <v>15440</v>
      </c>
      <c r="I1982" s="156">
        <f>SUM(I1976:I1981)</f>
        <v>1</v>
      </c>
      <c r="J1982" s="151"/>
      <c r="K1982" s="139"/>
    </row>
    <row r="1983" spans="1:11" ht="12.75" x14ac:dyDescent="0.2">
      <c r="A1983" s="148" t="s">
        <v>22</v>
      </c>
      <c r="B1983" s="148">
        <v>892</v>
      </c>
      <c r="C1983" s="148" t="s">
        <v>234</v>
      </c>
      <c r="D1983" s="149" t="s">
        <v>95</v>
      </c>
      <c r="E1983" s="165" t="s">
        <v>280</v>
      </c>
      <c r="F1983" s="150">
        <v>1173700</v>
      </c>
      <c r="G1983" s="147">
        <v>12861</v>
      </c>
      <c r="H1983" s="147"/>
      <c r="I1983" s="152"/>
      <c r="J1983" s="151"/>
      <c r="K1983" s="139"/>
    </row>
    <row r="1984" spans="1:11" ht="12.75" x14ac:dyDescent="0.2">
      <c r="A1984" s="151"/>
      <c r="B1984" s="148"/>
      <c r="C1984" s="148"/>
      <c r="D1984" s="149" t="s">
        <v>240</v>
      </c>
      <c r="E1984" s="165"/>
      <c r="F1984" s="150"/>
      <c r="G1984" s="147"/>
      <c r="H1984" s="147">
        <v>910</v>
      </c>
      <c r="I1984" s="152">
        <f>ROUND(H1984/$H$1987,4)</f>
        <v>9.8299999999999998E-2</v>
      </c>
      <c r="J1984" s="151"/>
      <c r="K1984" s="139"/>
    </row>
    <row r="1985" spans="1:11" ht="12.75" x14ac:dyDescent="0.2">
      <c r="A1985" s="151"/>
      <c r="B1985" s="148"/>
      <c r="C1985" s="148"/>
      <c r="D1985" s="149" t="s">
        <v>303</v>
      </c>
      <c r="E1985" s="165"/>
      <c r="F1985" s="150"/>
      <c r="G1985" s="147"/>
      <c r="H1985" s="147">
        <v>7960</v>
      </c>
      <c r="I1985" s="152">
        <f>ROUND(H1985/$H$1987,4)</f>
        <v>0.85950000000000004</v>
      </c>
      <c r="J1985" s="153" t="s">
        <v>303</v>
      </c>
      <c r="K1985" s="139"/>
    </row>
    <row r="1986" spans="1:11" ht="12.75" x14ac:dyDescent="0.2">
      <c r="A1986" s="151"/>
      <c r="B1986" s="148"/>
      <c r="C1986" s="148"/>
      <c r="D1986" s="154" t="s">
        <v>244</v>
      </c>
      <c r="E1986" s="165"/>
      <c r="F1986" s="150"/>
      <c r="G1986" s="147"/>
      <c r="H1986" s="147">
        <v>391</v>
      </c>
      <c r="I1986" s="152">
        <f>ROUND(H1986/$H$1987,4)</f>
        <v>4.2200000000000001E-2</v>
      </c>
      <c r="J1986" s="151"/>
      <c r="K1986" s="139"/>
    </row>
    <row r="1987" spans="1:11" ht="12.75" x14ac:dyDescent="0.2">
      <c r="A1987" s="151"/>
      <c r="B1987" s="148"/>
      <c r="C1987" s="148"/>
      <c r="D1987" s="148" t="s">
        <v>33</v>
      </c>
      <c r="E1987" s="165"/>
      <c r="F1987" s="150"/>
      <c r="G1987" s="147"/>
      <c r="H1987" s="155">
        <f>SUM(H1984:H1986)</f>
        <v>9261</v>
      </c>
      <c r="I1987" s="156">
        <f>SUM(I1984:I1986)</f>
        <v>1</v>
      </c>
      <c r="J1987" s="151"/>
      <c r="K1987" s="139"/>
    </row>
    <row r="1988" spans="1:11" ht="12.75" x14ac:dyDescent="0.2">
      <c r="A1988" s="151"/>
      <c r="B1988" s="148"/>
      <c r="C1988" s="148"/>
      <c r="D1988" s="148"/>
      <c r="E1988" s="165"/>
      <c r="F1988" s="150"/>
      <c r="G1988" s="147"/>
      <c r="H1988" s="157"/>
      <c r="I1988" s="158"/>
      <c r="J1988" s="151"/>
      <c r="K1988" s="139"/>
    </row>
    <row r="1989" spans="1:11" ht="12.75" x14ac:dyDescent="0.2">
      <c r="A1989" s="148" t="s">
        <v>22</v>
      </c>
      <c r="B1989" s="148">
        <v>898</v>
      </c>
      <c r="C1989" s="148" t="s">
        <v>234</v>
      </c>
      <c r="D1989" s="149" t="s">
        <v>173</v>
      </c>
      <c r="E1989" s="165" t="s">
        <v>280</v>
      </c>
      <c r="F1989" s="150">
        <v>5064100</v>
      </c>
      <c r="G1989" s="147">
        <v>57456</v>
      </c>
      <c r="H1989" s="147"/>
      <c r="I1989" s="147"/>
      <c r="J1989" s="151"/>
      <c r="K1989" s="139"/>
    </row>
    <row r="1990" spans="1:11" ht="12.75" x14ac:dyDescent="0.2">
      <c r="A1990" s="151"/>
      <c r="B1990" s="151"/>
      <c r="C1990" s="148"/>
      <c r="D1990" s="149" t="s">
        <v>261</v>
      </c>
      <c r="E1990" s="165"/>
      <c r="F1990" s="150"/>
      <c r="G1990" s="147"/>
      <c r="H1990" s="147">
        <v>3907</v>
      </c>
      <c r="I1990" s="152">
        <f t="shared" ref="I1990:I1996" si="48">ROUND(H1990/$H$1997,4)</f>
        <v>0.1216</v>
      </c>
      <c r="J1990" s="151"/>
      <c r="K1990" s="139"/>
    </row>
    <row r="1991" spans="1:11" ht="12.75" x14ac:dyDescent="0.2">
      <c r="A1991" s="151"/>
      <c r="B1991" s="151"/>
      <c r="C1991" s="148"/>
      <c r="D1991" s="149" t="s">
        <v>238</v>
      </c>
      <c r="E1991" s="165"/>
      <c r="F1991" s="150"/>
      <c r="G1991" s="147"/>
      <c r="H1991" s="147">
        <v>7521</v>
      </c>
      <c r="I1991" s="152">
        <f t="shared" si="48"/>
        <v>0.23400000000000001</v>
      </c>
      <c r="J1991" s="151" t="s">
        <v>238</v>
      </c>
      <c r="K1991" s="139"/>
    </row>
    <row r="1992" spans="1:11" ht="12.75" x14ac:dyDescent="0.2">
      <c r="A1992" s="151"/>
      <c r="B1992" s="151"/>
      <c r="C1992" s="148"/>
      <c r="D1992" s="149" t="s">
        <v>241</v>
      </c>
      <c r="E1992" s="165"/>
      <c r="F1992" s="150"/>
      <c r="G1992" s="147"/>
      <c r="H1992" s="147">
        <v>725</v>
      </c>
      <c r="I1992" s="152">
        <f t="shared" si="48"/>
        <v>2.2599999999999999E-2</v>
      </c>
      <c r="J1992" s="151"/>
      <c r="K1992" s="139"/>
    </row>
    <row r="1993" spans="1:11" ht="12.75" x14ac:dyDescent="0.2">
      <c r="A1993" s="151"/>
      <c r="B1993" s="151"/>
      <c r="C1993" s="148"/>
      <c r="D1993" s="149" t="s">
        <v>240</v>
      </c>
      <c r="E1993" s="165"/>
      <c r="F1993" s="150"/>
      <c r="G1993" s="147"/>
      <c r="H1993" s="147">
        <v>18813</v>
      </c>
      <c r="I1993" s="152">
        <f t="shared" si="48"/>
        <v>0.58530000000000004</v>
      </c>
      <c r="J1993" s="153" t="s">
        <v>240</v>
      </c>
      <c r="K1993" s="139"/>
    </row>
    <row r="1994" spans="1:11" ht="12.75" x14ac:dyDescent="0.2">
      <c r="A1994" s="151"/>
      <c r="B1994" s="151"/>
      <c r="C1994" s="148"/>
      <c r="D1994" s="149" t="s">
        <v>242</v>
      </c>
      <c r="E1994" s="165"/>
      <c r="F1994" s="150"/>
      <c r="G1994" s="147"/>
      <c r="H1994" s="147">
        <v>274</v>
      </c>
      <c r="I1994" s="152">
        <f t="shared" si="48"/>
        <v>8.5000000000000006E-3</v>
      </c>
      <c r="J1994" s="151"/>
      <c r="K1994" s="139"/>
    </row>
    <row r="1995" spans="1:11" ht="12.75" x14ac:dyDescent="0.2">
      <c r="A1995" s="151"/>
      <c r="B1995" s="151"/>
      <c r="C1995" s="148"/>
      <c r="D1995" s="149" t="s">
        <v>243</v>
      </c>
      <c r="E1995" s="165"/>
      <c r="F1995" s="150"/>
      <c r="G1995" s="147"/>
      <c r="H1995" s="147">
        <v>698</v>
      </c>
      <c r="I1995" s="152">
        <f t="shared" si="48"/>
        <v>2.1700000000000001E-2</v>
      </c>
      <c r="J1995" s="151"/>
      <c r="K1995" s="139"/>
    </row>
    <row r="1996" spans="1:11" ht="12.75" x14ac:dyDescent="0.2">
      <c r="A1996" s="151"/>
      <c r="B1996" s="151"/>
      <c r="C1996" s="148"/>
      <c r="D1996" s="154" t="s">
        <v>244</v>
      </c>
      <c r="E1996" s="165"/>
      <c r="F1996" s="150"/>
      <c r="G1996" s="147"/>
      <c r="H1996" s="147">
        <v>202</v>
      </c>
      <c r="I1996" s="152">
        <f t="shared" si="48"/>
        <v>6.3E-3</v>
      </c>
      <c r="J1996" s="151"/>
      <c r="K1996" s="139"/>
    </row>
    <row r="1997" spans="1:11" ht="12.75" x14ac:dyDescent="0.2">
      <c r="A1997" s="151"/>
      <c r="B1997" s="151"/>
      <c r="C1997" s="148"/>
      <c r="D1997" s="148" t="s">
        <v>33</v>
      </c>
      <c r="E1997" s="165"/>
      <c r="F1997" s="150"/>
      <c r="G1997" s="147"/>
      <c r="H1997" s="155">
        <f>SUM(H1990:H1996)</f>
        <v>32140</v>
      </c>
      <c r="I1997" s="156">
        <f>SUM(I1990:I1996)</f>
        <v>1</v>
      </c>
      <c r="J1997" s="151"/>
      <c r="K1997" s="139"/>
    </row>
    <row r="1998" spans="1:11" ht="12.75" x14ac:dyDescent="0.2">
      <c r="A1998" s="151"/>
      <c r="B1998" s="148"/>
      <c r="C1998" s="148"/>
      <c r="D1998" s="148"/>
      <c r="E1998" s="165"/>
      <c r="F1998" s="150"/>
      <c r="G1998" s="147"/>
      <c r="H1998" s="157"/>
      <c r="I1998" s="158"/>
      <c r="J1998" s="151"/>
      <c r="K1998" s="139"/>
    </row>
    <row r="1999" spans="1:11" ht="12.75" x14ac:dyDescent="0.2">
      <c r="A1999" s="148" t="s">
        <v>22</v>
      </c>
      <c r="B1999" s="148">
        <v>808</v>
      </c>
      <c r="C1999" s="148" t="s">
        <v>234</v>
      </c>
      <c r="D1999" s="149" t="s">
        <v>88</v>
      </c>
      <c r="E1999" s="165" t="s">
        <v>281</v>
      </c>
      <c r="F1999" s="150">
        <v>4023777</v>
      </c>
      <c r="G1999" s="147">
        <v>38190</v>
      </c>
      <c r="H1999" s="147"/>
      <c r="I1999" s="152"/>
      <c r="J1999" s="151"/>
      <c r="K1999" s="139"/>
    </row>
    <row r="2000" spans="1:11" ht="12.75" x14ac:dyDescent="0.2">
      <c r="A2000" s="151"/>
      <c r="B2000" s="148"/>
      <c r="C2000" s="148"/>
      <c r="D2000" s="149" t="s">
        <v>240</v>
      </c>
      <c r="E2000" s="165"/>
      <c r="F2000" s="150"/>
      <c r="G2000" s="147"/>
      <c r="H2000" s="147">
        <v>3124</v>
      </c>
      <c r="I2000" s="152">
        <f>ROUND(H2000/$H$2003,4)</f>
        <v>0.12859999999999999</v>
      </c>
      <c r="J2000" s="151"/>
      <c r="K2000" s="139"/>
    </row>
    <row r="2001" spans="1:11" ht="12.75" x14ac:dyDescent="0.2">
      <c r="A2001" s="151"/>
      <c r="B2001" s="148"/>
      <c r="C2001" s="148"/>
      <c r="D2001" s="149" t="s">
        <v>243</v>
      </c>
      <c r="E2001" s="165"/>
      <c r="F2001" s="150"/>
      <c r="G2001" s="147"/>
      <c r="H2001" s="147">
        <v>19926</v>
      </c>
      <c r="I2001" s="152">
        <f>ROUND(H2001/$H$2003,4)</f>
        <v>0.82</v>
      </c>
      <c r="J2001" s="153" t="s">
        <v>293</v>
      </c>
      <c r="K2001" s="139"/>
    </row>
    <row r="2002" spans="1:11" ht="12.75" x14ac:dyDescent="0.2">
      <c r="A2002" s="151"/>
      <c r="B2002" s="148"/>
      <c r="C2002" s="148"/>
      <c r="D2002" s="154" t="s">
        <v>244</v>
      </c>
      <c r="E2002" s="165"/>
      <c r="F2002" s="150"/>
      <c r="G2002" s="147"/>
      <c r="H2002" s="147">
        <v>1249</v>
      </c>
      <c r="I2002" s="152">
        <f>ROUND(H2002/$H$2003,4)</f>
        <v>5.1400000000000001E-2</v>
      </c>
      <c r="J2002" s="151"/>
      <c r="K2002" s="139"/>
    </row>
    <row r="2003" spans="1:11" ht="12.75" x14ac:dyDescent="0.2">
      <c r="A2003" s="151"/>
      <c r="B2003" s="148"/>
      <c r="C2003" s="148"/>
      <c r="D2003" s="148" t="s">
        <v>33</v>
      </c>
      <c r="E2003" s="165"/>
      <c r="F2003" s="150"/>
      <c r="G2003" s="147"/>
      <c r="H2003" s="155">
        <f>SUM(H2000:H2002)</f>
        <v>24299</v>
      </c>
      <c r="I2003" s="156">
        <f>SUM(I2000:I2002)</f>
        <v>0.99999999999999989</v>
      </c>
      <c r="J2003" s="151"/>
      <c r="K2003" s="139"/>
    </row>
    <row r="2004" spans="1:11" ht="12.75" x14ac:dyDescent="0.2">
      <c r="A2004" s="151"/>
      <c r="B2004" s="148"/>
      <c r="C2004" s="148"/>
      <c r="D2004" s="147"/>
      <c r="E2004" s="165"/>
      <c r="F2004" s="150"/>
      <c r="G2004" s="147"/>
      <c r="H2004" s="147"/>
      <c r="I2004" s="152"/>
      <c r="J2004" s="151"/>
      <c r="K2004" s="139"/>
    </row>
    <row r="2005" spans="1:11" ht="12.75" x14ac:dyDescent="0.2">
      <c r="A2005" s="148" t="s">
        <v>22</v>
      </c>
      <c r="B2005" s="148">
        <v>887</v>
      </c>
      <c r="C2005" s="148" t="s">
        <v>234</v>
      </c>
      <c r="D2005" s="149" t="s">
        <v>37</v>
      </c>
      <c r="E2005" s="165" t="s">
        <v>281</v>
      </c>
      <c r="F2005" s="150">
        <v>9481553</v>
      </c>
      <c r="G2005" s="147">
        <v>74052</v>
      </c>
      <c r="H2005" s="147"/>
      <c r="I2005" s="152"/>
      <c r="J2005" s="151"/>
      <c r="K2005" s="139"/>
    </row>
    <row r="2006" spans="1:11" ht="12.75" x14ac:dyDescent="0.2">
      <c r="A2006" s="151"/>
      <c r="B2006" s="151"/>
      <c r="C2006" s="148"/>
      <c r="D2006" s="149" t="s">
        <v>238</v>
      </c>
      <c r="E2006" s="165"/>
      <c r="F2006" s="150"/>
      <c r="G2006" s="147"/>
      <c r="H2006" s="147">
        <v>7054</v>
      </c>
      <c r="I2006" s="152">
        <f>ROUND(H2006/$H$2011,4)</f>
        <v>0.18060000000000001</v>
      </c>
      <c r="J2006" s="151" t="s">
        <v>238</v>
      </c>
      <c r="K2006" s="139"/>
    </row>
    <row r="2007" spans="1:11" ht="12.75" x14ac:dyDescent="0.2">
      <c r="A2007" s="151"/>
      <c r="B2007" s="151"/>
      <c r="C2007" s="148"/>
      <c r="D2007" s="149" t="s">
        <v>241</v>
      </c>
      <c r="E2007" s="165"/>
      <c r="F2007" s="150"/>
      <c r="G2007" s="147"/>
      <c r="H2007" s="147">
        <v>533</v>
      </c>
      <c r="I2007" s="152">
        <f>ROUND(H2007/$H$2011,4)</f>
        <v>1.3599999999999999E-2</v>
      </c>
      <c r="J2007" s="151"/>
      <c r="K2007" s="139"/>
    </row>
    <row r="2008" spans="1:11" ht="12.75" x14ac:dyDescent="0.2">
      <c r="A2008" s="151"/>
      <c r="B2008" s="151"/>
      <c r="C2008" s="148"/>
      <c r="D2008" s="149" t="s">
        <v>240</v>
      </c>
      <c r="E2008" s="165"/>
      <c r="F2008" s="150"/>
      <c r="G2008" s="147"/>
      <c r="H2008" s="147">
        <v>4511</v>
      </c>
      <c r="I2008" s="152">
        <f>ROUND(H2008/$H$2011,4)</f>
        <v>0.11550000000000001</v>
      </c>
      <c r="J2008" s="151"/>
      <c r="K2008" s="139"/>
    </row>
    <row r="2009" spans="1:11" ht="12.75" x14ac:dyDescent="0.2">
      <c r="A2009" s="151"/>
      <c r="B2009" s="151"/>
      <c r="C2009" s="148"/>
      <c r="D2009" s="149" t="s">
        <v>262</v>
      </c>
      <c r="E2009" s="165"/>
      <c r="F2009" s="150"/>
      <c r="G2009" s="147"/>
      <c r="H2009" s="147">
        <v>21017</v>
      </c>
      <c r="I2009" s="152">
        <f>ROUND(H2009/$H$2011,4)</f>
        <v>0.53820000000000001</v>
      </c>
      <c r="J2009" s="153" t="s">
        <v>262</v>
      </c>
      <c r="K2009" s="139"/>
    </row>
    <row r="2010" spans="1:11" ht="12.75" x14ac:dyDescent="0.2">
      <c r="A2010" s="151"/>
      <c r="B2010" s="151"/>
      <c r="C2010" s="148"/>
      <c r="D2010" s="154" t="s">
        <v>244</v>
      </c>
      <c r="E2010" s="165"/>
      <c r="F2010" s="150"/>
      <c r="G2010" s="147"/>
      <c r="H2010" s="147">
        <v>5933</v>
      </c>
      <c r="I2010" s="152">
        <f>ROUND(H2010/$H$2011,4)+0.0002</f>
        <v>0.15210000000000001</v>
      </c>
      <c r="J2010" s="151"/>
      <c r="K2010" s="139"/>
    </row>
    <row r="2011" spans="1:11" ht="12.75" x14ac:dyDescent="0.2">
      <c r="A2011" s="151"/>
      <c r="B2011" s="151"/>
      <c r="C2011" s="148"/>
      <c r="D2011" s="148" t="s">
        <v>33</v>
      </c>
      <c r="E2011" s="165"/>
      <c r="F2011" s="150"/>
      <c r="G2011" s="147"/>
      <c r="H2011" s="155">
        <f>SUM(H2006:H2010)</f>
        <v>39048</v>
      </c>
      <c r="I2011" s="156">
        <f>SUM(I2006:I2010)</f>
        <v>1</v>
      </c>
      <c r="J2011" s="151"/>
      <c r="K2011" s="139"/>
    </row>
    <row r="2012" spans="1:11" ht="12.75" x14ac:dyDescent="0.2">
      <c r="A2012" s="151"/>
      <c r="B2012" s="151"/>
      <c r="C2012" s="148"/>
      <c r="D2012" s="147"/>
      <c r="E2012" s="165"/>
      <c r="F2012" s="150"/>
      <c r="G2012" s="147"/>
      <c r="H2012" s="147"/>
      <c r="I2012" s="152"/>
      <c r="J2012" s="151"/>
      <c r="K2012" s="139"/>
    </row>
    <row r="2013" spans="1:11" ht="12.75" x14ac:dyDescent="0.2">
      <c r="A2013" s="148" t="s">
        <v>22</v>
      </c>
      <c r="B2013" s="148">
        <v>894</v>
      </c>
      <c r="C2013" s="148" t="s">
        <v>234</v>
      </c>
      <c r="D2013" s="149" t="s">
        <v>64</v>
      </c>
      <c r="E2013" s="165" t="s">
        <v>281</v>
      </c>
      <c r="F2013" s="150">
        <v>1720879</v>
      </c>
      <c r="G2013" s="147">
        <v>12478</v>
      </c>
      <c r="H2013" s="147"/>
      <c r="I2013" s="152"/>
      <c r="J2013" s="151"/>
      <c r="K2013" s="139"/>
    </row>
    <row r="2014" spans="1:11" ht="12.75" x14ac:dyDescent="0.2">
      <c r="A2014" s="151"/>
      <c r="B2014" s="151"/>
      <c r="C2014" s="148"/>
      <c r="D2014" s="149" t="s">
        <v>240</v>
      </c>
      <c r="E2014" s="165"/>
      <c r="F2014" s="150"/>
      <c r="G2014" s="147"/>
      <c r="H2014" s="147">
        <v>4886</v>
      </c>
      <c r="I2014" s="152">
        <f>ROUND(H2014/$H$2018,4)</f>
        <v>0.65239999999999998</v>
      </c>
      <c r="J2014" s="153" t="s">
        <v>240</v>
      </c>
      <c r="K2014" s="139"/>
    </row>
    <row r="2015" spans="1:11" ht="12.75" x14ac:dyDescent="0.2">
      <c r="A2015" s="151"/>
      <c r="B2015" s="151"/>
      <c r="C2015" s="148"/>
      <c r="D2015" s="149" t="s">
        <v>262</v>
      </c>
      <c r="E2015" s="165"/>
      <c r="F2015" s="150"/>
      <c r="G2015" s="147"/>
      <c r="H2015" s="147">
        <v>65</v>
      </c>
      <c r="I2015" s="152">
        <f>ROUND(H2015/$H$2018,4)</f>
        <v>8.6999999999999994E-3</v>
      </c>
      <c r="J2015" s="151"/>
      <c r="K2015" s="139"/>
    </row>
    <row r="2016" spans="1:11" ht="12.75" x14ac:dyDescent="0.2">
      <c r="A2016" s="151"/>
      <c r="B2016" s="151"/>
      <c r="C2016" s="148"/>
      <c r="D2016" s="154" t="s">
        <v>244</v>
      </c>
      <c r="E2016" s="165"/>
      <c r="F2016" s="150"/>
      <c r="G2016" s="147"/>
      <c r="H2016" s="147">
        <v>370</v>
      </c>
      <c r="I2016" s="152">
        <f>ROUND(H2016/$H$2018,4)</f>
        <v>4.9399999999999999E-2</v>
      </c>
      <c r="J2016" s="151"/>
      <c r="K2016" s="139"/>
    </row>
    <row r="2017" spans="1:11" ht="12.75" x14ac:dyDescent="0.2">
      <c r="A2017" s="151"/>
      <c r="B2017" s="151"/>
      <c r="C2017" s="148"/>
      <c r="D2017" s="149" t="s">
        <v>285</v>
      </c>
      <c r="E2017" s="165"/>
      <c r="F2017" s="150"/>
      <c r="G2017" s="147"/>
      <c r="H2017" s="147">
        <v>2168</v>
      </c>
      <c r="I2017" s="152">
        <f>ROUND(H2017/$H$2018,4)</f>
        <v>0.28949999999999998</v>
      </c>
      <c r="J2017" s="151"/>
      <c r="K2017" s="139"/>
    </row>
    <row r="2018" spans="1:11" ht="12.75" x14ac:dyDescent="0.2">
      <c r="A2018" s="151"/>
      <c r="B2018" s="151"/>
      <c r="C2018" s="148"/>
      <c r="D2018" s="148" t="s">
        <v>33</v>
      </c>
      <c r="E2018" s="165"/>
      <c r="F2018" s="150"/>
      <c r="G2018" s="147"/>
      <c r="H2018" s="155">
        <f>SUM(H2014:H2017)</f>
        <v>7489</v>
      </c>
      <c r="I2018" s="156">
        <f>SUM(I2014:I2017)</f>
        <v>1</v>
      </c>
      <c r="J2018" s="151"/>
      <c r="K2018" s="139"/>
    </row>
    <row r="2019" spans="1:11" ht="12.75" x14ac:dyDescent="0.2">
      <c r="A2019" s="148" t="s">
        <v>22</v>
      </c>
      <c r="B2019" s="148">
        <v>897</v>
      </c>
      <c r="C2019" s="148" t="s">
        <v>234</v>
      </c>
      <c r="D2019" s="149" t="s">
        <v>89</v>
      </c>
      <c r="E2019" s="165" t="s">
        <v>281</v>
      </c>
      <c r="F2019" s="150">
        <v>6058965</v>
      </c>
      <c r="G2019" s="147">
        <v>57604</v>
      </c>
      <c r="H2019" s="147"/>
      <c r="I2019" s="152"/>
      <c r="J2019" s="151"/>
      <c r="K2019" s="139"/>
    </row>
    <row r="2020" spans="1:11" ht="12.75" x14ac:dyDescent="0.2">
      <c r="A2020" s="151"/>
      <c r="B2020" s="148"/>
      <c r="C2020" s="148"/>
      <c r="D2020" s="149" t="s">
        <v>240</v>
      </c>
      <c r="E2020" s="165"/>
      <c r="F2020" s="150"/>
      <c r="G2020" s="147"/>
      <c r="H2020" s="147">
        <v>4447</v>
      </c>
      <c r="I2020" s="152">
        <f>ROUND(H2020/$H$2024,4)</f>
        <v>0.17030000000000001</v>
      </c>
      <c r="J2020" s="151"/>
      <c r="K2020" s="139"/>
    </row>
    <row r="2021" spans="1:11" ht="12.75" x14ac:dyDescent="0.2">
      <c r="A2021" s="151"/>
      <c r="B2021" s="148"/>
      <c r="C2021" s="148"/>
      <c r="D2021" s="149" t="s">
        <v>262</v>
      </c>
      <c r="E2021" s="165"/>
      <c r="F2021" s="150"/>
      <c r="G2021" s="147"/>
      <c r="H2021" s="147">
        <v>317</v>
      </c>
      <c r="I2021" s="152">
        <f>ROUND(H2021/$H$2024,4)</f>
        <v>1.21E-2</v>
      </c>
      <c r="J2021" s="151"/>
      <c r="K2021" s="139"/>
    </row>
    <row r="2022" spans="1:11" ht="12.75" x14ac:dyDescent="0.2">
      <c r="A2022" s="151"/>
      <c r="B2022" s="148"/>
      <c r="C2022" s="148"/>
      <c r="D2022" s="149" t="s">
        <v>243</v>
      </c>
      <c r="E2022" s="165"/>
      <c r="F2022" s="150"/>
      <c r="G2022" s="147"/>
      <c r="H2022" s="147">
        <v>18967</v>
      </c>
      <c r="I2022" s="152">
        <f>ROUND(H2022/$H$2024,4)</f>
        <v>0.72619999999999996</v>
      </c>
      <c r="J2022" s="153" t="s">
        <v>293</v>
      </c>
      <c r="K2022" s="139"/>
    </row>
    <row r="2023" spans="1:11" ht="12.75" x14ac:dyDescent="0.2">
      <c r="A2023" s="151"/>
      <c r="B2023" s="148"/>
      <c r="C2023" s="148"/>
      <c r="D2023" s="154" t="s">
        <v>244</v>
      </c>
      <c r="E2023" s="165"/>
      <c r="F2023" s="150"/>
      <c r="G2023" s="147"/>
      <c r="H2023" s="147">
        <v>2387</v>
      </c>
      <c r="I2023" s="152">
        <f>ROUND(H2023/$H$2024,4)</f>
        <v>9.1399999999999995E-2</v>
      </c>
      <c r="J2023" s="151"/>
      <c r="K2023" s="139"/>
    </row>
    <row r="2024" spans="1:11" ht="12.75" x14ac:dyDescent="0.2">
      <c r="A2024" s="151"/>
      <c r="B2024" s="148"/>
      <c r="C2024" s="148"/>
      <c r="D2024" s="148" t="s">
        <v>33</v>
      </c>
      <c r="E2024" s="165"/>
      <c r="F2024" s="150"/>
      <c r="G2024" s="147"/>
      <c r="H2024" s="155">
        <f>SUM(H2020:H2023)</f>
        <v>26118</v>
      </c>
      <c r="I2024" s="156">
        <f>SUM(I2020:I2023)</f>
        <v>1</v>
      </c>
      <c r="J2024" s="151"/>
      <c r="K2024" s="139"/>
    </row>
    <row r="2025" spans="1:11" ht="12.75" x14ac:dyDescent="0.2">
      <c r="A2025" s="151"/>
      <c r="B2025" s="148"/>
      <c r="C2025" s="148"/>
      <c r="D2025" s="148"/>
      <c r="E2025" s="165"/>
      <c r="F2025" s="150"/>
      <c r="G2025" s="147"/>
      <c r="H2025" s="147"/>
      <c r="I2025" s="152"/>
      <c r="J2025" s="151"/>
      <c r="K2025" s="139"/>
    </row>
    <row r="2026" spans="1:11" ht="12.75" x14ac:dyDescent="0.2">
      <c r="A2026" s="148" t="s">
        <v>22</v>
      </c>
      <c r="B2026" s="148">
        <v>804</v>
      </c>
      <c r="C2026" s="148" t="s">
        <v>234</v>
      </c>
      <c r="D2026" s="147" t="s">
        <v>104</v>
      </c>
      <c r="E2026" s="204" t="s">
        <v>404</v>
      </c>
      <c r="F2026" s="150">
        <v>6030000</v>
      </c>
      <c r="G2026" s="147">
        <v>74582</v>
      </c>
      <c r="H2026" s="147"/>
      <c r="I2026" s="152"/>
      <c r="J2026" s="151"/>
      <c r="K2026" s="139"/>
    </row>
    <row r="2027" spans="1:11" ht="12.75" x14ac:dyDescent="0.2">
      <c r="A2027" s="151"/>
      <c r="B2027" s="148"/>
      <c r="C2027" s="148"/>
      <c r="D2027" s="149" t="s">
        <v>240</v>
      </c>
      <c r="E2027" s="165"/>
      <c r="F2027" s="150"/>
      <c r="G2027" s="147"/>
      <c r="H2027" s="147">
        <v>19404</v>
      </c>
      <c r="I2027" s="152">
        <f>ROUND(H2027/$H$2029,4)</f>
        <v>0.35730000000000001</v>
      </c>
      <c r="J2027" s="153" t="s">
        <v>240</v>
      </c>
      <c r="K2027" s="139"/>
    </row>
    <row r="2028" spans="1:11" ht="12.75" x14ac:dyDescent="0.2">
      <c r="A2028" s="151"/>
      <c r="B2028" s="148"/>
      <c r="C2028" s="148"/>
      <c r="D2028" s="154" t="s">
        <v>244</v>
      </c>
      <c r="E2028" s="165"/>
      <c r="F2028" s="150"/>
      <c r="G2028" s="147"/>
      <c r="H2028" s="147">
        <v>34898</v>
      </c>
      <c r="I2028" s="152">
        <f>ROUND(H2028/$H$2029,4)</f>
        <v>0.64270000000000005</v>
      </c>
      <c r="J2028" s="159" t="s">
        <v>244</v>
      </c>
      <c r="K2028" s="139"/>
    </row>
    <row r="2029" spans="1:11" ht="12.75" x14ac:dyDescent="0.2">
      <c r="A2029" s="151"/>
      <c r="B2029" s="148"/>
      <c r="C2029" s="148"/>
      <c r="D2029" s="148" t="s">
        <v>33</v>
      </c>
      <c r="E2029" s="165"/>
      <c r="F2029" s="150"/>
      <c r="G2029" s="147"/>
      <c r="H2029" s="155">
        <f>SUM(H2027:H2028)</f>
        <v>54302</v>
      </c>
      <c r="I2029" s="156">
        <f>SUM(I2027:I2028)</f>
        <v>1</v>
      </c>
      <c r="J2029" s="151"/>
      <c r="K2029" s="139"/>
    </row>
    <row r="2030" spans="1:11" ht="12.75" x14ac:dyDescent="0.2">
      <c r="A2030" s="147"/>
      <c r="B2030" s="147"/>
      <c r="C2030" s="169"/>
      <c r="D2030" s="147"/>
      <c r="E2030" s="165"/>
      <c r="F2030" s="147"/>
      <c r="G2030" s="147"/>
      <c r="H2030" s="147"/>
      <c r="I2030" s="147"/>
      <c r="J2030" s="147"/>
      <c r="K2030" s="139"/>
    </row>
    <row r="2031" spans="1:11" ht="12.75" x14ac:dyDescent="0.2">
      <c r="A2031" s="148" t="s">
        <v>22</v>
      </c>
      <c r="B2031" s="148" t="s">
        <v>435</v>
      </c>
      <c r="C2031" s="148" t="s">
        <v>289</v>
      </c>
      <c r="D2031" s="149" t="s">
        <v>436</v>
      </c>
      <c r="E2031" s="165">
        <v>37181</v>
      </c>
      <c r="F2031" s="150">
        <v>11098000</v>
      </c>
      <c r="G2031" s="147">
        <v>82020</v>
      </c>
      <c r="H2031" s="147"/>
      <c r="I2031" s="152"/>
      <c r="J2031" s="151"/>
      <c r="K2031" s="139"/>
    </row>
    <row r="2032" spans="1:11" ht="12.75" x14ac:dyDescent="0.2">
      <c r="A2032" s="151"/>
      <c r="B2032" s="148"/>
      <c r="C2032" s="148"/>
      <c r="D2032" s="149" t="s">
        <v>261</v>
      </c>
      <c r="E2032" s="165"/>
      <c r="F2032" s="150"/>
      <c r="G2032" s="147"/>
      <c r="H2032" s="147">
        <v>7681</v>
      </c>
      <c r="I2032" s="152">
        <f>ROUND(H2032/$H$2035,4)</f>
        <v>0.1313</v>
      </c>
      <c r="J2032" s="151"/>
      <c r="K2032" s="139"/>
    </row>
    <row r="2033" spans="1:11" ht="12.75" x14ac:dyDescent="0.2">
      <c r="A2033" s="151"/>
      <c r="B2033" s="148"/>
      <c r="C2033" s="148"/>
      <c r="D2033" s="149" t="s">
        <v>262</v>
      </c>
      <c r="E2033" s="165"/>
      <c r="F2033" s="150"/>
      <c r="G2033" s="147"/>
      <c r="H2033" s="147">
        <v>350</v>
      </c>
      <c r="I2033" s="152">
        <f>ROUND(H2033/$H$2035,4)</f>
        <v>6.0000000000000001E-3</v>
      </c>
      <c r="J2033" s="151"/>
      <c r="K2033" s="139"/>
    </row>
    <row r="2034" spans="1:11" ht="12.75" x14ac:dyDescent="0.2">
      <c r="A2034" s="151"/>
      <c r="B2034" s="148"/>
      <c r="C2034" s="148"/>
      <c r="D2034" s="149" t="s">
        <v>288</v>
      </c>
      <c r="E2034" s="165"/>
      <c r="F2034" s="150"/>
      <c r="G2034" s="147"/>
      <c r="H2034" s="147">
        <v>50468</v>
      </c>
      <c r="I2034" s="152">
        <f>ROUND(H2034/$H$2035,4)</f>
        <v>0.86270000000000002</v>
      </c>
      <c r="J2034" s="151" t="s">
        <v>288</v>
      </c>
      <c r="K2034" s="139"/>
    </row>
    <row r="2035" spans="1:11" ht="12.75" x14ac:dyDescent="0.2">
      <c r="A2035" s="151"/>
      <c r="B2035" s="148"/>
      <c r="C2035" s="148"/>
      <c r="D2035" s="148" t="s">
        <v>33</v>
      </c>
      <c r="E2035" s="165"/>
      <c r="F2035" s="150"/>
      <c r="G2035" s="147"/>
      <c r="H2035" s="155">
        <f>SUM(H2032:H2034)</f>
        <v>58499</v>
      </c>
      <c r="I2035" s="156">
        <f>SUM(I2032:I2034)</f>
        <v>1</v>
      </c>
      <c r="J2035" s="151"/>
      <c r="K2035" s="139"/>
    </row>
    <row r="2036" spans="1:11" ht="12.75" x14ac:dyDescent="0.2">
      <c r="A2036" s="151"/>
      <c r="B2036" s="148"/>
      <c r="C2036" s="148"/>
      <c r="D2036" s="148"/>
      <c r="E2036" s="165"/>
      <c r="F2036" s="150"/>
      <c r="G2036" s="147"/>
      <c r="H2036" s="147"/>
      <c r="I2036" s="152"/>
      <c r="J2036" s="151"/>
      <c r="K2036" s="139"/>
    </row>
    <row r="2037" spans="1:11" ht="12.75" x14ac:dyDescent="0.2">
      <c r="A2037" s="148" t="s">
        <v>22</v>
      </c>
      <c r="B2037" s="148">
        <v>850</v>
      </c>
      <c r="C2037" s="148" t="s">
        <v>289</v>
      </c>
      <c r="D2037" s="149" t="s">
        <v>437</v>
      </c>
      <c r="E2037" s="165">
        <v>37015</v>
      </c>
      <c r="F2037" s="150">
        <v>12574594</v>
      </c>
      <c r="G2037" s="147">
        <v>90727</v>
      </c>
      <c r="H2037" s="147"/>
      <c r="I2037" s="147"/>
      <c r="J2037" s="151"/>
      <c r="K2037" s="139"/>
    </row>
    <row r="2038" spans="1:11" ht="12.75" x14ac:dyDescent="0.2">
      <c r="A2038" s="151"/>
      <c r="B2038" s="151"/>
      <c r="C2038" s="148"/>
      <c r="D2038" s="149" t="s">
        <v>261</v>
      </c>
      <c r="E2038" s="165"/>
      <c r="F2038" s="150"/>
      <c r="G2038" s="147"/>
      <c r="H2038" s="147">
        <v>7273</v>
      </c>
      <c r="I2038" s="152">
        <f>H2038/$H$2045</f>
        <v>0.11754343434343434</v>
      </c>
      <c r="J2038" s="151"/>
      <c r="K2038" s="139"/>
    </row>
    <row r="2039" spans="1:11" ht="12.75" x14ac:dyDescent="0.2">
      <c r="A2039" s="151"/>
      <c r="B2039" s="151"/>
      <c r="C2039" s="148"/>
      <c r="D2039" s="149" t="s">
        <v>238</v>
      </c>
      <c r="E2039" s="165"/>
      <c r="F2039" s="150"/>
      <c r="G2039" s="147"/>
      <c r="H2039" s="147">
        <v>30330</v>
      </c>
      <c r="I2039" s="152">
        <f t="shared" ref="I2039:I2044" si="49">H2039/$H$2045</f>
        <v>0.49018181818181816</v>
      </c>
      <c r="J2039" s="151" t="s">
        <v>238</v>
      </c>
      <c r="K2039" s="139"/>
    </row>
    <row r="2040" spans="1:11" ht="12.75" x14ac:dyDescent="0.2">
      <c r="A2040" s="151"/>
      <c r="B2040" s="151"/>
      <c r="C2040" s="148"/>
      <c r="D2040" s="149" t="s">
        <v>284</v>
      </c>
      <c r="E2040" s="165"/>
      <c r="F2040" s="150"/>
      <c r="G2040" s="147"/>
      <c r="H2040" s="147">
        <v>1237</v>
      </c>
      <c r="I2040" s="152">
        <f t="shared" si="49"/>
        <v>1.9991919191919193E-2</v>
      </c>
      <c r="J2040" s="151"/>
      <c r="K2040" s="139"/>
    </row>
    <row r="2041" spans="1:11" ht="12.75" x14ac:dyDescent="0.2">
      <c r="A2041" s="151"/>
      <c r="B2041" s="151"/>
      <c r="C2041" s="148"/>
      <c r="D2041" s="149" t="s">
        <v>262</v>
      </c>
      <c r="E2041" s="165"/>
      <c r="F2041" s="150"/>
      <c r="G2041" s="147"/>
      <c r="H2041" s="147">
        <v>2419</v>
      </c>
      <c r="I2041" s="152">
        <f t="shared" si="49"/>
        <v>3.9094949494949495E-2</v>
      </c>
      <c r="J2041" s="153"/>
      <c r="K2041" s="139"/>
    </row>
    <row r="2042" spans="1:11" ht="12.75" x14ac:dyDescent="0.2">
      <c r="A2042" s="151"/>
      <c r="B2042" s="151"/>
      <c r="C2042" s="148"/>
      <c r="D2042" s="149" t="s">
        <v>293</v>
      </c>
      <c r="E2042" s="165"/>
      <c r="F2042" s="150"/>
      <c r="G2042" s="147"/>
      <c r="H2042" s="147">
        <v>1320</v>
      </c>
      <c r="I2042" s="152">
        <f t="shared" si="49"/>
        <v>2.1333333333333333E-2</v>
      </c>
      <c r="J2042" s="151"/>
      <c r="K2042" s="139"/>
    </row>
    <row r="2043" spans="1:11" ht="12.75" x14ac:dyDescent="0.2">
      <c r="A2043" s="151"/>
      <c r="B2043" s="151"/>
      <c r="C2043" s="148"/>
      <c r="D2043" s="149" t="s">
        <v>288</v>
      </c>
      <c r="E2043" s="165"/>
      <c r="F2043" s="150"/>
      <c r="G2043" s="147"/>
      <c r="H2043" s="147">
        <v>16980</v>
      </c>
      <c r="I2043" s="152">
        <f t="shared" si="49"/>
        <v>0.2744242424242424</v>
      </c>
      <c r="J2043" s="151"/>
      <c r="K2043" s="139"/>
    </row>
    <row r="2044" spans="1:11" ht="12.75" x14ac:dyDescent="0.2">
      <c r="A2044" s="151"/>
      <c r="B2044" s="151"/>
      <c r="C2044" s="148"/>
      <c r="D2044" s="154" t="s">
        <v>292</v>
      </c>
      <c r="E2044" s="165"/>
      <c r="F2044" s="150"/>
      <c r="G2044" s="147"/>
      <c r="H2044" s="147">
        <v>2316</v>
      </c>
      <c r="I2044" s="152">
        <f t="shared" si="49"/>
        <v>3.7430303030303029E-2</v>
      </c>
      <c r="J2044" s="151"/>
      <c r="K2044" s="139"/>
    </row>
    <row r="2045" spans="1:11" ht="12.75" x14ac:dyDescent="0.2">
      <c r="A2045" s="151"/>
      <c r="B2045" s="151"/>
      <c r="C2045" s="148"/>
      <c r="D2045" s="148" t="s">
        <v>33</v>
      </c>
      <c r="E2045" s="165"/>
      <c r="F2045" s="150"/>
      <c r="G2045" s="147"/>
      <c r="H2045" s="155">
        <f>SUM(H2038:H2044)</f>
        <v>61875</v>
      </c>
      <c r="I2045" s="156">
        <f>SUM(I2038:I2044)</f>
        <v>1</v>
      </c>
      <c r="J2045" s="151"/>
      <c r="K2045" s="139"/>
    </row>
    <row r="2046" spans="1:11" ht="12.75" x14ac:dyDescent="0.2">
      <c r="A2046" s="151"/>
      <c r="B2046" s="148"/>
      <c r="C2046" s="148"/>
      <c r="D2046" s="148"/>
      <c r="E2046" s="165"/>
      <c r="F2046" s="150"/>
      <c r="G2046" s="147"/>
      <c r="H2046" s="147"/>
      <c r="I2046" s="152"/>
      <c r="J2046" s="151"/>
      <c r="K2046" s="139"/>
    </row>
    <row r="2047" spans="1:11" ht="12.75" x14ac:dyDescent="0.2">
      <c r="A2047" s="148" t="s">
        <v>22</v>
      </c>
      <c r="B2047" s="148">
        <v>824</v>
      </c>
      <c r="C2047" s="148" t="s">
        <v>289</v>
      </c>
      <c r="D2047" s="147" t="s">
        <v>461</v>
      </c>
      <c r="E2047" s="204">
        <v>37607</v>
      </c>
      <c r="F2047" s="150">
        <v>2327023</v>
      </c>
      <c r="G2047" s="147">
        <v>15877</v>
      </c>
      <c r="H2047" s="147"/>
      <c r="I2047" s="152"/>
      <c r="J2047" s="151"/>
      <c r="K2047" s="139"/>
    </row>
    <row r="2048" spans="1:11" ht="12.75" x14ac:dyDescent="0.2">
      <c r="A2048" s="151"/>
      <c r="B2048" s="148"/>
      <c r="C2048" s="148"/>
      <c r="D2048" s="149" t="s">
        <v>240</v>
      </c>
      <c r="E2048" s="165"/>
      <c r="F2048" s="150"/>
      <c r="G2048" s="147"/>
      <c r="H2048" s="147">
        <v>9642</v>
      </c>
      <c r="I2048" s="152">
        <f>ROUND(H2048/$H$2050,4)</f>
        <v>0.96</v>
      </c>
      <c r="J2048" s="153" t="s">
        <v>240</v>
      </c>
      <c r="K2048" s="139"/>
    </row>
    <row r="2049" spans="1:11" ht="12.75" x14ac:dyDescent="0.2">
      <c r="A2049" s="151"/>
      <c r="B2049" s="148"/>
      <c r="C2049" s="148"/>
      <c r="D2049" s="154" t="s">
        <v>244</v>
      </c>
      <c r="E2049" s="165"/>
      <c r="F2049" s="150"/>
      <c r="G2049" s="147"/>
      <c r="H2049" s="147">
        <v>402</v>
      </c>
      <c r="I2049" s="152">
        <f>ROUND(H2049/$H$2050,4)</f>
        <v>0.04</v>
      </c>
      <c r="J2049" s="159"/>
      <c r="K2049" s="139"/>
    </row>
    <row r="2050" spans="1:11" ht="12.75" x14ac:dyDescent="0.2">
      <c r="A2050" s="151"/>
      <c r="B2050" s="148"/>
      <c r="C2050" s="148"/>
      <c r="D2050" s="148" t="s">
        <v>33</v>
      </c>
      <c r="E2050" s="165"/>
      <c r="F2050" s="150"/>
      <c r="G2050" s="147"/>
      <c r="H2050" s="155">
        <f>SUM(H2048:H2049)</f>
        <v>10044</v>
      </c>
      <c r="I2050" s="156">
        <f>SUM(I2048:I2049)</f>
        <v>1</v>
      </c>
      <c r="J2050" s="151"/>
      <c r="K2050" s="139"/>
    </row>
    <row r="2051" spans="1:11" ht="12.75" x14ac:dyDescent="0.2">
      <c r="A2051" s="151"/>
      <c r="B2051" s="148"/>
      <c r="C2051" s="148"/>
      <c r="D2051" s="148"/>
      <c r="E2051" s="165"/>
      <c r="F2051" s="150"/>
      <c r="G2051" s="147"/>
      <c r="H2051" s="147"/>
      <c r="I2051" s="152"/>
      <c r="J2051" s="151"/>
      <c r="K2051" s="139"/>
    </row>
    <row r="2052" spans="1:11" ht="12.75" x14ac:dyDescent="0.2">
      <c r="A2052" s="148" t="s">
        <v>22</v>
      </c>
      <c r="B2052" s="148">
        <v>874</v>
      </c>
      <c r="C2052" s="148" t="s">
        <v>289</v>
      </c>
      <c r="D2052" s="149" t="s">
        <v>462</v>
      </c>
      <c r="E2052" s="165">
        <v>37560</v>
      </c>
      <c r="F2052" s="150">
        <v>4081833</v>
      </c>
      <c r="G2052" s="147">
        <v>33829</v>
      </c>
      <c r="H2052" s="147"/>
      <c r="I2052" s="147"/>
      <c r="J2052" s="151"/>
      <c r="K2052" s="139"/>
    </row>
    <row r="2053" spans="1:11" ht="12.75" x14ac:dyDescent="0.2">
      <c r="A2053" s="151"/>
      <c r="B2053" s="151"/>
      <c r="C2053" s="148"/>
      <c r="D2053" s="149" t="s">
        <v>261</v>
      </c>
      <c r="E2053" s="165"/>
      <c r="F2053" s="150"/>
      <c r="G2053" s="147"/>
      <c r="H2053" s="147">
        <v>8502</v>
      </c>
      <c r="I2053" s="152">
        <f t="shared" ref="I2053:I2058" si="50">ROUND(H2053/$H$2059,4)</f>
        <v>0.34420000000000001</v>
      </c>
      <c r="J2053" s="151"/>
      <c r="K2053" s="139"/>
    </row>
    <row r="2054" spans="1:11" ht="12.75" x14ac:dyDescent="0.2">
      <c r="A2054" s="151"/>
      <c r="B2054" s="151"/>
      <c r="C2054" s="148"/>
      <c r="D2054" s="149" t="s">
        <v>238</v>
      </c>
      <c r="E2054" s="165"/>
      <c r="F2054" s="150"/>
      <c r="G2054" s="147"/>
      <c r="H2054" s="147">
        <v>4689</v>
      </c>
      <c r="I2054" s="152">
        <f t="shared" si="50"/>
        <v>0.18990000000000001</v>
      </c>
      <c r="J2054" s="151"/>
      <c r="K2054" s="139"/>
    </row>
    <row r="2055" spans="1:11" ht="12.75" x14ac:dyDescent="0.2">
      <c r="A2055" s="151"/>
      <c r="B2055" s="151"/>
      <c r="C2055" s="148"/>
      <c r="D2055" s="149" t="s">
        <v>242</v>
      </c>
      <c r="E2055" s="165"/>
      <c r="F2055" s="150"/>
      <c r="G2055" s="147"/>
      <c r="H2055" s="147">
        <v>241</v>
      </c>
      <c r="I2055" s="152">
        <f t="shared" si="50"/>
        <v>9.7999999999999997E-3</v>
      </c>
      <c r="J2055" s="151"/>
      <c r="K2055" s="139"/>
    </row>
    <row r="2056" spans="1:11" ht="12.75" x14ac:dyDescent="0.2">
      <c r="A2056" s="151"/>
      <c r="B2056" s="151"/>
      <c r="C2056" s="148"/>
      <c r="D2056" s="149" t="s">
        <v>262</v>
      </c>
      <c r="E2056" s="165"/>
      <c r="F2056" s="150"/>
      <c r="G2056" s="147"/>
      <c r="H2056" s="147">
        <v>3157</v>
      </c>
      <c r="I2056" s="152">
        <f t="shared" si="50"/>
        <v>0.1278</v>
      </c>
      <c r="J2056" s="153"/>
      <c r="K2056" s="139"/>
    </row>
    <row r="2057" spans="1:11" ht="12.75" x14ac:dyDescent="0.2">
      <c r="A2057" s="151"/>
      <c r="B2057" s="151"/>
      <c r="C2057" s="148"/>
      <c r="D2057" s="149" t="s">
        <v>288</v>
      </c>
      <c r="E2057" s="165"/>
      <c r="F2057" s="150"/>
      <c r="G2057" s="147"/>
      <c r="H2057" s="147">
        <v>7337</v>
      </c>
      <c r="I2057" s="152">
        <f t="shared" si="50"/>
        <v>0.29709999999999998</v>
      </c>
      <c r="J2057" s="153" t="s">
        <v>288</v>
      </c>
      <c r="K2057" s="139"/>
    </row>
    <row r="2058" spans="1:11" ht="12.75" x14ac:dyDescent="0.2">
      <c r="A2058" s="151"/>
      <c r="B2058" s="151"/>
      <c r="C2058" s="148"/>
      <c r="D2058" s="154" t="s">
        <v>244</v>
      </c>
      <c r="E2058" s="165"/>
      <c r="F2058" s="150"/>
      <c r="G2058" s="147"/>
      <c r="H2058" s="147">
        <v>772</v>
      </c>
      <c r="I2058" s="152">
        <f t="shared" si="50"/>
        <v>3.1300000000000001E-2</v>
      </c>
      <c r="J2058" s="147"/>
      <c r="K2058" s="139"/>
    </row>
    <row r="2059" spans="1:11" ht="12.75" x14ac:dyDescent="0.2">
      <c r="A2059" s="151"/>
      <c r="B2059" s="151"/>
      <c r="C2059" s="148"/>
      <c r="D2059" s="148" t="s">
        <v>33</v>
      </c>
      <c r="E2059" s="165"/>
      <c r="F2059" s="150"/>
      <c r="G2059" s="147"/>
      <c r="H2059" s="155">
        <f>SUM(H2053:H2058)</f>
        <v>24698</v>
      </c>
      <c r="I2059" s="156">
        <f>SUM(I2053:I2058)</f>
        <v>1.0001000000000002</v>
      </c>
      <c r="J2059" s="151"/>
      <c r="K2059" s="139"/>
    </row>
    <row r="2060" spans="1:11" ht="12.75" x14ac:dyDescent="0.2">
      <c r="A2060" s="151"/>
      <c r="B2060" s="151"/>
      <c r="C2060" s="148"/>
      <c r="D2060" s="148"/>
      <c r="E2060" s="165"/>
      <c r="F2060" s="150"/>
      <c r="G2060" s="147"/>
      <c r="H2060" s="147"/>
      <c r="I2060" s="152"/>
      <c r="J2060" s="151"/>
      <c r="K2060" s="139"/>
    </row>
    <row r="2061" spans="1:11" ht="12.75" x14ac:dyDescent="0.2">
      <c r="A2061" s="148" t="s">
        <v>22</v>
      </c>
      <c r="B2061" s="148">
        <v>860</v>
      </c>
      <c r="C2061" s="148" t="s">
        <v>289</v>
      </c>
      <c r="D2061" s="149" t="s">
        <v>88</v>
      </c>
      <c r="E2061" s="165">
        <v>37753</v>
      </c>
      <c r="F2061" s="150">
        <v>5299000</v>
      </c>
      <c r="G2061" s="147">
        <v>36110</v>
      </c>
      <c r="H2061" s="147"/>
      <c r="I2061" s="147"/>
      <c r="J2061" s="151"/>
      <c r="K2061" s="139"/>
    </row>
    <row r="2062" spans="1:11" ht="12.75" x14ac:dyDescent="0.2">
      <c r="A2062" s="151"/>
      <c r="B2062" s="151"/>
      <c r="C2062" s="148"/>
      <c r="D2062" s="149" t="s">
        <v>293</v>
      </c>
      <c r="E2062" s="165"/>
      <c r="F2062" s="150"/>
      <c r="G2062" s="147"/>
      <c r="H2062" s="147">
        <v>1940</v>
      </c>
      <c r="I2062" s="152">
        <f>H2062/$H$2066</f>
        <v>7.4375095844195674E-2</v>
      </c>
      <c r="J2062" s="151"/>
      <c r="K2062" s="139"/>
    </row>
    <row r="2063" spans="1:11" ht="12.75" x14ac:dyDescent="0.2">
      <c r="A2063" s="151"/>
      <c r="B2063" s="151"/>
      <c r="C2063" s="148"/>
      <c r="D2063" s="149" t="s">
        <v>288</v>
      </c>
      <c r="E2063" s="165"/>
      <c r="F2063" s="150"/>
      <c r="G2063" s="147"/>
      <c r="H2063" s="147">
        <v>7522</v>
      </c>
      <c r="I2063" s="152">
        <f>H2063/$H$2066</f>
        <v>0.28837601594847417</v>
      </c>
      <c r="J2063" s="153" t="s">
        <v>288</v>
      </c>
      <c r="K2063" s="139"/>
    </row>
    <row r="2064" spans="1:11" ht="12.75" x14ac:dyDescent="0.2">
      <c r="A2064" s="151"/>
      <c r="B2064" s="151"/>
      <c r="C2064" s="148"/>
      <c r="D2064" s="154" t="s">
        <v>292</v>
      </c>
      <c r="E2064" s="165"/>
      <c r="F2064" s="150"/>
      <c r="G2064" s="147"/>
      <c r="H2064" s="147">
        <v>870</v>
      </c>
      <c r="I2064" s="152">
        <f>H2064/$H$2066</f>
        <v>3.3353780095077445E-2</v>
      </c>
      <c r="J2064" s="151"/>
      <c r="K2064" s="139"/>
    </row>
    <row r="2065" spans="1:11" ht="12.75" x14ac:dyDescent="0.2">
      <c r="A2065" s="151"/>
      <c r="B2065" s="151"/>
      <c r="C2065" s="148"/>
      <c r="D2065" s="149" t="s">
        <v>473</v>
      </c>
      <c r="E2065" s="165"/>
      <c r="F2065" s="150"/>
      <c r="G2065" s="147"/>
      <c r="H2065" s="147">
        <v>15752</v>
      </c>
      <c r="I2065" s="152">
        <f>H2065/$H$2066</f>
        <v>0.60389510811225278</v>
      </c>
      <c r="J2065" s="151" t="s">
        <v>473</v>
      </c>
      <c r="K2065" s="139"/>
    </row>
    <row r="2066" spans="1:11" ht="12.75" x14ac:dyDescent="0.2">
      <c r="A2066" s="151"/>
      <c r="B2066" s="151"/>
      <c r="C2066" s="148"/>
      <c r="D2066" s="148" t="s">
        <v>33</v>
      </c>
      <c r="E2066" s="165"/>
      <c r="F2066" s="150"/>
      <c r="G2066" s="147"/>
      <c r="H2066" s="155">
        <f>SUM(H2062:H2065)</f>
        <v>26084</v>
      </c>
      <c r="I2066" s="156">
        <f>SUM(I2062:I2065)</f>
        <v>1</v>
      </c>
      <c r="J2066" s="151"/>
      <c r="K2066" s="139"/>
    </row>
    <row r="2067" spans="1:11" ht="12.75" x14ac:dyDescent="0.2">
      <c r="A2067" s="151"/>
      <c r="B2067" s="151"/>
      <c r="C2067" s="148"/>
      <c r="D2067" s="148"/>
      <c r="E2067" s="165"/>
      <c r="F2067" s="150"/>
      <c r="G2067" s="147"/>
      <c r="H2067" s="147"/>
      <c r="I2067" s="152"/>
      <c r="J2067" s="151"/>
      <c r="K2067" s="139"/>
    </row>
    <row r="2068" spans="1:11" ht="12.75" x14ac:dyDescent="0.2">
      <c r="A2068" s="148" t="s">
        <v>22</v>
      </c>
      <c r="B2068" s="148">
        <v>873</v>
      </c>
      <c r="C2068" s="148" t="s">
        <v>289</v>
      </c>
      <c r="D2068" s="149" t="s">
        <v>474</v>
      </c>
      <c r="E2068" s="165">
        <v>37819</v>
      </c>
      <c r="F2068" s="150">
        <v>5970314</v>
      </c>
      <c r="G2068" s="147">
        <v>50017</v>
      </c>
      <c r="H2068" s="147"/>
      <c r="I2068" s="147"/>
      <c r="J2068" s="151"/>
      <c r="K2068" s="139"/>
    </row>
    <row r="2069" spans="1:11" ht="12.75" x14ac:dyDescent="0.2">
      <c r="A2069" s="151"/>
      <c r="B2069" s="151"/>
      <c r="C2069" s="148"/>
      <c r="D2069" s="149" t="s">
        <v>314</v>
      </c>
      <c r="E2069" s="165"/>
      <c r="F2069" s="150"/>
      <c r="G2069" s="147"/>
      <c r="H2069" s="147">
        <v>34389</v>
      </c>
      <c r="I2069" s="152">
        <f>H2069/$H$2072</f>
        <v>0.90030630677801926</v>
      </c>
      <c r="J2069" s="153" t="s">
        <v>314</v>
      </c>
      <c r="K2069" s="139"/>
    </row>
    <row r="2070" spans="1:11" ht="12.75" x14ac:dyDescent="0.2">
      <c r="A2070" s="151"/>
      <c r="B2070" s="151"/>
      <c r="C2070" s="148"/>
      <c r="D2070" s="149" t="s">
        <v>288</v>
      </c>
      <c r="E2070" s="165"/>
      <c r="F2070" s="150"/>
      <c r="G2070" s="147"/>
      <c r="H2070" s="147">
        <v>1553</v>
      </c>
      <c r="I2070" s="152">
        <f>H2070/$H$2072</f>
        <v>4.0657643270413907E-2</v>
      </c>
      <c r="J2070" s="153"/>
      <c r="K2070" s="139"/>
    </row>
    <row r="2071" spans="1:11" ht="12.75" x14ac:dyDescent="0.2">
      <c r="A2071" s="151"/>
      <c r="B2071" s="151"/>
      <c r="C2071" s="148"/>
      <c r="D2071" s="154" t="s">
        <v>292</v>
      </c>
      <c r="E2071" s="165"/>
      <c r="F2071" s="150"/>
      <c r="G2071" s="147"/>
      <c r="H2071" s="147">
        <v>2255</v>
      </c>
      <c r="I2071" s="152">
        <f>H2071/$H$2072</f>
        <v>5.9036049951566874E-2</v>
      </c>
      <c r="J2071" s="151"/>
      <c r="K2071" s="139"/>
    </row>
    <row r="2072" spans="1:11" ht="12.75" x14ac:dyDescent="0.2">
      <c r="A2072" s="151"/>
      <c r="B2072" s="151"/>
      <c r="C2072" s="148"/>
      <c r="D2072" s="148" t="s">
        <v>33</v>
      </c>
      <c r="E2072" s="165"/>
      <c r="F2072" s="150"/>
      <c r="G2072" s="147"/>
      <c r="H2072" s="155">
        <f>SUM(H2069:H2071)</f>
        <v>38197</v>
      </c>
      <c r="I2072" s="156">
        <f>SUM(I2069:I2071)</f>
        <v>1</v>
      </c>
      <c r="J2072" s="151"/>
      <c r="K2072" s="139"/>
    </row>
    <row r="2073" spans="1:11" ht="12.75" x14ac:dyDescent="0.2">
      <c r="A2073" s="151"/>
      <c r="B2073" s="151"/>
      <c r="C2073" s="148"/>
      <c r="D2073" s="148"/>
      <c r="E2073" s="165"/>
      <c r="F2073" s="150"/>
      <c r="G2073" s="147"/>
      <c r="H2073" s="147"/>
      <c r="I2073" s="152"/>
      <c r="J2073" s="151"/>
      <c r="K2073" s="139"/>
    </row>
    <row r="2074" spans="1:11" ht="12.75" x14ac:dyDescent="0.2">
      <c r="A2074" s="148" t="s">
        <v>22</v>
      </c>
      <c r="B2074" s="148">
        <v>824</v>
      </c>
      <c r="C2074" s="148" t="s">
        <v>289</v>
      </c>
      <c r="D2074" s="149" t="s">
        <v>461</v>
      </c>
      <c r="E2074" s="165">
        <v>37635</v>
      </c>
      <c r="F2074" s="150">
        <v>2336804</v>
      </c>
      <c r="G2074" s="147">
        <v>15877</v>
      </c>
      <c r="H2074" s="147"/>
      <c r="I2074" s="147"/>
      <c r="J2074" s="151"/>
      <c r="K2074" s="139"/>
    </row>
    <row r="2075" spans="1:11" ht="12.75" x14ac:dyDescent="0.2">
      <c r="A2075" s="151"/>
      <c r="B2075" s="151"/>
      <c r="C2075" s="148"/>
      <c r="D2075" s="149" t="s">
        <v>288</v>
      </c>
      <c r="E2075" s="165"/>
      <c r="F2075" s="150"/>
      <c r="G2075" s="147"/>
      <c r="H2075" s="147">
        <v>9642</v>
      </c>
      <c r="I2075" s="152">
        <f>H2075/$H$2077</f>
        <v>0.95997610513739551</v>
      </c>
      <c r="J2075" s="153" t="s">
        <v>288</v>
      </c>
      <c r="K2075" s="139"/>
    </row>
    <row r="2076" spans="1:11" ht="12.75" x14ac:dyDescent="0.2">
      <c r="A2076" s="151"/>
      <c r="B2076" s="151"/>
      <c r="C2076" s="148"/>
      <c r="D2076" s="154" t="s">
        <v>292</v>
      </c>
      <c r="E2076" s="165"/>
      <c r="F2076" s="150"/>
      <c r="G2076" s="147"/>
      <c r="H2076" s="147">
        <v>402</v>
      </c>
      <c r="I2076" s="152">
        <f>H2076/$H$2077</f>
        <v>4.0023894862604541E-2</v>
      </c>
      <c r="J2076" s="151"/>
      <c r="K2076" s="139"/>
    </row>
    <row r="2077" spans="1:11" ht="12.75" x14ac:dyDescent="0.2">
      <c r="A2077" s="151"/>
      <c r="B2077" s="151"/>
      <c r="C2077" s="148"/>
      <c r="D2077" s="148" t="s">
        <v>33</v>
      </c>
      <c r="E2077" s="165"/>
      <c r="F2077" s="150"/>
      <c r="G2077" s="147"/>
      <c r="H2077" s="155">
        <f>SUM(H2075:H2076)</f>
        <v>10044</v>
      </c>
      <c r="I2077" s="156">
        <f>SUM(I2075:I2076)</f>
        <v>1</v>
      </c>
      <c r="J2077" s="151"/>
      <c r="K2077" s="139"/>
    </row>
    <row r="2078" spans="1:11" ht="12.75" x14ac:dyDescent="0.2">
      <c r="A2078" s="151"/>
      <c r="B2078" s="151"/>
      <c r="C2078" s="148"/>
      <c r="D2078" s="148"/>
      <c r="E2078" s="165"/>
      <c r="F2078" s="150"/>
      <c r="G2078" s="147"/>
      <c r="H2078" s="147"/>
      <c r="I2078" s="152"/>
      <c r="J2078" s="151"/>
      <c r="K2078" s="139"/>
    </row>
    <row r="2079" spans="1:11" ht="12.75" x14ac:dyDescent="0.2">
      <c r="A2079" s="148" t="s">
        <v>22</v>
      </c>
      <c r="B2079" s="148">
        <v>821</v>
      </c>
      <c r="C2079" s="148" t="s">
        <v>289</v>
      </c>
      <c r="D2079" s="149" t="s">
        <v>476</v>
      </c>
      <c r="E2079" s="165">
        <v>37726</v>
      </c>
      <c r="F2079" s="150">
        <v>15285537</v>
      </c>
      <c r="G2079" s="147">
        <v>105809</v>
      </c>
      <c r="H2079" s="147"/>
      <c r="I2079" s="147"/>
      <c r="J2079" s="151"/>
      <c r="K2079" s="139"/>
    </row>
    <row r="2080" spans="1:11" ht="12.75" x14ac:dyDescent="0.2">
      <c r="A2080" s="151"/>
      <c r="B2080" s="151"/>
      <c r="C2080" s="148"/>
      <c r="D2080" s="149" t="s">
        <v>261</v>
      </c>
      <c r="E2080" s="165"/>
      <c r="F2080" s="150"/>
      <c r="G2080" s="147"/>
      <c r="H2080" s="147">
        <v>8060</v>
      </c>
      <c r="I2080" s="152">
        <f>ROUND(H2080/$H$2084,4)</f>
        <v>0.11409999999999999</v>
      </c>
      <c r="J2080" s="151"/>
      <c r="K2080" s="139"/>
    </row>
    <row r="2081" spans="1:11" ht="12.75" x14ac:dyDescent="0.2">
      <c r="A2081" s="151"/>
      <c r="B2081" s="151"/>
      <c r="C2081" s="148"/>
      <c r="D2081" s="149" t="s">
        <v>238</v>
      </c>
      <c r="E2081" s="165"/>
      <c r="F2081" s="150"/>
      <c r="G2081" s="147"/>
      <c r="H2081" s="147">
        <v>22839</v>
      </c>
      <c r="I2081" s="152">
        <f>ROUND(H2081/$H$2084,4)</f>
        <v>0.32319999999999999</v>
      </c>
      <c r="J2081" s="151"/>
      <c r="K2081" s="139"/>
    </row>
    <row r="2082" spans="1:11" ht="12.75" x14ac:dyDescent="0.2">
      <c r="A2082" s="151"/>
      <c r="B2082" s="151"/>
      <c r="C2082" s="148"/>
      <c r="D2082" s="149" t="s">
        <v>288</v>
      </c>
      <c r="E2082" s="165"/>
      <c r="F2082" s="150"/>
      <c r="G2082" s="147"/>
      <c r="H2082" s="147">
        <v>38009</v>
      </c>
      <c r="I2082" s="152">
        <f>ROUND(H2082/$H$2084,4)</f>
        <v>0.53790000000000004</v>
      </c>
      <c r="J2082" s="153" t="s">
        <v>288</v>
      </c>
      <c r="K2082" s="139"/>
    </row>
    <row r="2083" spans="1:11" ht="12.75" x14ac:dyDescent="0.2">
      <c r="A2083" s="151"/>
      <c r="B2083" s="151"/>
      <c r="C2083" s="148"/>
      <c r="D2083" s="154" t="s">
        <v>244</v>
      </c>
      <c r="E2083" s="165"/>
      <c r="F2083" s="150"/>
      <c r="G2083" s="147"/>
      <c r="H2083" s="147">
        <v>1748</v>
      </c>
      <c r="I2083" s="152">
        <f>ROUND(H2083/$H$2084,4)</f>
        <v>2.47E-2</v>
      </c>
      <c r="J2083" s="147"/>
      <c r="K2083" s="139"/>
    </row>
    <row r="2084" spans="1:11" ht="12.75" x14ac:dyDescent="0.2">
      <c r="A2084" s="151"/>
      <c r="B2084" s="151"/>
      <c r="C2084" s="148"/>
      <c r="D2084" s="148" t="s">
        <v>33</v>
      </c>
      <c r="E2084" s="165"/>
      <c r="F2084" s="150"/>
      <c r="G2084" s="147"/>
      <c r="H2084" s="155">
        <f>SUM(H2080:H2083)</f>
        <v>70656</v>
      </c>
      <c r="I2084" s="156">
        <f>SUM(I2080:I2083)</f>
        <v>0.99990000000000001</v>
      </c>
      <c r="J2084" s="151"/>
      <c r="K2084" s="139"/>
    </row>
    <row r="2085" spans="1:11" ht="12.75" x14ac:dyDescent="0.2">
      <c r="A2085" s="151"/>
      <c r="B2085" s="151"/>
      <c r="C2085" s="148"/>
      <c r="D2085" s="148"/>
      <c r="E2085" s="165"/>
      <c r="F2085" s="150"/>
      <c r="G2085" s="147"/>
      <c r="H2085" s="147"/>
      <c r="I2085" s="152"/>
      <c r="J2085" s="151"/>
      <c r="K2085" s="139"/>
    </row>
    <row r="2086" spans="1:11" ht="12.75" x14ac:dyDescent="0.2">
      <c r="A2086" s="148" t="s">
        <v>22</v>
      </c>
      <c r="B2086" s="148">
        <v>888</v>
      </c>
      <c r="C2086" s="148" t="s">
        <v>289</v>
      </c>
      <c r="D2086" s="149" t="s">
        <v>495</v>
      </c>
      <c r="E2086" s="165">
        <v>38140</v>
      </c>
      <c r="F2086" s="150">
        <v>10193814</v>
      </c>
      <c r="G2086" s="147">
        <v>55834</v>
      </c>
      <c r="H2086" s="147"/>
      <c r="I2086" s="147"/>
      <c r="J2086" s="151"/>
      <c r="K2086" s="139"/>
    </row>
    <row r="2087" spans="1:11" ht="12.75" x14ac:dyDescent="0.2">
      <c r="A2087" s="151"/>
      <c r="B2087" s="151"/>
      <c r="C2087" s="148"/>
      <c r="D2087" s="149" t="s">
        <v>238</v>
      </c>
      <c r="E2087" s="165"/>
      <c r="F2087" s="150"/>
      <c r="G2087" s="147"/>
      <c r="H2087" s="147">
        <v>36862</v>
      </c>
      <c r="I2087" s="152">
        <f>ROUND(H2087/$H$2092,4)</f>
        <v>0.66279999999999994</v>
      </c>
      <c r="J2087" s="153" t="s">
        <v>238</v>
      </c>
      <c r="K2087" s="139"/>
    </row>
    <row r="2088" spans="1:11" ht="12.75" x14ac:dyDescent="0.2">
      <c r="A2088" s="151"/>
      <c r="B2088" s="151"/>
      <c r="C2088" s="148"/>
      <c r="D2088" s="149" t="s">
        <v>242</v>
      </c>
      <c r="E2088" s="165"/>
      <c r="F2088" s="150"/>
      <c r="G2088" s="147"/>
      <c r="H2088" s="147">
        <v>3315</v>
      </c>
      <c r="I2088" s="152">
        <f>ROUND(H2088/$H$2092,4)</f>
        <v>5.96E-2</v>
      </c>
      <c r="J2088" s="151"/>
      <c r="K2088" s="139"/>
    </row>
    <row r="2089" spans="1:11" ht="12.75" x14ac:dyDescent="0.2">
      <c r="A2089" s="151"/>
      <c r="B2089" s="151"/>
      <c r="C2089" s="148"/>
      <c r="D2089" s="149" t="s">
        <v>288</v>
      </c>
      <c r="E2089" s="165"/>
      <c r="F2089" s="150"/>
      <c r="G2089" s="147"/>
      <c r="H2089" s="147">
        <v>1715</v>
      </c>
      <c r="I2089" s="152">
        <f>ROUND(H2089/$H$2092,4)</f>
        <v>3.0800000000000001E-2</v>
      </c>
      <c r="J2089" s="151"/>
      <c r="K2089" s="139"/>
    </row>
    <row r="2090" spans="1:11" ht="12.75" x14ac:dyDescent="0.2">
      <c r="A2090" s="151"/>
      <c r="B2090" s="151"/>
      <c r="C2090" s="148"/>
      <c r="D2090" s="154" t="s">
        <v>244</v>
      </c>
      <c r="E2090" s="165"/>
      <c r="F2090" s="150"/>
      <c r="G2090" s="147"/>
      <c r="H2090" s="147">
        <v>2362</v>
      </c>
      <c r="I2090" s="152">
        <f>ROUND(H2090/$H$2092,4)</f>
        <v>4.2500000000000003E-2</v>
      </c>
      <c r="J2090" s="153"/>
      <c r="K2090" s="139"/>
    </row>
    <row r="2091" spans="1:11" ht="12.75" x14ac:dyDescent="0.2">
      <c r="A2091" s="151"/>
      <c r="B2091" s="151"/>
      <c r="C2091" s="148"/>
      <c r="D2091" s="149" t="s">
        <v>473</v>
      </c>
      <c r="E2091" s="165"/>
      <c r="F2091" s="150"/>
      <c r="G2091" s="147"/>
      <c r="H2091" s="147">
        <v>11363</v>
      </c>
      <c r="I2091" s="152">
        <f>ROUND(H2091/$H$2092,4)</f>
        <v>0.20430000000000001</v>
      </c>
      <c r="J2091" s="153"/>
      <c r="K2091" s="139"/>
    </row>
    <row r="2092" spans="1:11" ht="12.75" x14ac:dyDescent="0.2">
      <c r="A2092" s="151"/>
      <c r="B2092" s="151"/>
      <c r="C2092" s="148"/>
      <c r="D2092" s="148" t="s">
        <v>33</v>
      </c>
      <c r="E2092" s="165"/>
      <c r="F2092" s="150"/>
      <c r="G2092" s="147"/>
      <c r="H2092" s="155">
        <f>SUM(H2087:H2091)</f>
        <v>55617</v>
      </c>
      <c r="I2092" s="156">
        <f>SUM(I2087:I2091)</f>
        <v>1</v>
      </c>
      <c r="J2092" s="151"/>
      <c r="K2092" s="139"/>
    </row>
    <row r="2093" spans="1:11" ht="12.75" x14ac:dyDescent="0.2">
      <c r="A2093" s="151"/>
      <c r="B2093" s="151"/>
      <c r="C2093" s="148"/>
      <c r="D2093" s="148"/>
      <c r="E2093" s="165"/>
      <c r="F2093" s="150"/>
      <c r="G2093" s="147"/>
      <c r="H2093" s="147"/>
      <c r="I2093" s="152"/>
      <c r="J2093" s="151"/>
      <c r="K2093" s="139"/>
    </row>
    <row r="2094" spans="1:11" ht="12.75" x14ac:dyDescent="0.2">
      <c r="A2094" s="148" t="s">
        <v>22</v>
      </c>
      <c r="B2094" s="148">
        <v>839</v>
      </c>
      <c r="C2094" s="148" t="s">
        <v>289</v>
      </c>
      <c r="D2094" s="149" t="s">
        <v>496</v>
      </c>
      <c r="E2094" s="165">
        <v>38201</v>
      </c>
      <c r="F2094" s="150">
        <v>11157703</v>
      </c>
      <c r="G2094" s="147">
        <v>46784</v>
      </c>
      <c r="H2094" s="147"/>
      <c r="I2094" s="147"/>
      <c r="J2094" s="151"/>
      <c r="K2094" s="139"/>
    </row>
    <row r="2095" spans="1:11" ht="12.75" x14ac:dyDescent="0.2">
      <c r="A2095" s="151"/>
      <c r="B2095" s="151"/>
      <c r="C2095" s="148"/>
      <c r="D2095" s="149" t="s">
        <v>262</v>
      </c>
      <c r="E2095" s="165"/>
      <c r="F2095" s="150"/>
      <c r="G2095" s="147"/>
      <c r="H2095" s="147">
        <v>7075</v>
      </c>
      <c r="I2095" s="152">
        <f>ROUND(H2095/$H$2099,4)</f>
        <v>0.25090000000000001</v>
      </c>
      <c r="J2095" s="153" t="s">
        <v>262</v>
      </c>
      <c r="K2095" s="139"/>
    </row>
    <row r="2096" spans="1:11" ht="12.75" x14ac:dyDescent="0.2">
      <c r="A2096" s="151"/>
      <c r="B2096" s="151"/>
      <c r="C2096" s="148"/>
      <c r="D2096" s="149" t="s">
        <v>288</v>
      </c>
      <c r="E2096" s="165"/>
      <c r="F2096" s="150"/>
      <c r="G2096" s="147"/>
      <c r="H2096" s="147">
        <v>9696</v>
      </c>
      <c r="I2096" s="152">
        <f>ROUND(H2096/$H$2099,4)</f>
        <v>0.34389999999999998</v>
      </c>
      <c r="J2096" s="153" t="s">
        <v>288</v>
      </c>
      <c r="K2096" s="139"/>
    </row>
    <row r="2097" spans="1:11" ht="12.75" x14ac:dyDescent="0.2">
      <c r="A2097" s="151"/>
      <c r="B2097" s="151"/>
      <c r="C2097" s="148"/>
      <c r="D2097" s="154" t="s">
        <v>244</v>
      </c>
      <c r="E2097" s="165"/>
      <c r="F2097" s="150"/>
      <c r="G2097" s="147"/>
      <c r="H2097" s="147">
        <v>6559</v>
      </c>
      <c r="I2097" s="152">
        <f>ROUND(H2097/$H$2099,4)</f>
        <v>0.2326</v>
      </c>
      <c r="J2097" s="153"/>
      <c r="K2097" s="139"/>
    </row>
    <row r="2098" spans="1:11" ht="12.75" x14ac:dyDescent="0.2">
      <c r="A2098" s="151"/>
      <c r="B2098" s="151"/>
      <c r="C2098" s="148"/>
      <c r="D2098" s="149" t="s">
        <v>473</v>
      </c>
      <c r="E2098" s="165"/>
      <c r="F2098" s="150"/>
      <c r="G2098" s="147"/>
      <c r="H2098" s="147">
        <v>4867</v>
      </c>
      <c r="I2098" s="152">
        <f>ROUND(H2098/$H$2099,4)</f>
        <v>0.1726</v>
      </c>
      <c r="J2098" s="153"/>
      <c r="K2098" s="139"/>
    </row>
    <row r="2099" spans="1:11" ht="12.75" x14ac:dyDescent="0.2">
      <c r="A2099" s="151"/>
      <c r="B2099" s="151"/>
      <c r="C2099" s="148"/>
      <c r="D2099" s="148" t="s">
        <v>33</v>
      </c>
      <c r="E2099" s="165"/>
      <c r="F2099" s="150"/>
      <c r="G2099" s="147"/>
      <c r="H2099" s="155">
        <f>SUM(H2095:H2098)</f>
        <v>28197</v>
      </c>
      <c r="I2099" s="156">
        <f>SUM(I2095:I2098)</f>
        <v>1</v>
      </c>
      <c r="J2099" s="151"/>
      <c r="K2099" s="139"/>
    </row>
    <row r="2100" spans="1:11" ht="12.75" x14ac:dyDescent="0.2">
      <c r="A2100" s="151"/>
      <c r="B2100" s="151"/>
      <c r="C2100" s="148"/>
      <c r="D2100" s="148"/>
      <c r="E2100" s="165"/>
      <c r="F2100" s="150"/>
      <c r="G2100" s="147"/>
      <c r="H2100" s="147"/>
      <c r="I2100" s="152"/>
      <c r="J2100" s="151"/>
      <c r="K2100" s="139"/>
    </row>
    <row r="2101" spans="1:11" ht="12.75" x14ac:dyDescent="0.2">
      <c r="A2101" s="148" t="s">
        <v>22</v>
      </c>
      <c r="B2101" s="148">
        <v>822</v>
      </c>
      <c r="C2101" s="148" t="s">
        <v>289</v>
      </c>
      <c r="D2101" s="149" t="s">
        <v>497</v>
      </c>
      <c r="E2101" s="165">
        <v>38217</v>
      </c>
      <c r="F2101" s="150">
        <v>4100700</v>
      </c>
      <c r="G2101" s="147">
        <v>9305</v>
      </c>
      <c r="H2101" s="147"/>
      <c r="I2101" s="147"/>
      <c r="J2101" s="151"/>
      <c r="K2101" s="139"/>
    </row>
    <row r="2102" spans="1:11" ht="12.75" x14ac:dyDescent="0.2">
      <c r="A2102" s="151"/>
      <c r="B2102" s="151"/>
      <c r="C2102" s="148"/>
      <c r="D2102" s="149" t="s">
        <v>288</v>
      </c>
      <c r="E2102" s="165"/>
      <c r="F2102" s="150"/>
      <c r="G2102" s="147"/>
      <c r="H2102" s="147">
        <v>223</v>
      </c>
      <c r="I2102" s="152">
        <f>ROUND(H2102/$H$2105,4)</f>
        <v>1.66E-2</v>
      </c>
      <c r="J2102" s="153"/>
      <c r="K2102" s="139"/>
    </row>
    <row r="2103" spans="1:11" ht="12.75" x14ac:dyDescent="0.2">
      <c r="A2103" s="151"/>
      <c r="B2103" s="151"/>
      <c r="C2103" s="148"/>
      <c r="D2103" s="154" t="s">
        <v>244</v>
      </c>
      <c r="E2103" s="165"/>
      <c r="F2103" s="150"/>
      <c r="G2103" s="147"/>
      <c r="H2103" s="147">
        <v>6407</v>
      </c>
      <c r="I2103" s="152">
        <f>ROUND(H2103/$H$2105,4)</f>
        <v>0.4783</v>
      </c>
      <c r="J2103" s="159" t="s">
        <v>244</v>
      </c>
      <c r="K2103" s="139"/>
    </row>
    <row r="2104" spans="1:11" ht="12.75" x14ac:dyDescent="0.2">
      <c r="A2104" s="151"/>
      <c r="B2104" s="151"/>
      <c r="C2104" s="148"/>
      <c r="D2104" s="149" t="s">
        <v>473</v>
      </c>
      <c r="E2104" s="165"/>
      <c r="F2104" s="150"/>
      <c r="G2104" s="147"/>
      <c r="H2104" s="147">
        <v>6766</v>
      </c>
      <c r="I2104" s="152">
        <f>ROUND(H2104/$H$2105,4)</f>
        <v>0.50509999999999999</v>
      </c>
      <c r="J2104" s="159"/>
      <c r="K2104" s="139"/>
    </row>
    <row r="2105" spans="1:11" ht="12.75" x14ac:dyDescent="0.2">
      <c r="A2105" s="151"/>
      <c r="B2105" s="151"/>
      <c r="C2105" s="148"/>
      <c r="D2105" s="148" t="s">
        <v>33</v>
      </c>
      <c r="E2105" s="165"/>
      <c r="F2105" s="150"/>
      <c r="G2105" s="147"/>
      <c r="H2105" s="155">
        <f>SUM(H2102:H2104)</f>
        <v>13396</v>
      </c>
      <c r="I2105" s="156">
        <f>SUM(I2102:I2104)</f>
        <v>1</v>
      </c>
      <c r="J2105" s="151"/>
      <c r="K2105" s="139"/>
    </row>
    <row r="2106" spans="1:11" ht="12.75" x14ac:dyDescent="0.2">
      <c r="A2106" s="151"/>
      <c r="B2106" s="151"/>
      <c r="C2106" s="148"/>
      <c r="D2106" s="148"/>
      <c r="E2106" s="165"/>
      <c r="F2106" s="150"/>
      <c r="G2106" s="147"/>
      <c r="H2106" s="147"/>
      <c r="I2106" s="152"/>
      <c r="J2106" s="151"/>
      <c r="K2106" s="139"/>
    </row>
    <row r="2107" spans="1:11" ht="12.75" x14ac:dyDescent="0.2">
      <c r="A2107" s="148" t="s">
        <v>22</v>
      </c>
      <c r="B2107" s="148">
        <v>832</v>
      </c>
      <c r="C2107" s="148" t="s">
        <v>289</v>
      </c>
      <c r="D2107" s="149" t="s">
        <v>499</v>
      </c>
      <c r="E2107" s="165">
        <v>38303</v>
      </c>
      <c r="F2107" s="150">
        <v>26818093</v>
      </c>
      <c r="G2107" s="147">
        <v>153768</v>
      </c>
      <c r="H2107" s="147"/>
      <c r="I2107" s="147"/>
      <c r="J2107" s="151"/>
      <c r="K2107" s="139"/>
    </row>
    <row r="2108" spans="1:11" ht="12.75" x14ac:dyDescent="0.2">
      <c r="A2108" s="151"/>
      <c r="B2108" s="151"/>
      <c r="C2108" s="148"/>
      <c r="D2108" s="149" t="s">
        <v>238</v>
      </c>
      <c r="E2108" s="165"/>
      <c r="F2108" s="150"/>
      <c r="G2108" s="147"/>
      <c r="H2108" s="147">
        <v>13396</v>
      </c>
      <c r="I2108" s="152">
        <f>H2108/$H$2116</f>
        <v>0.15892939766754854</v>
      </c>
      <c r="J2108" s="151"/>
      <c r="K2108" s="139"/>
    </row>
    <row r="2109" spans="1:11" ht="12.75" x14ac:dyDescent="0.2">
      <c r="A2109" s="151"/>
      <c r="B2109" s="151"/>
      <c r="C2109" s="148"/>
      <c r="D2109" s="149" t="s">
        <v>284</v>
      </c>
      <c r="E2109" s="165"/>
      <c r="F2109" s="150"/>
      <c r="G2109" s="147"/>
      <c r="H2109" s="147">
        <v>29352</v>
      </c>
      <c r="I2109" s="152">
        <f t="shared" ref="I2109:I2115" si="51">H2109/$H$2116</f>
        <v>0.34823049270960621</v>
      </c>
      <c r="J2109" s="153" t="s">
        <v>284</v>
      </c>
      <c r="K2109" s="139"/>
    </row>
    <row r="2110" spans="1:11" ht="12.75" x14ac:dyDescent="0.2">
      <c r="A2110" s="151"/>
      <c r="B2110" s="151"/>
      <c r="C2110" s="148"/>
      <c r="D2110" s="149" t="s">
        <v>242</v>
      </c>
      <c r="E2110" s="165"/>
      <c r="F2110" s="150"/>
      <c r="G2110" s="147"/>
      <c r="H2110" s="147">
        <v>101</v>
      </c>
      <c r="I2110" s="152">
        <f t="shared" si="51"/>
        <v>1.1982583729786805E-3</v>
      </c>
      <c r="J2110" s="153"/>
      <c r="K2110" s="139"/>
    </row>
    <row r="2111" spans="1:11" ht="12.75" x14ac:dyDescent="0.2">
      <c r="A2111" s="151"/>
      <c r="B2111" s="151"/>
      <c r="C2111" s="148"/>
      <c r="D2111" s="149" t="s">
        <v>262</v>
      </c>
      <c r="E2111" s="165"/>
      <c r="F2111" s="150"/>
      <c r="G2111" s="147"/>
      <c r="H2111" s="147">
        <v>6587</v>
      </c>
      <c r="I2111" s="152">
        <f t="shared" si="51"/>
        <v>7.8147801017926413E-2</v>
      </c>
      <c r="J2111" s="151"/>
      <c r="K2111" s="139"/>
    </row>
    <row r="2112" spans="1:11" ht="12.75" x14ac:dyDescent="0.2">
      <c r="A2112" s="151"/>
      <c r="B2112" s="151"/>
      <c r="C2112" s="148"/>
      <c r="D2112" s="149" t="s">
        <v>293</v>
      </c>
      <c r="E2112" s="165"/>
      <c r="F2112" s="150"/>
      <c r="G2112" s="147"/>
      <c r="H2112" s="147">
        <v>2904</v>
      </c>
      <c r="I2112" s="152">
        <f t="shared" si="51"/>
        <v>3.4452894209208794E-2</v>
      </c>
      <c r="J2112" s="151"/>
      <c r="K2112" s="139"/>
    </row>
    <row r="2113" spans="1:11" ht="12.75" x14ac:dyDescent="0.2">
      <c r="A2113" s="151"/>
      <c r="B2113" s="151"/>
      <c r="C2113" s="148"/>
      <c r="D2113" s="149" t="s">
        <v>288</v>
      </c>
      <c r="E2113" s="165"/>
      <c r="F2113" s="150"/>
      <c r="G2113" s="147"/>
      <c r="H2113" s="147">
        <v>21806</v>
      </c>
      <c r="I2113" s="152">
        <f t="shared" si="51"/>
        <v>0.25870516912052582</v>
      </c>
      <c r="J2113" s="153" t="s">
        <v>288</v>
      </c>
      <c r="K2113" s="139"/>
    </row>
    <row r="2114" spans="1:11" ht="12.75" x14ac:dyDescent="0.2">
      <c r="A2114" s="151"/>
      <c r="B2114" s="151"/>
      <c r="C2114" s="148"/>
      <c r="D2114" s="154" t="s">
        <v>292</v>
      </c>
      <c r="E2114" s="165"/>
      <c r="F2114" s="150"/>
      <c r="G2114" s="147"/>
      <c r="H2114" s="147">
        <v>2895</v>
      </c>
      <c r="I2114" s="152">
        <f t="shared" si="51"/>
        <v>3.4346118710626532E-2</v>
      </c>
      <c r="J2114" s="151"/>
      <c r="K2114" s="139"/>
    </row>
    <row r="2115" spans="1:11" ht="12.75" x14ac:dyDescent="0.2">
      <c r="A2115" s="151"/>
      <c r="B2115" s="151"/>
      <c r="C2115" s="148"/>
      <c r="D2115" s="149" t="s">
        <v>473</v>
      </c>
      <c r="E2115" s="165"/>
      <c r="F2115" s="150"/>
      <c r="G2115" s="147"/>
      <c r="H2115" s="147">
        <v>7248</v>
      </c>
      <c r="I2115" s="152">
        <f t="shared" si="51"/>
        <v>8.5989868191578972E-2</v>
      </c>
      <c r="J2115" s="151"/>
      <c r="K2115" s="139"/>
    </row>
    <row r="2116" spans="1:11" ht="12.75" x14ac:dyDescent="0.2">
      <c r="A2116" s="151"/>
      <c r="B2116" s="151"/>
      <c r="C2116" s="148"/>
      <c r="D2116" s="148" t="s">
        <v>33</v>
      </c>
      <c r="E2116" s="165"/>
      <c r="F2116" s="150"/>
      <c r="G2116" s="147"/>
      <c r="H2116" s="155">
        <f>SUM(H2108:H2115)</f>
        <v>84289</v>
      </c>
      <c r="I2116" s="156">
        <f>SUM(I2108:I2115)</f>
        <v>1.0000000000000002</v>
      </c>
      <c r="J2116" s="151"/>
      <c r="K2116" s="139"/>
    </row>
    <row r="2117" spans="1:11" ht="12.75" x14ac:dyDescent="0.2">
      <c r="A2117" s="151"/>
      <c r="B2117" s="148"/>
      <c r="C2117" s="148"/>
      <c r="D2117" s="148"/>
      <c r="E2117" s="165"/>
      <c r="F2117" s="150"/>
      <c r="G2117" s="147"/>
      <c r="H2117" s="147"/>
      <c r="I2117" s="152"/>
      <c r="J2117" s="151"/>
      <c r="K2117" s="139"/>
    </row>
    <row r="2118" spans="1:11" ht="12.75" x14ac:dyDescent="0.2">
      <c r="A2118" s="148" t="s">
        <v>22</v>
      </c>
      <c r="B2118" s="148">
        <v>856</v>
      </c>
      <c r="C2118" s="148" t="s">
        <v>289</v>
      </c>
      <c r="D2118" s="37" t="s">
        <v>515</v>
      </c>
      <c r="E2118" s="165">
        <v>38581</v>
      </c>
      <c r="F2118" s="150">
        <v>20112557</v>
      </c>
      <c r="G2118" s="147">
        <v>87824</v>
      </c>
      <c r="H2118" s="147"/>
      <c r="I2118" s="147"/>
      <c r="J2118" s="151"/>
      <c r="K2118" s="139"/>
    </row>
    <row r="2119" spans="1:11" ht="12.75" x14ac:dyDescent="0.2">
      <c r="A2119" s="151"/>
      <c r="B2119" s="151"/>
      <c r="C2119" s="148"/>
      <c r="D2119" s="149" t="s">
        <v>261</v>
      </c>
      <c r="E2119" s="165"/>
      <c r="F2119" s="150"/>
      <c r="G2119" s="147"/>
      <c r="H2119" s="147">
        <v>19376</v>
      </c>
      <c r="I2119" s="152">
        <f>H2119/$H$2124</f>
        <v>0.36142510725610894</v>
      </c>
      <c r="J2119" s="153" t="s">
        <v>261</v>
      </c>
      <c r="K2119" s="139"/>
    </row>
    <row r="2120" spans="1:11" ht="12.75" x14ac:dyDescent="0.2">
      <c r="A2120" s="151"/>
      <c r="B2120" s="151"/>
      <c r="C2120" s="148"/>
      <c r="D2120" s="149" t="s">
        <v>284</v>
      </c>
      <c r="E2120" s="165"/>
      <c r="F2120" s="150"/>
      <c r="G2120" s="147"/>
      <c r="H2120" s="147">
        <v>3682</v>
      </c>
      <c r="I2120" s="152">
        <f>H2120/$H$2124</f>
        <v>6.8681216191009142E-2</v>
      </c>
      <c r="J2120" s="153"/>
      <c r="K2120" s="139"/>
    </row>
    <row r="2121" spans="1:11" ht="12.75" x14ac:dyDescent="0.2">
      <c r="A2121" s="151"/>
      <c r="B2121" s="151"/>
      <c r="C2121" s="148"/>
      <c r="D2121" s="149" t="s">
        <v>262</v>
      </c>
      <c r="E2121" s="165"/>
      <c r="F2121" s="150"/>
      <c r="G2121" s="147"/>
      <c r="H2121" s="147">
        <v>4275</v>
      </c>
      <c r="I2121" s="152">
        <f>H2121/$H$2124</f>
        <v>7.9742585338556243E-2</v>
      </c>
      <c r="J2121" s="151"/>
      <c r="K2121" s="139"/>
    </row>
    <row r="2122" spans="1:11" ht="12.75" x14ac:dyDescent="0.2">
      <c r="A2122" s="151"/>
      <c r="B2122" s="151"/>
      <c r="C2122" s="148"/>
      <c r="D2122" s="149" t="s">
        <v>288</v>
      </c>
      <c r="E2122" s="165"/>
      <c r="F2122" s="150"/>
      <c r="G2122" s="147"/>
      <c r="H2122" s="147">
        <v>23604</v>
      </c>
      <c r="I2122" s="152">
        <f>H2122/$H$2124</f>
        <v>0.44029099048684944</v>
      </c>
      <c r="J2122" s="153" t="s">
        <v>288</v>
      </c>
      <c r="K2122" s="139"/>
    </row>
    <row r="2123" spans="1:11" ht="12.75" x14ac:dyDescent="0.2">
      <c r="A2123" s="151"/>
      <c r="B2123" s="151"/>
      <c r="C2123" s="148"/>
      <c r="D2123" s="154" t="s">
        <v>292</v>
      </c>
      <c r="E2123" s="165"/>
      <c r="F2123" s="150"/>
      <c r="G2123" s="147"/>
      <c r="H2123" s="147">
        <v>2673</v>
      </c>
      <c r="I2123" s="152">
        <f>H2123/$H$2124</f>
        <v>4.9860100727476216E-2</v>
      </c>
      <c r="J2123" s="151"/>
      <c r="K2123" s="139"/>
    </row>
    <row r="2124" spans="1:11" ht="12.75" x14ac:dyDescent="0.2">
      <c r="A2124" s="151"/>
      <c r="B2124" s="151"/>
      <c r="C2124" s="148"/>
      <c r="D2124" s="148" t="s">
        <v>33</v>
      </c>
      <c r="E2124" s="165"/>
      <c r="F2124" s="150"/>
      <c r="G2124" s="147"/>
      <c r="H2124" s="155">
        <f>SUM(H2119:H2123)</f>
        <v>53610</v>
      </c>
      <c r="I2124" s="156">
        <f>SUM(I2119:I2123)</f>
        <v>1</v>
      </c>
      <c r="J2124" s="151"/>
      <c r="K2124" s="139"/>
    </row>
    <row r="2125" spans="1:11" ht="12.75" x14ac:dyDescent="0.2">
      <c r="A2125" s="151"/>
      <c r="B2125" s="151"/>
      <c r="C2125" s="148"/>
      <c r="D2125" s="148"/>
      <c r="E2125" s="165"/>
      <c r="F2125" s="150"/>
      <c r="G2125" s="147"/>
      <c r="H2125" s="147"/>
      <c r="I2125" s="152"/>
      <c r="J2125" s="151"/>
      <c r="K2125" s="139"/>
    </row>
    <row r="2126" spans="1:11" ht="12.75" x14ac:dyDescent="0.2">
      <c r="A2126" s="148" t="s">
        <v>22</v>
      </c>
      <c r="B2126" s="148">
        <v>833</v>
      </c>
      <c r="C2126" s="148" t="s">
        <v>289</v>
      </c>
      <c r="D2126" s="37" t="s">
        <v>558</v>
      </c>
      <c r="E2126" s="165">
        <v>39753</v>
      </c>
      <c r="F2126" s="150">
        <v>33949005</v>
      </c>
      <c r="G2126" s="147">
        <v>114903</v>
      </c>
      <c r="H2126" s="147"/>
      <c r="I2126" s="152"/>
      <c r="J2126" s="151"/>
      <c r="K2126" s="139"/>
    </row>
    <row r="2127" spans="1:11" ht="12.75" x14ac:dyDescent="0.2">
      <c r="A2127" s="151"/>
      <c r="B2127" s="151"/>
      <c r="C2127" s="148"/>
      <c r="D2127" s="149" t="s">
        <v>261</v>
      </c>
      <c r="E2127" s="165"/>
      <c r="F2127" s="150"/>
      <c r="G2127" s="147"/>
      <c r="H2127" s="147">
        <v>4963</v>
      </c>
      <c r="I2127" s="152" t="str">
        <f>E6</f>
        <v>Completion Date</v>
      </c>
      <c r="J2127" s="151"/>
      <c r="K2127" s="139"/>
    </row>
    <row r="2128" spans="1:11" ht="12.75" x14ac:dyDescent="0.2">
      <c r="A2128" s="151"/>
      <c r="B2128" s="151"/>
      <c r="C2128" s="148"/>
      <c r="D2128" s="149" t="s">
        <v>238</v>
      </c>
      <c r="E2128" s="165"/>
      <c r="F2128" s="150"/>
      <c r="G2128" s="147"/>
      <c r="H2128" s="147">
        <v>17744</v>
      </c>
      <c r="I2128" s="152">
        <f t="shared" ref="I2128:I2133" si="52">H2128/$H$2134</f>
        <v>0.29759329140461216</v>
      </c>
      <c r="J2128" s="153" t="s">
        <v>238</v>
      </c>
      <c r="K2128" s="139"/>
    </row>
    <row r="2129" spans="1:11" ht="12.75" x14ac:dyDescent="0.2">
      <c r="A2129" s="151"/>
      <c r="B2129" s="151"/>
      <c r="C2129" s="148"/>
      <c r="D2129" s="149" t="s">
        <v>239</v>
      </c>
      <c r="E2129" s="165"/>
      <c r="F2129" s="150"/>
      <c r="G2129" s="147"/>
      <c r="H2129" s="147">
        <v>8729</v>
      </c>
      <c r="I2129" s="152">
        <f t="shared" si="52"/>
        <v>0.14639832285115303</v>
      </c>
      <c r="J2129" s="151"/>
      <c r="K2129" s="139"/>
    </row>
    <row r="2130" spans="1:11" ht="12.75" x14ac:dyDescent="0.2">
      <c r="A2130" s="151"/>
      <c r="B2130" s="151"/>
      <c r="C2130" s="148"/>
      <c r="D2130" s="149" t="s">
        <v>262</v>
      </c>
      <c r="E2130" s="165"/>
      <c r="F2130" s="150"/>
      <c r="G2130" s="147"/>
      <c r="H2130" s="147">
        <v>3672</v>
      </c>
      <c r="I2130" s="152">
        <f t="shared" si="52"/>
        <v>6.1584905660377359E-2</v>
      </c>
      <c r="J2130" s="151"/>
      <c r="K2130" s="139"/>
    </row>
    <row r="2131" spans="1:11" ht="12.75" x14ac:dyDescent="0.2">
      <c r="A2131" s="151"/>
      <c r="B2131" s="151"/>
      <c r="C2131" s="148"/>
      <c r="D2131" s="149" t="s">
        <v>293</v>
      </c>
      <c r="E2131" s="165"/>
      <c r="F2131" s="150"/>
      <c r="G2131" s="147"/>
      <c r="H2131" s="147">
        <v>2672</v>
      </c>
      <c r="I2131" s="152">
        <f t="shared" si="52"/>
        <v>4.4813417190775681E-2</v>
      </c>
      <c r="J2131" s="151"/>
      <c r="K2131" s="139"/>
    </row>
    <row r="2132" spans="1:11" ht="12.75" x14ac:dyDescent="0.2">
      <c r="A2132" s="151"/>
      <c r="B2132" s="151"/>
      <c r="C2132" s="148"/>
      <c r="D2132" s="149" t="s">
        <v>288</v>
      </c>
      <c r="E2132" s="165"/>
      <c r="F2132" s="150"/>
      <c r="G2132" s="147"/>
      <c r="H2132" s="147">
        <v>20124</v>
      </c>
      <c r="I2132" s="152">
        <f t="shared" si="52"/>
        <v>0.33750943396226413</v>
      </c>
      <c r="J2132" s="153" t="s">
        <v>288</v>
      </c>
      <c r="K2132" s="139"/>
    </row>
    <row r="2133" spans="1:11" ht="12.75" x14ac:dyDescent="0.2">
      <c r="A2133" s="151"/>
      <c r="B2133" s="151"/>
      <c r="C2133" s="148"/>
      <c r="D2133" s="154" t="s">
        <v>292</v>
      </c>
      <c r="E2133" s="165"/>
      <c r="F2133" s="150"/>
      <c r="G2133" s="147"/>
      <c r="H2133" s="147">
        <v>1721</v>
      </c>
      <c r="I2133" s="152">
        <f t="shared" si="52"/>
        <v>2.8863731656184485E-2</v>
      </c>
      <c r="J2133" s="151"/>
      <c r="K2133" s="139"/>
    </row>
    <row r="2134" spans="1:11" ht="12.75" x14ac:dyDescent="0.2">
      <c r="A2134" s="151"/>
      <c r="B2134" s="151"/>
      <c r="C2134" s="148"/>
      <c r="D2134" s="148" t="s">
        <v>33</v>
      </c>
      <c r="E2134" s="165"/>
      <c r="F2134" s="150"/>
      <c r="G2134" s="147"/>
      <c r="H2134" s="155">
        <f>SUM(H2127:H2133)</f>
        <v>59625</v>
      </c>
      <c r="I2134" s="156">
        <f>SUM(I2127:I2133)</f>
        <v>0.91676310272536676</v>
      </c>
      <c r="J2134" s="151"/>
      <c r="K2134" s="139"/>
    </row>
    <row r="2135" spans="1:11" ht="12.75" x14ac:dyDescent="0.2">
      <c r="A2135" s="151"/>
      <c r="B2135" s="151"/>
      <c r="C2135" s="148"/>
      <c r="D2135" s="148"/>
      <c r="E2135" s="165"/>
      <c r="F2135" s="150"/>
      <c r="G2135" s="147"/>
      <c r="H2135" s="147"/>
      <c r="I2135" s="152"/>
      <c r="J2135" s="151"/>
      <c r="K2135" s="139"/>
    </row>
    <row r="2136" spans="1:11" ht="12.75" x14ac:dyDescent="0.2">
      <c r="A2136" s="148" t="s">
        <v>22</v>
      </c>
      <c r="B2136" s="148">
        <v>835</v>
      </c>
      <c r="C2136" s="148" t="s">
        <v>289</v>
      </c>
      <c r="D2136" s="147" t="s">
        <v>605</v>
      </c>
      <c r="E2136" s="165">
        <v>39823</v>
      </c>
      <c r="F2136" s="150">
        <v>13898708</v>
      </c>
      <c r="G2136" s="147">
        <v>58238</v>
      </c>
      <c r="H2136" s="147"/>
      <c r="I2136" s="152"/>
      <c r="J2136" s="151"/>
      <c r="K2136" s="139"/>
    </row>
    <row r="2137" spans="1:11" ht="12.75" x14ac:dyDescent="0.2">
      <c r="A2137" s="151"/>
      <c r="B2137" s="151"/>
      <c r="C2137" s="148"/>
      <c r="D2137" s="147" t="s">
        <v>581</v>
      </c>
      <c r="E2137" s="165"/>
      <c r="F2137" s="150"/>
      <c r="G2137" s="147"/>
      <c r="H2137" s="147">
        <v>4579</v>
      </c>
      <c r="I2137" s="152">
        <f>H2137/$H$2145</f>
        <v>0.10003713979857121</v>
      </c>
      <c r="J2137" s="151"/>
      <c r="K2137" s="139"/>
    </row>
    <row r="2138" spans="1:11" ht="12.75" x14ac:dyDescent="0.2">
      <c r="A2138" s="151"/>
      <c r="B2138" s="151"/>
      <c r="C2138" s="148"/>
      <c r="D2138" s="147" t="s">
        <v>582</v>
      </c>
      <c r="E2138" s="165"/>
      <c r="F2138" s="150"/>
      <c r="G2138" s="147"/>
      <c r="H2138" s="147">
        <v>1621</v>
      </c>
      <c r="I2138" s="152">
        <f t="shared" ref="I2138:I2144" si="53">H2138/$H$2145</f>
        <v>3.5413890284665635E-2</v>
      </c>
      <c r="J2138" s="151"/>
      <c r="K2138" s="139"/>
    </row>
    <row r="2139" spans="1:11" ht="12.75" x14ac:dyDescent="0.2">
      <c r="A2139" s="151"/>
      <c r="B2139" s="151"/>
      <c r="C2139" s="148"/>
      <c r="D2139" s="147" t="s">
        <v>583</v>
      </c>
      <c r="E2139" s="165"/>
      <c r="F2139" s="150"/>
      <c r="G2139" s="147"/>
      <c r="H2139" s="147">
        <v>1631</v>
      </c>
      <c r="I2139" s="152">
        <f t="shared" si="53"/>
        <v>3.5632359688025694E-2</v>
      </c>
      <c r="J2139" s="151"/>
      <c r="K2139" s="139"/>
    </row>
    <row r="2140" spans="1:11" ht="12.75" x14ac:dyDescent="0.2">
      <c r="A2140" s="151"/>
      <c r="B2140" s="151"/>
      <c r="C2140" s="148"/>
      <c r="D2140" s="147" t="s">
        <v>594</v>
      </c>
      <c r="E2140" s="165"/>
      <c r="F2140" s="150"/>
      <c r="G2140" s="147"/>
      <c r="H2140" s="147">
        <v>332</v>
      </c>
      <c r="I2140" s="152">
        <f t="shared" si="53"/>
        <v>7.2531841915539725E-3</v>
      </c>
      <c r="J2140" s="151"/>
      <c r="K2140" s="139"/>
    </row>
    <row r="2141" spans="1:11" ht="12.75" x14ac:dyDescent="0.2">
      <c r="A2141" s="151"/>
      <c r="B2141" s="151"/>
      <c r="C2141" s="148"/>
      <c r="D2141" s="147" t="s">
        <v>584</v>
      </c>
      <c r="E2141" s="165"/>
      <c r="F2141" s="150"/>
      <c r="G2141" s="147"/>
      <c r="H2141" s="147">
        <v>5379</v>
      </c>
      <c r="I2141" s="152">
        <f t="shared" si="53"/>
        <v>0.11751469206737597</v>
      </c>
      <c r="J2141" s="151"/>
      <c r="K2141" s="139"/>
    </row>
    <row r="2142" spans="1:11" ht="12.75" x14ac:dyDescent="0.2">
      <c r="A2142" s="151"/>
      <c r="B2142" s="151"/>
      <c r="C2142" s="148"/>
      <c r="D2142" s="147" t="s">
        <v>589</v>
      </c>
      <c r="E2142" s="165"/>
      <c r="F2142" s="150"/>
      <c r="G2142" s="147"/>
      <c r="H2142" s="147">
        <v>28607</v>
      </c>
      <c r="I2142" s="152">
        <f t="shared" si="53"/>
        <v>0.62497542219212199</v>
      </c>
      <c r="J2142" s="151" t="s">
        <v>589</v>
      </c>
      <c r="K2142" s="139"/>
    </row>
    <row r="2143" spans="1:11" ht="12.75" x14ac:dyDescent="0.2">
      <c r="A2143" s="151"/>
      <c r="B2143" s="151"/>
      <c r="C2143" s="148"/>
      <c r="D2143" s="147" t="s">
        <v>595</v>
      </c>
      <c r="E2143" s="165"/>
      <c r="F2143" s="150"/>
      <c r="G2143" s="147"/>
      <c r="H2143" s="147">
        <v>2094</v>
      </c>
      <c r="I2143" s="152">
        <f t="shared" si="53"/>
        <v>4.5747493063596441E-2</v>
      </c>
      <c r="J2143" s="151"/>
      <c r="K2143" s="139"/>
    </row>
    <row r="2144" spans="1:11" ht="12.75" x14ac:dyDescent="0.2">
      <c r="A2144" s="151"/>
      <c r="B2144" s="151"/>
      <c r="C2144" s="148"/>
      <c r="D2144" s="147" t="s">
        <v>615</v>
      </c>
      <c r="E2144" s="165"/>
      <c r="F2144" s="150"/>
      <c r="G2144" s="147"/>
      <c r="H2144" s="147">
        <v>1530</v>
      </c>
      <c r="I2144" s="152">
        <f t="shared" si="53"/>
        <v>3.3425818714089089E-2</v>
      </c>
      <c r="J2144" s="151"/>
      <c r="K2144" s="139"/>
    </row>
    <row r="2145" spans="1:11" ht="12.75" x14ac:dyDescent="0.2">
      <c r="A2145" s="151"/>
      <c r="B2145" s="151"/>
      <c r="C2145" s="148"/>
      <c r="D2145" s="148" t="s">
        <v>33</v>
      </c>
      <c r="E2145" s="165"/>
      <c r="F2145" s="150"/>
      <c r="G2145" s="147"/>
      <c r="H2145" s="167">
        <f>SUM(H2137:H2144)</f>
        <v>45773</v>
      </c>
      <c r="I2145" s="168">
        <f>SUM(I2137:I2144)</f>
        <v>1</v>
      </c>
      <c r="J2145" s="151"/>
      <c r="K2145" s="139"/>
    </row>
    <row r="2146" spans="1:11" ht="12.75" x14ac:dyDescent="0.2">
      <c r="A2146" s="151"/>
      <c r="B2146" s="151"/>
      <c r="C2146" s="148"/>
      <c r="D2146" s="148"/>
      <c r="E2146" s="165"/>
      <c r="F2146" s="150"/>
      <c r="G2146" s="147"/>
      <c r="H2146" s="147"/>
      <c r="I2146" s="152"/>
      <c r="J2146" s="151"/>
      <c r="K2146" s="139"/>
    </row>
    <row r="2147" spans="1:11" ht="12.75" x14ac:dyDescent="0.2">
      <c r="A2147" s="148" t="s">
        <v>22</v>
      </c>
      <c r="B2147" s="148">
        <v>835</v>
      </c>
      <c r="C2147" s="148" t="s">
        <v>289</v>
      </c>
      <c r="D2147" s="147" t="s">
        <v>614</v>
      </c>
      <c r="E2147" s="165"/>
      <c r="F2147" s="150">
        <v>5085920</v>
      </c>
      <c r="G2147" s="147">
        <v>12021</v>
      </c>
      <c r="H2147" s="147"/>
      <c r="I2147" s="152"/>
      <c r="J2147" s="151"/>
      <c r="K2147" s="139"/>
    </row>
    <row r="2148" spans="1:11" ht="12.75" x14ac:dyDescent="0.2">
      <c r="A2148" s="151"/>
      <c r="B2148" s="151"/>
      <c r="C2148" s="148"/>
      <c r="D2148" s="149" t="s">
        <v>599</v>
      </c>
      <c r="E2148" s="165"/>
      <c r="F2148" s="150"/>
      <c r="G2148" s="147"/>
      <c r="H2148" s="147">
        <v>1964</v>
      </c>
      <c r="I2148" s="152">
        <f>H2148/H2150</f>
        <v>0.68336812804453728</v>
      </c>
      <c r="J2148" s="151" t="s">
        <v>92</v>
      </c>
      <c r="K2148" s="139"/>
    </row>
    <row r="2149" spans="1:11" ht="12.75" x14ac:dyDescent="0.2">
      <c r="A2149" s="151"/>
      <c r="B2149" s="151"/>
      <c r="C2149" s="148"/>
      <c r="D2149" s="147" t="s">
        <v>615</v>
      </c>
      <c r="E2149" s="165"/>
      <c r="F2149" s="150"/>
      <c r="G2149" s="147"/>
      <c r="H2149" s="147">
        <v>910</v>
      </c>
      <c r="I2149" s="152">
        <f>H2149/H2150</f>
        <v>0.31663187195546277</v>
      </c>
      <c r="J2149" s="151"/>
      <c r="K2149" s="139"/>
    </row>
    <row r="2150" spans="1:11" ht="12.75" x14ac:dyDescent="0.2">
      <c r="A2150" s="151"/>
      <c r="B2150" s="151"/>
      <c r="C2150" s="148"/>
      <c r="D2150" s="148" t="s">
        <v>33</v>
      </c>
      <c r="E2150" s="165"/>
      <c r="F2150" s="150"/>
      <c r="G2150" s="147"/>
      <c r="H2150" s="167">
        <f>SUM(H2148:H2149)</f>
        <v>2874</v>
      </c>
      <c r="I2150" s="168">
        <f>SUM(I2148:I2149)</f>
        <v>1</v>
      </c>
      <c r="J2150" s="151"/>
      <c r="K2150" s="139"/>
    </row>
    <row r="2151" spans="1:11" ht="12.75" x14ac:dyDescent="0.2">
      <c r="A2151" s="151"/>
      <c r="B2151" s="151"/>
      <c r="C2151" s="148"/>
      <c r="D2151" s="148"/>
      <c r="E2151" s="165"/>
      <c r="F2151" s="150"/>
      <c r="G2151" s="147"/>
      <c r="H2151" s="147"/>
      <c r="I2151" s="152"/>
      <c r="J2151" s="151"/>
      <c r="K2151" s="139"/>
    </row>
    <row r="2152" spans="1:11" ht="12.75" x14ac:dyDescent="0.2">
      <c r="A2152" s="148" t="s">
        <v>22</v>
      </c>
      <c r="B2152" s="151"/>
      <c r="C2152" s="148" t="s">
        <v>289</v>
      </c>
      <c r="D2152" s="149" t="s">
        <v>626</v>
      </c>
      <c r="E2152" s="165">
        <v>41954</v>
      </c>
      <c r="F2152" s="150">
        <v>56163409</v>
      </c>
      <c r="G2152" s="147">
        <v>136076</v>
      </c>
      <c r="H2152" s="147"/>
      <c r="I2152" s="152"/>
      <c r="J2152" s="151"/>
      <c r="K2152" s="139"/>
    </row>
    <row r="2153" spans="1:11" ht="12.75" x14ac:dyDescent="0.2">
      <c r="A2153" s="151"/>
      <c r="B2153" s="151"/>
      <c r="C2153" s="148"/>
      <c r="D2153" s="149" t="s">
        <v>581</v>
      </c>
      <c r="E2153" s="165"/>
      <c r="F2153" s="150"/>
      <c r="G2153" s="147"/>
      <c r="H2153" s="147">
        <v>5707</v>
      </c>
      <c r="I2153" s="152">
        <f>H2153/$H$2164</f>
        <v>7.206172028890348E-2</v>
      </c>
      <c r="J2153" s="151"/>
      <c r="K2153" s="139"/>
    </row>
    <row r="2154" spans="1:11" ht="12.75" x14ac:dyDescent="0.2">
      <c r="A2154" s="151"/>
      <c r="B2154" s="151"/>
      <c r="C2154" s="148"/>
      <c r="D2154" s="149" t="s">
        <v>627</v>
      </c>
      <c r="E2154" s="165"/>
      <c r="F2154" s="150"/>
      <c r="G2154" s="147"/>
      <c r="H2154" s="147">
        <v>0</v>
      </c>
      <c r="I2154" s="152">
        <f>H2154/$H2164</f>
        <v>0</v>
      </c>
      <c r="J2154" s="151"/>
      <c r="K2154" s="139"/>
    </row>
    <row r="2155" spans="1:11" ht="12.75" x14ac:dyDescent="0.2">
      <c r="A2155" s="151"/>
      <c r="B2155" s="151"/>
      <c r="C2155" s="148"/>
      <c r="D2155" s="149" t="s">
        <v>603</v>
      </c>
      <c r="E2155" s="165"/>
      <c r="F2155" s="150"/>
      <c r="G2155" s="147"/>
      <c r="H2155" s="147">
        <v>11536</v>
      </c>
      <c r="I2155" s="152">
        <f>H2155/$H2164</f>
        <v>0.14566392242032425</v>
      </c>
      <c r="J2155" s="151"/>
      <c r="K2155" s="139"/>
    </row>
    <row r="2156" spans="1:11" ht="12.75" x14ac:dyDescent="0.2">
      <c r="A2156" s="151"/>
      <c r="B2156" s="151"/>
      <c r="C2156" s="148"/>
      <c r="D2156" s="149" t="s">
        <v>583</v>
      </c>
      <c r="E2156" s="165"/>
      <c r="F2156" s="150"/>
      <c r="G2156" s="147"/>
      <c r="H2156" s="147">
        <v>2004</v>
      </c>
      <c r="I2156" s="152">
        <f>H2156/$H2164</f>
        <v>2.5304308298398907E-2</v>
      </c>
      <c r="J2156" s="151"/>
      <c r="K2156" s="139"/>
    </row>
    <row r="2157" spans="1:11" ht="12.75" x14ac:dyDescent="0.2">
      <c r="A2157" s="151"/>
      <c r="B2157" s="151"/>
      <c r="C2157" s="148"/>
      <c r="D2157" s="149" t="s">
        <v>594</v>
      </c>
      <c r="E2157" s="165"/>
      <c r="F2157" s="150"/>
      <c r="G2157" s="147"/>
      <c r="H2157" s="147">
        <v>0</v>
      </c>
      <c r="I2157" s="152">
        <f>H2157/$H2164</f>
        <v>0</v>
      </c>
      <c r="J2157" s="151"/>
      <c r="K2157" s="139"/>
    </row>
    <row r="2158" spans="1:11" ht="12.75" x14ac:dyDescent="0.2">
      <c r="A2158" s="151"/>
      <c r="B2158" s="151"/>
      <c r="C2158" s="148"/>
      <c r="D2158" s="149" t="s">
        <v>584</v>
      </c>
      <c r="E2158" s="165"/>
      <c r="F2158" s="150"/>
      <c r="G2158" s="147"/>
      <c r="H2158" s="147">
        <v>0</v>
      </c>
      <c r="I2158" s="152">
        <f>H2158/$H2164</f>
        <v>0</v>
      </c>
      <c r="J2158" s="151"/>
      <c r="K2158" s="139"/>
    </row>
    <row r="2159" spans="1:11" ht="12.75" x14ac:dyDescent="0.2">
      <c r="A2159" s="151"/>
      <c r="B2159" s="151"/>
      <c r="C2159" s="148"/>
      <c r="D2159" s="149" t="s">
        <v>599</v>
      </c>
      <c r="E2159" s="165"/>
      <c r="F2159" s="150"/>
      <c r="G2159" s="147"/>
      <c r="H2159" s="147">
        <v>0</v>
      </c>
      <c r="I2159" s="152">
        <f>H2159/$H2164</f>
        <v>0</v>
      </c>
      <c r="J2159" s="151"/>
      <c r="K2159" s="139"/>
    </row>
    <row r="2160" spans="1:11" ht="12.75" x14ac:dyDescent="0.2">
      <c r="A2160" s="151"/>
      <c r="B2160" s="151"/>
      <c r="C2160" s="148"/>
      <c r="D2160" s="149" t="s">
        <v>628</v>
      </c>
      <c r="E2160" s="165"/>
      <c r="F2160" s="150"/>
      <c r="G2160" s="147"/>
      <c r="H2160" s="147">
        <v>3429</v>
      </c>
      <c r="I2160" s="152">
        <f>H2160/$H2164</f>
        <v>4.3297641295014899E-2</v>
      </c>
      <c r="J2160" s="151"/>
      <c r="K2160" s="139"/>
    </row>
    <row r="2161" spans="1:11" ht="12.75" x14ac:dyDescent="0.2">
      <c r="A2161" s="151"/>
      <c r="B2161" s="151"/>
      <c r="C2161" s="148"/>
      <c r="D2161" s="149" t="s">
        <v>589</v>
      </c>
      <c r="E2161" s="165"/>
      <c r="F2161" s="150"/>
      <c r="G2161" s="147"/>
      <c r="H2161" s="147">
        <v>24436</v>
      </c>
      <c r="I2161" s="152">
        <f>H2161/$H2164</f>
        <v>0.30855093691600588</v>
      </c>
      <c r="J2161" s="151" t="s">
        <v>596</v>
      </c>
      <c r="K2161" s="139"/>
    </row>
    <row r="2162" spans="1:11" ht="12.75" x14ac:dyDescent="0.2">
      <c r="A2162" s="151"/>
      <c r="B2162" s="151"/>
      <c r="C2162" s="148"/>
      <c r="D2162" s="149" t="s">
        <v>595</v>
      </c>
      <c r="E2162" s="165"/>
      <c r="F2162" s="150"/>
      <c r="G2162" s="147"/>
      <c r="H2162" s="147">
        <v>3907</v>
      </c>
      <c r="I2162" s="152">
        <f>H2162/$H2164</f>
        <v>4.9333299661599071E-2</v>
      </c>
      <c r="J2162" s="151"/>
      <c r="K2162" s="139"/>
    </row>
    <row r="2163" spans="1:11" ht="12.75" x14ac:dyDescent="0.2">
      <c r="A2163" s="151"/>
      <c r="B2163" s="151"/>
      <c r="C2163" s="148"/>
      <c r="D2163" s="149" t="s">
        <v>615</v>
      </c>
      <c r="E2163" s="165"/>
      <c r="F2163" s="150"/>
      <c r="G2163" s="147"/>
      <c r="H2163" s="147">
        <v>28177</v>
      </c>
      <c r="I2163" s="152">
        <f>H2163/$H2164</f>
        <v>0.35578817111975353</v>
      </c>
      <c r="J2163" s="151"/>
      <c r="K2163" s="139"/>
    </row>
    <row r="2164" spans="1:11" ht="12.75" x14ac:dyDescent="0.2">
      <c r="A2164" s="151"/>
      <c r="B2164" s="151"/>
      <c r="C2164" s="148"/>
      <c r="D2164" s="148" t="s">
        <v>33</v>
      </c>
      <c r="E2164" s="165"/>
      <c r="F2164" s="150"/>
      <c r="G2164" s="147"/>
      <c r="H2164" s="167">
        <f>SUM(H2153:H2163)</f>
        <v>79196</v>
      </c>
      <c r="I2164" s="168">
        <f>SUM(I2153:I2163)</f>
        <v>1</v>
      </c>
      <c r="J2164" s="151"/>
      <c r="K2164" s="139"/>
    </row>
    <row r="2165" spans="1:11" ht="12.75" x14ac:dyDescent="0.2">
      <c r="A2165" s="151"/>
      <c r="B2165" s="151"/>
      <c r="C2165" s="148"/>
      <c r="D2165" s="148"/>
      <c r="E2165" s="165"/>
      <c r="F2165" s="150"/>
      <c r="G2165" s="147"/>
      <c r="H2165" s="147"/>
      <c r="I2165" s="152"/>
      <c r="J2165" s="151"/>
      <c r="K2165" s="139"/>
    </row>
    <row r="2166" spans="1:11" ht="12.75" x14ac:dyDescent="0.2">
      <c r="A2166" s="148" t="s">
        <v>22</v>
      </c>
      <c r="B2166" s="148"/>
      <c r="C2166" s="148" t="s">
        <v>289</v>
      </c>
      <c r="D2166" s="149" t="s">
        <v>637</v>
      </c>
      <c r="E2166" s="165">
        <v>41865</v>
      </c>
      <c r="F2166" s="150">
        <v>36099868</v>
      </c>
      <c r="G2166" s="147">
        <v>113051</v>
      </c>
      <c r="H2166" s="147"/>
      <c r="I2166" s="152"/>
      <c r="J2166" s="151"/>
      <c r="K2166" s="139"/>
    </row>
    <row r="2167" spans="1:11" ht="12.75" x14ac:dyDescent="0.2">
      <c r="A2167" s="151"/>
      <c r="B2167" s="151"/>
      <c r="C2167" s="148"/>
      <c r="D2167" s="149" t="s">
        <v>581</v>
      </c>
      <c r="E2167" s="165"/>
      <c r="F2167" s="150"/>
      <c r="G2167" s="147"/>
      <c r="H2167" s="147">
        <v>3814</v>
      </c>
      <c r="I2167" s="152">
        <f>(H2167/H2172)</f>
        <v>6.7422086301684669E-2</v>
      </c>
      <c r="J2167" s="151"/>
      <c r="K2167" s="139"/>
    </row>
    <row r="2168" spans="1:11" ht="12.75" x14ac:dyDescent="0.2">
      <c r="A2168" s="151"/>
      <c r="B2168" s="151"/>
      <c r="C2168" s="148"/>
      <c r="D2168" s="149" t="s">
        <v>627</v>
      </c>
      <c r="E2168" s="165"/>
      <c r="F2168" s="150"/>
      <c r="G2168" s="147"/>
      <c r="H2168" s="147">
        <v>3615</v>
      </c>
      <c r="I2168" s="152">
        <f>H2168/H2172</f>
        <v>6.3904258516148421E-2</v>
      </c>
      <c r="J2168" s="151"/>
      <c r="K2168" s="139"/>
    </row>
    <row r="2169" spans="1:11" ht="12.75" x14ac:dyDescent="0.2">
      <c r="A2169" s="151"/>
      <c r="B2169" s="151"/>
      <c r="C2169" s="148"/>
      <c r="D2169" s="149" t="s">
        <v>589</v>
      </c>
      <c r="E2169" s="165"/>
      <c r="F2169" s="150"/>
      <c r="G2169" s="147"/>
      <c r="H2169" s="147">
        <v>40090</v>
      </c>
      <c r="I2169" s="152">
        <f>(H2169/H2172)</f>
        <v>0.70869203980978979</v>
      </c>
      <c r="J2169" s="151" t="s">
        <v>589</v>
      </c>
      <c r="K2169" s="139"/>
    </row>
    <row r="2170" spans="1:11" ht="12.75" x14ac:dyDescent="0.2">
      <c r="A2170" s="151"/>
      <c r="B2170" s="151"/>
      <c r="C2170" s="148"/>
      <c r="D2170" s="149" t="s">
        <v>586</v>
      </c>
      <c r="E2170" s="165"/>
      <c r="F2170" s="150"/>
      <c r="G2170" s="147"/>
      <c r="H2170" s="147">
        <v>268</v>
      </c>
      <c r="I2170" s="152">
        <f>(H2170/H2172)</f>
        <v>4.7375771182096198E-3</v>
      </c>
      <c r="J2170" s="151"/>
      <c r="K2170" s="139"/>
    </row>
    <row r="2171" spans="1:11" ht="12.75" x14ac:dyDescent="0.2">
      <c r="A2171" s="151"/>
      <c r="B2171" s="151"/>
      <c r="C2171" s="148"/>
      <c r="D2171" s="149" t="s">
        <v>615</v>
      </c>
      <c r="E2171" s="165"/>
      <c r="F2171" s="150"/>
      <c r="G2171" s="147"/>
      <c r="H2171" s="147">
        <v>8782</v>
      </c>
      <c r="I2171" s="152">
        <f>(H2171/H2172)</f>
        <v>0.15524403825416747</v>
      </c>
      <c r="J2171" s="151"/>
      <c r="K2171" s="139"/>
    </row>
    <row r="2172" spans="1:11" ht="12.75" x14ac:dyDescent="0.2">
      <c r="A2172" s="151"/>
      <c r="B2172" s="151"/>
      <c r="C2172" s="148"/>
      <c r="D2172" s="148" t="s">
        <v>33</v>
      </c>
      <c r="E2172" s="165"/>
      <c r="F2172" s="150"/>
      <c r="G2172" s="147"/>
      <c r="H2172" s="167">
        <f>SUM(H2167:H2171)</f>
        <v>56569</v>
      </c>
      <c r="I2172" s="168">
        <f>SUM(I2167:I2171)</f>
        <v>1</v>
      </c>
      <c r="J2172" s="151"/>
      <c r="K2172" s="139"/>
    </row>
    <row r="2173" spans="1:11" ht="12.75" x14ac:dyDescent="0.2">
      <c r="A2173" s="151"/>
      <c r="B2173" s="151"/>
      <c r="C2173" s="148"/>
      <c r="D2173" s="148"/>
      <c r="E2173" s="165"/>
      <c r="F2173" s="150"/>
      <c r="G2173" s="147"/>
      <c r="H2173" s="147"/>
      <c r="I2173" s="152"/>
      <c r="J2173" s="151"/>
      <c r="K2173" s="139"/>
    </row>
    <row r="2174" spans="1:11" ht="12.75" x14ac:dyDescent="0.2">
      <c r="A2174" s="148" t="s">
        <v>22</v>
      </c>
      <c r="B2174" s="148"/>
      <c r="C2174" s="148" t="s">
        <v>289</v>
      </c>
      <c r="D2174" s="149" t="s">
        <v>638</v>
      </c>
      <c r="E2174" s="165">
        <v>42169</v>
      </c>
      <c r="F2174" s="150">
        <v>46163143</v>
      </c>
      <c r="G2174" s="147">
        <v>159384</v>
      </c>
      <c r="H2174" s="147"/>
      <c r="I2174" s="152"/>
      <c r="J2174" s="151"/>
      <c r="K2174" s="139"/>
    </row>
    <row r="2175" spans="1:11" ht="12.75" x14ac:dyDescent="0.2">
      <c r="A2175" s="151"/>
      <c r="B2175" s="151"/>
      <c r="C2175" s="148"/>
      <c r="D2175" s="149" t="s">
        <v>581</v>
      </c>
      <c r="E2175" s="165"/>
      <c r="F2175" s="150"/>
      <c r="G2175" s="147"/>
      <c r="H2175" s="147">
        <v>5944</v>
      </c>
      <c r="I2175" s="152">
        <f>(H2175/H2180)</f>
        <v>9.5895715023231798E-2</v>
      </c>
      <c r="J2175" s="151"/>
      <c r="K2175" s="139"/>
    </row>
    <row r="2176" spans="1:11" ht="12.75" x14ac:dyDescent="0.2">
      <c r="A2176" s="151"/>
      <c r="B2176" s="151"/>
      <c r="C2176" s="148"/>
      <c r="D2176" s="149" t="s">
        <v>627</v>
      </c>
      <c r="E2176" s="165"/>
      <c r="F2176" s="150"/>
      <c r="G2176" s="147"/>
      <c r="H2176" s="147">
        <v>6287</v>
      </c>
      <c r="I2176" s="152">
        <f>(H2176/H2180)</f>
        <v>0.10142940113577698</v>
      </c>
      <c r="J2176" s="151"/>
      <c r="K2176" s="139"/>
    </row>
    <row r="2177" spans="1:11" ht="12.75" x14ac:dyDescent="0.2">
      <c r="A2177" s="151"/>
      <c r="B2177" s="151"/>
      <c r="C2177" s="148"/>
      <c r="D2177" s="149" t="s">
        <v>603</v>
      </c>
      <c r="E2177" s="165"/>
      <c r="F2177" s="150"/>
      <c r="G2177" s="147"/>
      <c r="H2177" s="147">
        <v>4186</v>
      </c>
      <c r="I2177" s="152">
        <f>(H2177/H2180)</f>
        <v>6.7533557046979872E-2</v>
      </c>
      <c r="J2177" s="151"/>
      <c r="K2177" s="139"/>
    </row>
    <row r="2178" spans="1:11" ht="12.75" x14ac:dyDescent="0.2">
      <c r="A2178" s="151"/>
      <c r="B2178" s="151"/>
      <c r="C2178" s="148"/>
      <c r="D2178" s="149" t="s">
        <v>589</v>
      </c>
      <c r="E2178" s="165"/>
      <c r="F2178" s="150"/>
      <c r="G2178" s="147"/>
      <c r="H2178" s="147">
        <v>38863</v>
      </c>
      <c r="I2178" s="152">
        <f>(H2178/H2180)</f>
        <v>0.62698438306659787</v>
      </c>
      <c r="J2178" s="151" t="s">
        <v>589</v>
      </c>
      <c r="K2178" s="139"/>
    </row>
    <row r="2179" spans="1:11" ht="12.75" x14ac:dyDescent="0.2">
      <c r="A2179" s="151"/>
      <c r="B2179" s="151"/>
      <c r="C2179" s="148"/>
      <c r="D2179" s="149" t="s">
        <v>615</v>
      </c>
      <c r="E2179" s="165"/>
      <c r="F2179" s="150"/>
      <c r="G2179" s="147"/>
      <c r="H2179" s="147">
        <v>6704</v>
      </c>
      <c r="I2179" s="152">
        <f>(H2179/H2180)</f>
        <v>0.10815694372741352</v>
      </c>
      <c r="J2179" s="151"/>
      <c r="K2179" s="139"/>
    </row>
    <row r="2180" spans="1:11" ht="12.75" x14ac:dyDescent="0.2">
      <c r="A2180" s="151"/>
      <c r="B2180" s="151"/>
      <c r="C2180" s="148"/>
      <c r="D2180" s="148" t="s">
        <v>33</v>
      </c>
      <c r="E2180" s="165"/>
      <c r="F2180" s="150"/>
      <c r="G2180" s="147"/>
      <c r="H2180" s="167">
        <f>SUM(H2175:H2179)</f>
        <v>61984</v>
      </c>
      <c r="I2180" s="168">
        <f>SUM(I2175:I2179)</f>
        <v>1</v>
      </c>
      <c r="J2180" s="151"/>
      <c r="K2180" s="139"/>
    </row>
    <row r="2181" spans="1:11" ht="12.75" x14ac:dyDescent="0.2">
      <c r="A2181" s="151"/>
      <c r="B2181" s="151"/>
      <c r="C2181" s="148"/>
      <c r="D2181" s="148"/>
      <c r="E2181" s="165"/>
      <c r="F2181" s="150"/>
      <c r="G2181" s="147"/>
      <c r="H2181" s="147"/>
      <c r="I2181" s="152"/>
      <c r="J2181" s="151"/>
      <c r="K2181" s="139"/>
    </row>
    <row r="2182" spans="1:11" ht="12.75" x14ac:dyDescent="0.2">
      <c r="A2182" s="148" t="s">
        <v>22</v>
      </c>
      <c r="B2182" s="148"/>
      <c r="C2182" s="148" t="s">
        <v>289</v>
      </c>
      <c r="D2182" s="149" t="s">
        <v>653</v>
      </c>
      <c r="E2182" s="165">
        <v>42385</v>
      </c>
      <c r="F2182" s="186">
        <v>48192018</v>
      </c>
      <c r="G2182" s="147">
        <v>800949</v>
      </c>
      <c r="H2182" s="152"/>
      <c r="I2182" s="151"/>
      <c r="J2182" s="147"/>
      <c r="K2182" s="139"/>
    </row>
    <row r="2183" spans="1:11" ht="12.75" x14ac:dyDescent="0.2">
      <c r="A2183" s="151"/>
      <c r="B2183" s="151"/>
      <c r="C2183" s="148"/>
      <c r="D2183" s="149" t="s">
        <v>581</v>
      </c>
      <c r="E2183" s="165"/>
      <c r="F2183" s="150"/>
      <c r="G2183" s="147"/>
      <c r="H2183" s="147">
        <v>9707</v>
      </c>
      <c r="I2183" s="152">
        <f t="shared" ref="I2183:I2189" si="54">H2183/$H$2189</f>
        <v>1.3727320294712429E-2</v>
      </c>
      <c r="J2183" s="151"/>
      <c r="K2183" s="139"/>
    </row>
    <row r="2184" spans="1:11" ht="12.75" x14ac:dyDescent="0.2">
      <c r="A2184" s="151"/>
      <c r="B2184" s="151"/>
      <c r="C2184" s="148"/>
      <c r="D2184" s="149" t="s">
        <v>627</v>
      </c>
      <c r="E2184" s="165"/>
      <c r="F2184" s="150"/>
      <c r="G2184" s="147"/>
      <c r="H2184" s="147">
        <v>4360</v>
      </c>
      <c r="I2184" s="152">
        <f t="shared" si="54"/>
        <v>6.1657686705414846E-3</v>
      </c>
      <c r="J2184" s="151"/>
      <c r="K2184" s="139"/>
    </row>
    <row r="2185" spans="1:11" ht="12.75" x14ac:dyDescent="0.2">
      <c r="A2185" s="151"/>
      <c r="B2185" s="151"/>
      <c r="C2185" s="148"/>
      <c r="D2185" s="149" t="s">
        <v>583</v>
      </c>
      <c r="E2185" s="165"/>
      <c r="F2185" s="150"/>
      <c r="G2185" s="147"/>
      <c r="H2185" s="147">
        <v>501</v>
      </c>
      <c r="I2185" s="152">
        <f t="shared" si="54"/>
        <v>7.0849773026176229E-4</v>
      </c>
      <c r="J2185" s="151"/>
      <c r="K2185" s="139"/>
    </row>
    <row r="2186" spans="1:11" ht="12.75" x14ac:dyDescent="0.2">
      <c r="A2186" s="151"/>
      <c r="B2186" s="151"/>
      <c r="C2186" s="148"/>
      <c r="D2186" s="149" t="s">
        <v>589</v>
      </c>
      <c r="E2186" s="165"/>
      <c r="F2186" s="150"/>
      <c r="G2186" s="147"/>
      <c r="H2186" s="147">
        <v>5293</v>
      </c>
      <c r="I2186" s="152">
        <f t="shared" si="54"/>
        <v>7.4851865993523113E-3</v>
      </c>
      <c r="J2186" s="151"/>
      <c r="K2186" s="139"/>
    </row>
    <row r="2187" spans="1:11" ht="12.75" x14ac:dyDescent="0.2">
      <c r="A2187" s="151"/>
      <c r="B2187" s="151"/>
      <c r="C2187" s="148"/>
      <c r="D2187" s="149" t="s">
        <v>586</v>
      </c>
      <c r="E2187" s="165"/>
      <c r="F2187" s="150"/>
      <c r="G2187" s="147"/>
      <c r="H2187" s="147">
        <v>672350</v>
      </c>
      <c r="I2187" s="152">
        <f t="shared" si="54"/>
        <v>0.95081526734829525</v>
      </c>
      <c r="J2187" s="151" t="s">
        <v>661</v>
      </c>
      <c r="K2187" s="139"/>
    </row>
    <row r="2188" spans="1:11" ht="12.75" x14ac:dyDescent="0.2">
      <c r="A2188" s="151"/>
      <c r="B2188" s="151"/>
      <c r="C2188" s="148"/>
      <c r="D2188" s="149" t="s">
        <v>615</v>
      </c>
      <c r="E2188" s="165"/>
      <c r="F2188" s="150"/>
      <c r="G2188" s="147"/>
      <c r="H2188" s="147">
        <v>14919</v>
      </c>
      <c r="I2188" s="152">
        <f t="shared" si="54"/>
        <v>2.1097959356836792E-2</v>
      </c>
      <c r="J2188" s="151"/>
      <c r="K2188" s="139"/>
    </row>
    <row r="2189" spans="1:11" ht="12.75" x14ac:dyDescent="0.2">
      <c r="A2189" s="151"/>
      <c r="B2189" s="151"/>
      <c r="C2189" s="148"/>
      <c r="D2189" s="148" t="s">
        <v>33</v>
      </c>
      <c r="E2189" s="165"/>
      <c r="F2189" s="150"/>
      <c r="G2189" s="147"/>
      <c r="H2189" s="167">
        <v>707130</v>
      </c>
      <c r="I2189" s="168">
        <f t="shared" si="54"/>
        <v>1</v>
      </c>
      <c r="J2189" s="151"/>
      <c r="K2189" s="139"/>
    </row>
    <row r="2190" spans="1:11" ht="12.75" x14ac:dyDescent="0.2">
      <c r="A2190" s="151"/>
      <c r="B2190" s="151"/>
      <c r="C2190" s="148"/>
      <c r="D2190" s="148"/>
      <c r="E2190" s="165"/>
      <c r="F2190" s="150"/>
      <c r="G2190" s="147"/>
      <c r="H2190" s="147"/>
      <c r="I2190" s="152"/>
      <c r="J2190" s="151"/>
      <c r="K2190" s="139"/>
    </row>
    <row r="2191" spans="1:11" ht="12.75" x14ac:dyDescent="0.2">
      <c r="A2191" s="148" t="s">
        <v>22</v>
      </c>
      <c r="B2191" s="148"/>
      <c r="C2191" s="148" t="s">
        <v>289</v>
      </c>
      <c r="D2191" s="149" t="s">
        <v>660</v>
      </c>
      <c r="E2191" s="165">
        <v>42552</v>
      </c>
      <c r="F2191" s="150">
        <v>33662314</v>
      </c>
      <c r="G2191" s="147">
        <v>94476</v>
      </c>
      <c r="H2191" s="147"/>
      <c r="I2191" s="152"/>
      <c r="J2191" s="151"/>
      <c r="K2191" s="139"/>
    </row>
    <row r="2192" spans="1:11" ht="12.75" x14ac:dyDescent="0.2">
      <c r="A2192" s="151"/>
      <c r="B2192" s="151"/>
      <c r="C2192" s="148"/>
      <c r="D2192" s="149" t="s">
        <v>581</v>
      </c>
      <c r="E2192" s="165"/>
      <c r="F2192" s="150"/>
      <c r="G2192" s="147"/>
      <c r="H2192" s="147">
        <v>13049</v>
      </c>
      <c r="I2192" s="152">
        <f>H2192/$H$2196</f>
        <v>0.31953082912973213</v>
      </c>
      <c r="J2192" s="151" t="s">
        <v>16</v>
      </c>
      <c r="K2192" s="139"/>
    </row>
    <row r="2193" spans="1:11" ht="12.75" x14ac:dyDescent="0.2">
      <c r="A2193" s="151"/>
      <c r="B2193" s="151"/>
      <c r="C2193" s="148"/>
      <c r="D2193" s="149" t="s">
        <v>583</v>
      </c>
      <c r="E2193" s="165"/>
      <c r="F2193" s="150"/>
      <c r="G2193" s="147"/>
      <c r="H2193" s="147">
        <v>50</v>
      </c>
      <c r="I2193" s="152">
        <f>H2193/$H$2196</f>
        <v>1.2243498702189136E-3</v>
      </c>
      <c r="J2193" s="151"/>
      <c r="K2193" s="139"/>
    </row>
    <row r="2194" spans="1:11" ht="12.75" x14ac:dyDescent="0.2">
      <c r="A2194" s="151"/>
      <c r="B2194" s="151"/>
      <c r="C2194" s="148"/>
      <c r="D2194" s="149" t="s">
        <v>589</v>
      </c>
      <c r="E2194" s="165"/>
      <c r="F2194" s="150"/>
      <c r="G2194" s="147"/>
      <c r="H2194" s="147">
        <v>23609</v>
      </c>
      <c r="I2194" s="152">
        <f>H2194/$H$2196</f>
        <v>0.57811352171996666</v>
      </c>
      <c r="J2194" s="151" t="s">
        <v>63</v>
      </c>
      <c r="K2194" s="139"/>
    </row>
    <row r="2195" spans="1:11" ht="12.75" x14ac:dyDescent="0.2">
      <c r="A2195" s="151"/>
      <c r="B2195" s="151"/>
      <c r="C2195" s="148"/>
      <c r="D2195" s="149" t="s">
        <v>615</v>
      </c>
      <c r="E2195" s="165"/>
      <c r="F2195" s="150"/>
      <c r="G2195" s="147"/>
      <c r="H2195" s="147">
        <v>4130</v>
      </c>
      <c r="I2195" s="152">
        <f>H2195/$H$2196</f>
        <v>0.10113129928008227</v>
      </c>
      <c r="J2195" s="151"/>
      <c r="K2195" s="139"/>
    </row>
    <row r="2196" spans="1:11" ht="12.75" x14ac:dyDescent="0.2">
      <c r="A2196" s="151"/>
      <c r="B2196" s="151"/>
      <c r="C2196" s="148"/>
      <c r="D2196" s="148" t="s">
        <v>33</v>
      </c>
      <c r="E2196" s="165"/>
      <c r="F2196" s="150"/>
      <c r="G2196" s="147"/>
      <c r="H2196" s="167">
        <f>SUM(H2192:H2195)</f>
        <v>40838</v>
      </c>
      <c r="I2196" s="168">
        <f>H2196/$H$2196</f>
        <v>1</v>
      </c>
      <c r="J2196" s="151"/>
      <c r="K2196" s="139"/>
    </row>
    <row r="2197" spans="1:11" ht="12.75" x14ac:dyDescent="0.2">
      <c r="A2197" s="151"/>
      <c r="B2197" s="151"/>
      <c r="C2197" s="148"/>
      <c r="D2197" s="148"/>
      <c r="E2197" s="165"/>
      <c r="F2197" s="150"/>
      <c r="G2197" s="147"/>
      <c r="H2197" s="177"/>
      <c r="I2197" s="178"/>
      <c r="J2197" s="151"/>
      <c r="K2197" s="139"/>
    </row>
    <row r="2198" spans="1:11" ht="12.75" x14ac:dyDescent="0.2">
      <c r="A2198" s="148" t="s">
        <v>22</v>
      </c>
      <c r="B2198" s="148"/>
      <c r="C2198" s="148" t="s">
        <v>289</v>
      </c>
      <c r="D2198" s="149" t="s">
        <v>668</v>
      </c>
      <c r="E2198" s="165">
        <v>43041</v>
      </c>
      <c r="F2198" s="150">
        <v>20097653</v>
      </c>
      <c r="G2198" s="147">
        <v>61738</v>
      </c>
      <c r="H2198" s="147"/>
      <c r="I2198" s="152"/>
      <c r="J2198" s="151"/>
      <c r="K2198" s="139"/>
    </row>
    <row r="2199" spans="1:11" ht="12.75" x14ac:dyDescent="0.2">
      <c r="A2199" s="151"/>
      <c r="B2199" s="151"/>
      <c r="C2199" s="148"/>
      <c r="D2199" s="149" t="s">
        <v>589</v>
      </c>
      <c r="E2199" s="165"/>
      <c r="F2199" s="150"/>
      <c r="G2199" s="147"/>
      <c r="H2199" s="147">
        <v>560</v>
      </c>
      <c r="I2199" s="152">
        <f>H2199/$H$2201</f>
        <v>1.3855213023900243E-2</v>
      </c>
      <c r="J2199" s="151"/>
      <c r="K2199" s="139"/>
    </row>
    <row r="2200" spans="1:11" ht="12.75" x14ac:dyDescent="0.2">
      <c r="A2200" s="151"/>
      <c r="B2200" s="151"/>
      <c r="C2200" s="148"/>
      <c r="D2200" s="149" t="s">
        <v>615</v>
      </c>
      <c r="E2200" s="165"/>
      <c r="F2200" s="150"/>
      <c r="G2200" s="147"/>
      <c r="H2200" s="147">
        <v>39858</v>
      </c>
      <c r="I2200" s="152">
        <f>H2200/$H$2201</f>
        <v>0.98614478697609975</v>
      </c>
      <c r="J2200" s="151" t="s">
        <v>675</v>
      </c>
      <c r="K2200" s="139"/>
    </row>
    <row r="2201" spans="1:11" ht="12.75" x14ac:dyDescent="0.2">
      <c r="A2201" s="151"/>
      <c r="B2201" s="151"/>
      <c r="C2201" s="148"/>
      <c r="D2201" s="148" t="s">
        <v>33</v>
      </c>
      <c r="E2201" s="165"/>
      <c r="F2201" s="150"/>
      <c r="G2201" s="147"/>
      <c r="H2201" s="167">
        <f>SUM(H2199:H2200)</f>
        <v>40418</v>
      </c>
      <c r="I2201" s="168">
        <f>H2201/$H$2201</f>
        <v>1</v>
      </c>
      <c r="J2201" s="151"/>
      <c r="K2201" s="139"/>
    </row>
    <row r="2202" spans="1:11" ht="12.75" x14ac:dyDescent="0.2">
      <c r="A2202" s="151"/>
      <c r="B2202" s="151"/>
      <c r="C2202" s="148"/>
      <c r="D2202" s="148"/>
      <c r="E2202" s="165"/>
      <c r="F2202" s="150"/>
      <c r="G2202" s="147"/>
      <c r="H2202" s="177"/>
      <c r="I2202" s="178"/>
      <c r="J2202" s="151"/>
      <c r="K2202" s="139"/>
    </row>
    <row r="2203" spans="1:11" ht="12.75" x14ac:dyDescent="0.2">
      <c r="A2203" s="148" t="s">
        <v>22</v>
      </c>
      <c r="B2203" s="151"/>
      <c r="C2203" s="148" t="s">
        <v>289</v>
      </c>
      <c r="D2203" s="149" t="s">
        <v>739</v>
      </c>
      <c r="E2203" s="165">
        <v>44637</v>
      </c>
      <c r="F2203" s="150">
        <v>6740054.4400000004</v>
      </c>
      <c r="G2203" s="147">
        <v>15543</v>
      </c>
      <c r="H2203" s="147"/>
      <c r="I2203" s="152"/>
      <c r="J2203" s="151"/>
      <c r="K2203" s="139"/>
    </row>
    <row r="2204" spans="1:11" ht="12.75" x14ac:dyDescent="0.2">
      <c r="A2204" s="151"/>
      <c r="B2204" s="151"/>
      <c r="C2204" s="148"/>
      <c r="D2204" s="149" t="s">
        <v>581</v>
      </c>
      <c r="E2204" s="165"/>
      <c r="F2204" s="150"/>
      <c r="G2204" s="147"/>
      <c r="H2204" s="147">
        <v>2682</v>
      </c>
      <c r="I2204" s="152">
        <f>H2204/$H$2206</f>
        <v>0.29899665551839466</v>
      </c>
      <c r="J2204" s="151" t="s">
        <v>564</v>
      </c>
      <c r="K2204" s="139"/>
    </row>
    <row r="2205" spans="1:11" ht="12.75" x14ac:dyDescent="0.2">
      <c r="A2205" s="151"/>
      <c r="B2205" s="151"/>
      <c r="C2205" s="148"/>
      <c r="D2205" s="149" t="s">
        <v>589</v>
      </c>
      <c r="E2205" s="165"/>
      <c r="F2205" s="150"/>
      <c r="G2205" s="147"/>
      <c r="H2205" s="147">
        <v>6288</v>
      </c>
      <c r="I2205" s="152">
        <f>H2205/$H$2206</f>
        <v>0.70100334448160539</v>
      </c>
      <c r="J2205" s="151" t="s">
        <v>596</v>
      </c>
      <c r="K2205" s="139"/>
    </row>
    <row r="2206" spans="1:11" ht="12.75" x14ac:dyDescent="0.2">
      <c r="A2206" s="151"/>
      <c r="B2206" s="151"/>
      <c r="C2206" s="148"/>
      <c r="D2206" s="148" t="s">
        <v>33</v>
      </c>
      <c r="E2206" s="165"/>
      <c r="F2206" s="150"/>
      <c r="G2206" s="147"/>
      <c r="H2206" s="167">
        <f>SUM(H2204:H2205)</f>
        <v>8970</v>
      </c>
      <c r="I2206" s="168">
        <f>SUM(I2204:I2205)</f>
        <v>1</v>
      </c>
      <c r="J2206" s="151"/>
      <c r="K2206" s="139"/>
    </row>
    <row r="2207" spans="1:11" ht="12.75" x14ac:dyDescent="0.2">
      <c r="A2207" s="151"/>
      <c r="B2207" s="151"/>
      <c r="C2207" s="148"/>
      <c r="D2207" s="148"/>
      <c r="E2207" s="165"/>
      <c r="F2207" s="150"/>
      <c r="G2207" s="147"/>
      <c r="H2207" s="167"/>
      <c r="I2207" s="168"/>
      <c r="J2207" s="151"/>
      <c r="K2207" s="139"/>
    </row>
    <row r="2208" spans="1:11" ht="12.75" x14ac:dyDescent="0.2">
      <c r="A2208" s="151"/>
      <c r="B2208" s="151"/>
      <c r="C2208" s="148"/>
      <c r="D2208" s="148"/>
      <c r="E2208" s="165"/>
      <c r="F2208" s="150"/>
      <c r="G2208" s="147"/>
      <c r="H2208" s="167"/>
      <c r="I2208" s="168"/>
      <c r="J2208" s="151"/>
      <c r="K2208" s="139"/>
    </row>
    <row r="2209" spans="1:11" ht="12.75" x14ac:dyDescent="0.2">
      <c r="A2209" s="233" t="s">
        <v>22</v>
      </c>
      <c r="B2209" s="234"/>
      <c r="C2209" s="233" t="s">
        <v>289</v>
      </c>
      <c r="D2209" s="235" t="s">
        <v>770</v>
      </c>
      <c r="E2209" s="236">
        <v>45565</v>
      </c>
      <c r="F2209" s="237">
        <v>32222383</v>
      </c>
      <c r="G2209" s="238">
        <v>84858</v>
      </c>
      <c r="H2209" s="238"/>
      <c r="I2209" s="239"/>
      <c r="J2209" s="234"/>
      <c r="K2209" s="139"/>
    </row>
    <row r="2210" spans="1:11" ht="12.75" x14ac:dyDescent="0.2">
      <c r="A2210" s="234"/>
      <c r="B2210" s="234"/>
      <c r="C2210" s="233"/>
      <c r="D2210" s="235" t="s">
        <v>581</v>
      </c>
      <c r="E2210" s="236"/>
      <c r="F2210" s="237"/>
      <c r="G2210" s="238"/>
      <c r="H2210" s="238">
        <v>6996</v>
      </c>
      <c r="I2210" s="239">
        <f>H2210/H2214</f>
        <v>0.14452753790852374</v>
      </c>
      <c r="J2210" s="234"/>
      <c r="K2210" s="139"/>
    </row>
    <row r="2211" spans="1:11" ht="12.75" x14ac:dyDescent="0.2">
      <c r="A2211" s="234"/>
      <c r="B2211" s="234"/>
      <c r="C2211" s="233"/>
      <c r="D2211" s="235" t="s">
        <v>78</v>
      </c>
      <c r="E2211" s="236"/>
      <c r="F2211" s="237"/>
      <c r="G2211" s="238"/>
      <c r="H2211" s="238">
        <v>2558</v>
      </c>
      <c r="I2211" s="239">
        <f>H2211/H2214</f>
        <v>5.2844688674957653E-2</v>
      </c>
      <c r="J2211" s="234"/>
      <c r="K2211" s="139"/>
    </row>
    <row r="2212" spans="1:11" ht="12.75" x14ac:dyDescent="0.2">
      <c r="A2212" s="234"/>
      <c r="B2212" s="234"/>
      <c r="C2212" s="233"/>
      <c r="D2212" s="235" t="s">
        <v>673</v>
      </c>
      <c r="E2212" s="236"/>
      <c r="F2212" s="237"/>
      <c r="G2212" s="238"/>
      <c r="H2212" s="238">
        <v>31088</v>
      </c>
      <c r="I2212" s="239">
        <f>H2212/H2214</f>
        <v>0.64223443374788247</v>
      </c>
      <c r="J2212" s="234" t="s">
        <v>673</v>
      </c>
      <c r="K2212" s="139"/>
    </row>
    <row r="2213" spans="1:11" ht="12.75" x14ac:dyDescent="0.2">
      <c r="A2213" s="234"/>
      <c r="B2213" s="234"/>
      <c r="C2213" s="233"/>
      <c r="D2213" s="235" t="s">
        <v>661</v>
      </c>
      <c r="E2213" s="236"/>
      <c r="F2213" s="237"/>
      <c r="G2213" s="238"/>
      <c r="H2213" s="238">
        <v>7764</v>
      </c>
      <c r="I2213" s="239">
        <f>H2213/H2214</f>
        <v>0.16039333966863611</v>
      </c>
      <c r="J2213" s="234"/>
      <c r="K2213" s="139"/>
    </row>
    <row r="2214" spans="1:11" ht="12.75" x14ac:dyDescent="0.2">
      <c r="A2214" s="234"/>
      <c r="B2214" s="234"/>
      <c r="C2214" s="233"/>
      <c r="D2214" s="233" t="s">
        <v>33</v>
      </c>
      <c r="E2214" s="236"/>
      <c r="F2214" s="237"/>
      <c r="G2214" s="238"/>
      <c r="H2214" s="238">
        <f>SUM(H2210:H2213)</f>
        <v>48406</v>
      </c>
      <c r="I2214" s="239">
        <f>SUM(I2210:I2213)</f>
        <v>1</v>
      </c>
      <c r="J2214" s="234"/>
      <c r="K2214" s="139"/>
    </row>
    <row r="2215" spans="1:11" ht="12.75" x14ac:dyDescent="0.2">
      <c r="A2215" s="151"/>
      <c r="B2215" s="151"/>
      <c r="C2215" s="148"/>
      <c r="D2215" s="148"/>
      <c r="E2215" s="165"/>
      <c r="F2215" s="150"/>
      <c r="G2215" s="147"/>
      <c r="H2215" s="147"/>
      <c r="I2215" s="152"/>
      <c r="J2215" s="151"/>
      <c r="K2215" s="139"/>
    </row>
    <row r="2216" spans="1:11" ht="12.75" x14ac:dyDescent="0.2">
      <c r="A2216" s="151"/>
      <c r="B2216" s="151"/>
      <c r="C2216" s="148"/>
      <c r="D2216" s="149" t="s">
        <v>238</v>
      </c>
      <c r="E2216" s="165"/>
      <c r="F2216" s="150"/>
      <c r="G2216" s="147"/>
      <c r="H2216" s="147">
        <v>12500</v>
      </c>
      <c r="I2216" s="152">
        <f>ROUND(H2216/$H$2220,4)-0.0001</f>
        <v>0.4733</v>
      </c>
      <c r="J2216" s="153" t="s">
        <v>238</v>
      </c>
      <c r="K2216" s="139"/>
    </row>
    <row r="2217" spans="1:11" ht="12.75" x14ac:dyDescent="0.2">
      <c r="A2217" s="151"/>
      <c r="B2217" s="151"/>
      <c r="C2217" s="148"/>
      <c r="D2217" s="149" t="s">
        <v>239</v>
      </c>
      <c r="E2217" s="165"/>
      <c r="F2217" s="150"/>
      <c r="G2217" s="147"/>
      <c r="H2217" s="147">
        <v>1500</v>
      </c>
      <c r="I2217" s="152">
        <f>ROUND(H2217/$H$2220,4)</f>
        <v>5.6800000000000003E-2</v>
      </c>
      <c r="J2217" s="151"/>
      <c r="K2217" s="139"/>
    </row>
    <row r="2218" spans="1:11" ht="12.75" x14ac:dyDescent="0.2">
      <c r="A2218" s="151"/>
      <c r="B2218" s="151"/>
      <c r="C2218" s="148"/>
      <c r="D2218" s="149" t="s">
        <v>240</v>
      </c>
      <c r="E2218" s="165"/>
      <c r="F2218" s="150"/>
      <c r="G2218" s="147"/>
      <c r="H2218" s="147">
        <v>7654</v>
      </c>
      <c r="I2218" s="152">
        <f>ROUND(H2218/$H$2220,4)</f>
        <v>0.28989999999999999</v>
      </c>
      <c r="J2218" s="153" t="s">
        <v>240</v>
      </c>
      <c r="K2218" s="139"/>
    </row>
    <row r="2219" spans="1:11" ht="12.75" x14ac:dyDescent="0.2">
      <c r="A2219" s="151"/>
      <c r="B2219" s="151"/>
      <c r="C2219" s="148"/>
      <c r="D2219" s="154" t="s">
        <v>244</v>
      </c>
      <c r="E2219" s="165"/>
      <c r="F2219" s="150"/>
      <c r="G2219" s="147"/>
      <c r="H2219" s="147">
        <v>4750</v>
      </c>
      <c r="I2219" s="152">
        <f>ROUND(H2219/$H$2220,4)</f>
        <v>0.1799</v>
      </c>
      <c r="J2219" s="151"/>
      <c r="K2219" s="139"/>
    </row>
    <row r="2220" spans="1:11" ht="12.75" x14ac:dyDescent="0.2">
      <c r="A2220" s="151"/>
      <c r="B2220" s="151"/>
      <c r="C2220" s="148"/>
      <c r="D2220" s="148" t="s">
        <v>33</v>
      </c>
      <c r="E2220" s="165"/>
      <c r="F2220" s="150"/>
      <c r="G2220" s="147"/>
      <c r="H2220" s="155">
        <f>SUM(H2216:H2219)</f>
        <v>26404</v>
      </c>
      <c r="I2220" s="156">
        <f>SUM(I2216:I2219)</f>
        <v>0.99990000000000001</v>
      </c>
      <c r="J2220" s="151"/>
      <c r="K2220" s="139"/>
    </row>
    <row r="2221" spans="1:11" ht="12.75" x14ac:dyDescent="0.2">
      <c r="A2221" s="151"/>
      <c r="B2221" s="151"/>
      <c r="C2221" s="148"/>
      <c r="D2221" s="147"/>
      <c r="E2221" s="165"/>
      <c r="F2221" s="150"/>
      <c r="G2221" s="147"/>
      <c r="H2221" s="147"/>
      <c r="I2221" s="152"/>
      <c r="J2221" s="151"/>
      <c r="K2221" s="139"/>
    </row>
    <row r="2222" spans="1:11" ht="12.75" x14ac:dyDescent="0.2">
      <c r="A2222" s="148" t="s">
        <v>21</v>
      </c>
      <c r="B2222" s="148" t="s">
        <v>405</v>
      </c>
      <c r="C2222" s="148" t="s">
        <v>234</v>
      </c>
      <c r="D2222" s="149" t="s">
        <v>406</v>
      </c>
      <c r="E2222" s="165" t="s">
        <v>407</v>
      </c>
      <c r="F2222" s="150">
        <v>2153169</v>
      </c>
      <c r="G2222" s="147">
        <v>31158</v>
      </c>
      <c r="H2222" s="147"/>
      <c r="I2222" s="152"/>
      <c r="J2222" s="151"/>
      <c r="K2222" s="139"/>
    </row>
    <row r="2223" spans="1:11" ht="12.75" x14ac:dyDescent="0.2">
      <c r="A2223" s="151"/>
      <c r="B2223" s="151"/>
      <c r="C2223" s="148"/>
      <c r="D2223" s="149" t="s">
        <v>240</v>
      </c>
      <c r="E2223" s="165"/>
      <c r="F2223" s="150"/>
      <c r="G2223" s="147"/>
      <c r="H2223" s="147">
        <v>2500</v>
      </c>
      <c r="I2223" s="152">
        <f>ROUND(H2223/$H$2225,4)</f>
        <v>0.1515</v>
      </c>
      <c r="J2223" s="151"/>
      <c r="K2223" s="139"/>
    </row>
    <row r="2224" spans="1:11" ht="12.75" x14ac:dyDescent="0.2">
      <c r="A2224" s="151"/>
      <c r="B2224" s="151"/>
      <c r="C2224" s="148"/>
      <c r="D2224" s="149" t="s">
        <v>243</v>
      </c>
      <c r="E2224" s="165"/>
      <c r="F2224" s="150"/>
      <c r="G2224" s="147"/>
      <c r="H2224" s="147">
        <v>14000</v>
      </c>
      <c r="I2224" s="152">
        <f>ROUND(H2224/$H$2225,4)</f>
        <v>0.84850000000000003</v>
      </c>
      <c r="J2224" s="153" t="s">
        <v>243</v>
      </c>
      <c r="K2224" s="139"/>
    </row>
    <row r="2225" spans="1:11" ht="12.75" x14ac:dyDescent="0.2">
      <c r="A2225" s="151"/>
      <c r="B2225" s="151"/>
      <c r="C2225" s="148"/>
      <c r="D2225" s="148" t="s">
        <v>33</v>
      </c>
      <c r="E2225" s="165"/>
      <c r="F2225" s="150"/>
      <c r="G2225" s="147"/>
      <c r="H2225" s="155">
        <f>SUM(H2223:H2224)</f>
        <v>16500</v>
      </c>
      <c r="I2225" s="156">
        <f>SUM(I2223:I2224)</f>
        <v>1</v>
      </c>
      <c r="J2225" s="151"/>
      <c r="K2225" s="139"/>
    </row>
    <row r="2226" spans="1:11" ht="12.75" x14ac:dyDescent="0.2">
      <c r="A2226" s="151"/>
      <c r="B2226" s="151"/>
      <c r="C2226" s="148"/>
      <c r="D2226" s="147"/>
      <c r="E2226" s="165"/>
      <c r="F2226" s="150"/>
      <c r="G2226" s="147"/>
      <c r="H2226" s="147"/>
      <c r="I2226" s="152"/>
      <c r="J2226" s="151"/>
      <c r="K2226" s="139"/>
    </row>
    <row r="2227" spans="1:11" ht="12.75" x14ac:dyDescent="0.2">
      <c r="A2227" s="148" t="s">
        <v>21</v>
      </c>
      <c r="B2227" s="148" t="s">
        <v>408</v>
      </c>
      <c r="C2227" s="148" t="s">
        <v>234</v>
      </c>
      <c r="D2227" s="149" t="s">
        <v>92</v>
      </c>
      <c r="E2227" s="165" t="s">
        <v>409</v>
      </c>
      <c r="F2227" s="150">
        <v>7689800</v>
      </c>
      <c r="G2227" s="147">
        <v>100078</v>
      </c>
      <c r="H2227" s="147"/>
      <c r="I2227" s="152"/>
      <c r="J2227" s="151"/>
      <c r="K2227" s="139"/>
    </row>
    <row r="2228" spans="1:11" ht="12.75" x14ac:dyDescent="0.2">
      <c r="A2228" s="151"/>
      <c r="B2228" s="151"/>
      <c r="C2228" s="148"/>
      <c r="D2228" s="149" t="s">
        <v>238</v>
      </c>
      <c r="E2228" s="165"/>
      <c r="F2228" s="150"/>
      <c r="G2228" s="147"/>
      <c r="H2228" s="147">
        <v>1050</v>
      </c>
      <c r="I2228" s="152">
        <f>ROUND(H2228/$H$2232,4)</f>
        <v>1.18E-2</v>
      </c>
      <c r="J2228" s="151"/>
      <c r="K2228" s="139"/>
    </row>
    <row r="2229" spans="1:11" ht="12.75" x14ac:dyDescent="0.2">
      <c r="A2229" s="151"/>
      <c r="B2229" s="151"/>
      <c r="C2229" s="148"/>
      <c r="D2229" s="149" t="s">
        <v>240</v>
      </c>
      <c r="E2229" s="165"/>
      <c r="F2229" s="150"/>
      <c r="G2229" s="147"/>
      <c r="H2229" s="147">
        <v>3109</v>
      </c>
      <c r="I2229" s="152">
        <f>ROUND(H2229/$H$2232,4)</f>
        <v>3.49E-2</v>
      </c>
      <c r="J2229" s="151"/>
      <c r="K2229" s="139"/>
    </row>
    <row r="2230" spans="1:11" ht="12.75" x14ac:dyDescent="0.2">
      <c r="A2230" s="151"/>
      <c r="B2230" s="151"/>
      <c r="C2230" s="148"/>
      <c r="D2230" s="149" t="s">
        <v>243</v>
      </c>
      <c r="E2230" s="165"/>
      <c r="F2230" s="150"/>
      <c r="G2230" s="147"/>
      <c r="H2230" s="147">
        <v>918</v>
      </c>
      <c r="I2230" s="152">
        <f>ROUND(H2230/$H$2232,4)+0.0001</f>
        <v>1.04E-2</v>
      </c>
      <c r="J2230" s="151"/>
      <c r="K2230" s="139"/>
    </row>
    <row r="2231" spans="1:11" ht="12.75" x14ac:dyDescent="0.2">
      <c r="A2231" s="151"/>
      <c r="B2231" s="151"/>
      <c r="C2231" s="148"/>
      <c r="D2231" s="149" t="s">
        <v>303</v>
      </c>
      <c r="E2231" s="165"/>
      <c r="F2231" s="150"/>
      <c r="G2231" s="147"/>
      <c r="H2231" s="147">
        <v>83882</v>
      </c>
      <c r="I2231" s="152">
        <f>ROUND(H2231/$H$2232,4)</f>
        <v>0.94289999999999996</v>
      </c>
      <c r="J2231" s="153" t="s">
        <v>303</v>
      </c>
      <c r="K2231" s="139"/>
    </row>
    <row r="2232" spans="1:11" ht="12.75" x14ac:dyDescent="0.2">
      <c r="A2232" s="151"/>
      <c r="B2232" s="151"/>
      <c r="C2232" s="148"/>
      <c r="D2232" s="148" t="s">
        <v>33</v>
      </c>
      <c r="E2232" s="165"/>
      <c r="F2232" s="150"/>
      <c r="G2232" s="147"/>
      <c r="H2232" s="155">
        <f>SUM(H2228:H2231)</f>
        <v>88959</v>
      </c>
      <c r="I2232" s="156">
        <f>SUM(I2228:I2231)</f>
        <v>1</v>
      </c>
      <c r="J2232" s="151"/>
      <c r="K2232" s="139"/>
    </row>
    <row r="2233" spans="1:11" ht="12.75" x14ac:dyDescent="0.2">
      <c r="A2233" s="151"/>
      <c r="B2233" s="151"/>
      <c r="C2233" s="148"/>
      <c r="D2233" s="147"/>
      <c r="E2233" s="165"/>
      <c r="F2233" s="150"/>
      <c r="G2233" s="147"/>
      <c r="H2233" s="147"/>
      <c r="I2233" s="152"/>
      <c r="J2233" s="151"/>
      <c r="K2233" s="139"/>
    </row>
    <row r="2234" spans="1:11" ht="12.75" x14ac:dyDescent="0.2">
      <c r="A2234" s="148" t="s">
        <v>21</v>
      </c>
      <c r="B2234" s="148" t="s">
        <v>410</v>
      </c>
      <c r="C2234" s="148" t="s">
        <v>234</v>
      </c>
      <c r="D2234" s="149" t="s">
        <v>175</v>
      </c>
      <c r="E2234" s="165" t="s">
        <v>277</v>
      </c>
      <c r="F2234" s="150">
        <v>5573200</v>
      </c>
      <c r="G2234" s="147">
        <v>67000</v>
      </c>
      <c r="H2234" s="147"/>
      <c r="I2234" s="152"/>
      <c r="J2234" s="151"/>
      <c r="K2234" s="139"/>
    </row>
    <row r="2235" spans="1:11" ht="12.75" x14ac:dyDescent="0.2">
      <c r="A2235" s="151"/>
      <c r="B2235" s="151"/>
      <c r="C2235" s="148"/>
      <c r="D2235" s="149" t="s">
        <v>261</v>
      </c>
      <c r="E2235" s="165"/>
      <c r="F2235" s="150"/>
      <c r="G2235" s="147"/>
      <c r="H2235" s="147">
        <v>8500</v>
      </c>
      <c r="I2235" s="152">
        <f>ROUND(H2235/$H$2241,4)</f>
        <v>0.17710000000000001</v>
      </c>
      <c r="J2235" s="151"/>
      <c r="K2235" s="139"/>
    </row>
    <row r="2236" spans="1:11" ht="12.75" x14ac:dyDescent="0.2">
      <c r="A2236" s="151"/>
      <c r="B2236" s="151"/>
      <c r="C2236" s="148"/>
      <c r="D2236" s="149" t="s">
        <v>238</v>
      </c>
      <c r="E2236" s="165"/>
      <c r="F2236" s="150"/>
      <c r="G2236" s="147"/>
      <c r="H2236" s="147">
        <v>20710</v>
      </c>
      <c r="I2236" s="152">
        <f>ROUND(H2236/$H$2241,4)-0.0001</f>
        <v>0.43140000000000001</v>
      </c>
      <c r="J2236" s="153" t="s">
        <v>238</v>
      </c>
      <c r="K2236" s="139"/>
    </row>
    <row r="2237" spans="1:11" ht="12.75" x14ac:dyDescent="0.2">
      <c r="A2237" s="151"/>
      <c r="B2237" s="151"/>
      <c r="C2237" s="148"/>
      <c r="D2237" s="149" t="s">
        <v>241</v>
      </c>
      <c r="E2237" s="165"/>
      <c r="F2237" s="150"/>
      <c r="G2237" s="147"/>
      <c r="H2237" s="147">
        <v>940</v>
      </c>
      <c r="I2237" s="152">
        <f>ROUND(H2237/$H$2241,4)</f>
        <v>1.9599999999999999E-2</v>
      </c>
      <c r="J2237" s="151"/>
      <c r="K2237" s="139"/>
    </row>
    <row r="2238" spans="1:11" ht="12.75" x14ac:dyDescent="0.2">
      <c r="A2238" s="151"/>
      <c r="B2238" s="151"/>
      <c r="C2238" s="148"/>
      <c r="D2238" s="149" t="s">
        <v>239</v>
      </c>
      <c r="E2238" s="165"/>
      <c r="F2238" s="150"/>
      <c r="G2238" s="147"/>
      <c r="H2238" s="147">
        <v>3920</v>
      </c>
      <c r="I2238" s="152">
        <f>ROUND(H2238/$H$2241,4)</f>
        <v>8.1699999999999995E-2</v>
      </c>
      <c r="J2238" s="151"/>
      <c r="K2238" s="139"/>
    </row>
    <row r="2239" spans="1:11" ht="12.75" x14ac:dyDescent="0.2">
      <c r="A2239" s="151"/>
      <c r="B2239" s="151"/>
      <c r="C2239" s="148"/>
      <c r="D2239" s="149" t="s">
        <v>240</v>
      </c>
      <c r="E2239" s="165"/>
      <c r="F2239" s="150"/>
      <c r="G2239" s="147"/>
      <c r="H2239" s="147">
        <v>10930</v>
      </c>
      <c r="I2239" s="152">
        <f>ROUND(H2239/$H$2241,4)</f>
        <v>0.22770000000000001</v>
      </c>
      <c r="J2239" s="151" t="s">
        <v>240</v>
      </c>
      <c r="K2239" s="139"/>
    </row>
    <row r="2240" spans="1:11" ht="12.75" x14ac:dyDescent="0.2">
      <c r="A2240" s="151"/>
      <c r="B2240" s="151"/>
      <c r="C2240" s="148"/>
      <c r="D2240" s="154" t="s">
        <v>244</v>
      </c>
      <c r="E2240" s="165"/>
      <c r="F2240" s="150"/>
      <c r="G2240" s="147"/>
      <c r="H2240" s="147">
        <v>3000</v>
      </c>
      <c r="I2240" s="152">
        <f>ROUND(H2240/$H$2241,4)</f>
        <v>6.25E-2</v>
      </c>
      <c r="J2240" s="151"/>
      <c r="K2240" s="139"/>
    </row>
    <row r="2241" spans="1:11" ht="12.75" x14ac:dyDescent="0.2">
      <c r="A2241" s="151"/>
      <c r="B2241" s="151"/>
      <c r="C2241" s="148"/>
      <c r="D2241" s="148" t="s">
        <v>33</v>
      </c>
      <c r="E2241" s="165"/>
      <c r="F2241" s="150"/>
      <c r="G2241" s="147"/>
      <c r="H2241" s="155">
        <f>SUM(H2235:H2240)</f>
        <v>48000</v>
      </c>
      <c r="I2241" s="156">
        <f>SUM(I2235:I2240)</f>
        <v>1</v>
      </c>
      <c r="J2241" s="151"/>
      <c r="K2241" s="139"/>
    </row>
    <row r="2242" spans="1:11" ht="12.75" x14ac:dyDescent="0.2">
      <c r="A2242" s="148" t="s">
        <v>21</v>
      </c>
      <c r="B2242" s="148">
        <v>973</v>
      </c>
      <c r="C2242" s="148" t="s">
        <v>234</v>
      </c>
      <c r="D2242" s="149" t="s">
        <v>99</v>
      </c>
      <c r="E2242" s="165" t="s">
        <v>411</v>
      </c>
      <c r="F2242" s="150">
        <v>2000000</v>
      </c>
      <c r="G2242" s="147">
        <v>34523</v>
      </c>
      <c r="H2242" s="147"/>
      <c r="I2242" s="152"/>
      <c r="J2242" s="151"/>
      <c r="K2242" s="139"/>
    </row>
    <row r="2243" spans="1:11" ht="12.75" x14ac:dyDescent="0.2">
      <c r="A2243" s="151"/>
      <c r="B2243" s="148"/>
      <c r="C2243" s="148"/>
      <c r="D2243" s="149" t="s">
        <v>240</v>
      </c>
      <c r="E2243" s="165"/>
      <c r="F2243" s="150"/>
      <c r="G2243" s="147"/>
      <c r="H2243" s="147">
        <v>9485</v>
      </c>
      <c r="I2243" s="152">
        <f>ROUND(H2243/$H$2245,4)</f>
        <v>0.2747</v>
      </c>
      <c r="J2243" s="151"/>
      <c r="K2243" s="139"/>
    </row>
    <row r="2244" spans="1:11" ht="12.75" x14ac:dyDescent="0.2">
      <c r="A2244" s="151"/>
      <c r="B2244" s="148"/>
      <c r="C2244" s="148"/>
      <c r="D2244" s="154" t="s">
        <v>244</v>
      </c>
      <c r="E2244" s="165"/>
      <c r="F2244" s="150"/>
      <c r="G2244" s="147"/>
      <c r="H2244" s="147">
        <v>25038</v>
      </c>
      <c r="I2244" s="152">
        <f>ROUND(H2244/$H$2245,4)</f>
        <v>0.72529999999999994</v>
      </c>
      <c r="J2244" s="153" t="s">
        <v>244</v>
      </c>
      <c r="K2244" s="139"/>
    </row>
    <row r="2245" spans="1:11" ht="12.75" x14ac:dyDescent="0.2">
      <c r="A2245" s="151"/>
      <c r="B2245" s="148"/>
      <c r="C2245" s="148"/>
      <c r="D2245" s="148" t="s">
        <v>33</v>
      </c>
      <c r="E2245" s="165"/>
      <c r="F2245" s="150"/>
      <c r="G2245" s="147"/>
      <c r="H2245" s="155">
        <f>SUM(H2243:H2244)</f>
        <v>34523</v>
      </c>
      <c r="I2245" s="156">
        <f>SUM(I2243:I2244)</f>
        <v>1</v>
      </c>
      <c r="J2245" s="151"/>
      <c r="K2245" s="139"/>
    </row>
    <row r="2246" spans="1:11" ht="12.75" x14ac:dyDescent="0.2">
      <c r="A2246" s="151"/>
      <c r="B2246" s="148"/>
      <c r="C2246" s="148"/>
      <c r="D2246" s="147"/>
      <c r="E2246" s="165"/>
      <c r="F2246" s="150"/>
      <c r="G2246" s="147"/>
      <c r="H2246" s="147"/>
      <c r="I2246" s="152"/>
      <c r="J2246" s="151"/>
      <c r="K2246" s="139"/>
    </row>
    <row r="2247" spans="1:11" ht="12.75" x14ac:dyDescent="0.2">
      <c r="A2247" s="148" t="s">
        <v>21</v>
      </c>
      <c r="B2247" s="148">
        <v>979</v>
      </c>
      <c r="C2247" s="148" t="s">
        <v>234</v>
      </c>
      <c r="D2247" s="149" t="s">
        <v>65</v>
      </c>
      <c r="E2247" s="165" t="s">
        <v>393</v>
      </c>
      <c r="F2247" s="150">
        <v>654151</v>
      </c>
      <c r="G2247" s="147">
        <v>8218</v>
      </c>
      <c r="H2247" s="147"/>
      <c r="I2247" s="152"/>
      <c r="J2247" s="151"/>
      <c r="K2247" s="139"/>
    </row>
    <row r="2248" spans="1:11" ht="12.75" x14ac:dyDescent="0.2">
      <c r="A2248" s="151"/>
      <c r="B2248" s="148"/>
      <c r="C2248" s="148"/>
      <c r="D2248" s="149" t="s">
        <v>240</v>
      </c>
      <c r="E2248" s="165"/>
      <c r="F2248" s="150"/>
      <c r="G2248" s="147"/>
      <c r="H2248" s="155">
        <v>5277</v>
      </c>
      <c r="I2248" s="156">
        <v>1</v>
      </c>
      <c r="J2248" s="153" t="s">
        <v>240</v>
      </c>
      <c r="K2248" s="139"/>
    </row>
    <row r="2249" spans="1:11" ht="12.75" x14ac:dyDescent="0.2">
      <c r="A2249" s="151"/>
      <c r="B2249" s="148"/>
      <c r="C2249" s="148"/>
      <c r="D2249" s="147"/>
      <c r="E2249" s="165"/>
      <c r="F2249" s="150"/>
      <c r="G2249" s="147"/>
      <c r="H2249" s="147"/>
      <c r="I2249" s="152"/>
      <c r="J2249" s="151"/>
      <c r="K2249" s="139"/>
    </row>
    <row r="2250" spans="1:11" ht="12.75" x14ac:dyDescent="0.2">
      <c r="A2250" s="148" t="s">
        <v>21</v>
      </c>
      <c r="B2250" s="148">
        <v>977</v>
      </c>
      <c r="C2250" s="148" t="s">
        <v>234</v>
      </c>
      <c r="D2250" s="149" t="s">
        <v>27</v>
      </c>
      <c r="E2250" s="165" t="s">
        <v>412</v>
      </c>
      <c r="F2250" s="150">
        <v>4929000</v>
      </c>
      <c r="G2250" s="147">
        <v>62241</v>
      </c>
      <c r="H2250" s="147"/>
      <c r="I2250" s="152"/>
      <c r="J2250" s="151"/>
      <c r="K2250" s="139"/>
    </row>
    <row r="2251" spans="1:11" ht="12.75" x14ac:dyDescent="0.2">
      <c r="A2251" s="147"/>
      <c r="B2251" s="147"/>
      <c r="C2251" s="169"/>
      <c r="D2251" s="149" t="s">
        <v>261</v>
      </c>
      <c r="E2251" s="165"/>
      <c r="F2251" s="150"/>
      <c r="G2251" s="147"/>
      <c r="H2251" s="147">
        <v>8016</v>
      </c>
      <c r="I2251" s="152">
        <f t="shared" ref="I2251:I2256" si="55">ROUND(H2251/$H$2257,4)</f>
        <v>0.21629999999999999</v>
      </c>
      <c r="J2251" s="151" t="s">
        <v>261</v>
      </c>
      <c r="K2251" s="139"/>
    </row>
    <row r="2252" spans="1:11" ht="12.75" x14ac:dyDescent="0.2">
      <c r="A2252" s="147"/>
      <c r="B2252" s="147"/>
      <c r="C2252" s="169"/>
      <c r="D2252" s="149" t="s">
        <v>238</v>
      </c>
      <c r="E2252" s="165"/>
      <c r="F2252" s="150"/>
      <c r="G2252" s="147"/>
      <c r="H2252" s="147">
        <v>6112</v>
      </c>
      <c r="I2252" s="152">
        <f t="shared" si="55"/>
        <v>0.16489999999999999</v>
      </c>
      <c r="J2252" s="151"/>
      <c r="K2252" s="139"/>
    </row>
    <row r="2253" spans="1:11" ht="12.75" x14ac:dyDescent="0.2">
      <c r="A2253" s="147"/>
      <c r="B2253" s="147"/>
      <c r="C2253" s="169"/>
      <c r="D2253" s="149" t="s">
        <v>284</v>
      </c>
      <c r="E2253" s="165"/>
      <c r="F2253" s="150"/>
      <c r="G2253" s="147"/>
      <c r="H2253" s="147">
        <v>314</v>
      </c>
      <c r="I2253" s="152">
        <f t="shared" si="55"/>
        <v>8.5000000000000006E-3</v>
      </c>
      <c r="J2253" s="151"/>
      <c r="K2253" s="139"/>
    </row>
    <row r="2254" spans="1:11" ht="12.75" x14ac:dyDescent="0.2">
      <c r="A2254" s="147"/>
      <c r="B2254" s="147"/>
      <c r="C2254" s="169"/>
      <c r="D2254" s="149" t="s">
        <v>240</v>
      </c>
      <c r="E2254" s="165"/>
      <c r="F2254" s="150"/>
      <c r="G2254" s="147"/>
      <c r="H2254" s="147">
        <v>18297</v>
      </c>
      <c r="I2254" s="152">
        <f t="shared" si="55"/>
        <v>0.49359999999999998</v>
      </c>
      <c r="J2254" s="153" t="s">
        <v>240</v>
      </c>
      <c r="K2254" s="139"/>
    </row>
    <row r="2255" spans="1:11" ht="12.75" x14ac:dyDescent="0.2">
      <c r="A2255" s="147"/>
      <c r="B2255" s="147"/>
      <c r="C2255" s="169"/>
      <c r="D2255" s="149" t="s">
        <v>262</v>
      </c>
      <c r="E2255" s="165"/>
      <c r="F2255" s="150"/>
      <c r="G2255" s="147"/>
      <c r="H2255" s="147">
        <v>4216</v>
      </c>
      <c r="I2255" s="152">
        <f t="shared" si="55"/>
        <v>0.1137</v>
      </c>
      <c r="J2255" s="151"/>
      <c r="K2255" s="139"/>
    </row>
    <row r="2256" spans="1:11" ht="12.75" x14ac:dyDescent="0.2">
      <c r="A2256" s="147"/>
      <c r="B2256" s="147"/>
      <c r="C2256" s="169"/>
      <c r="D2256" s="149" t="s">
        <v>285</v>
      </c>
      <c r="E2256" s="165"/>
      <c r="F2256" s="150"/>
      <c r="G2256" s="147"/>
      <c r="H2256" s="147">
        <v>111</v>
      </c>
      <c r="I2256" s="152">
        <f t="shared" si="55"/>
        <v>3.0000000000000001E-3</v>
      </c>
      <c r="J2256" s="151"/>
      <c r="K2256" s="139"/>
    </row>
    <row r="2257" spans="1:11" ht="12.75" x14ac:dyDescent="0.2">
      <c r="A2257" s="147"/>
      <c r="B2257" s="147"/>
      <c r="C2257" s="169"/>
      <c r="D2257" s="148" t="s">
        <v>33</v>
      </c>
      <c r="E2257" s="165"/>
      <c r="F2257" s="150"/>
      <c r="G2257" s="147"/>
      <c r="H2257" s="155">
        <f>SUM(H2251:H2256)</f>
        <v>37066</v>
      </c>
      <c r="I2257" s="156">
        <f>SUM(I2251:I2256)</f>
        <v>1</v>
      </c>
      <c r="J2257" s="151"/>
      <c r="K2257" s="139"/>
    </row>
    <row r="2258" spans="1:11" ht="12.75" x14ac:dyDescent="0.2">
      <c r="A2258" s="147"/>
      <c r="B2258" s="147"/>
      <c r="C2258" s="169"/>
      <c r="D2258" s="147"/>
      <c r="E2258" s="165"/>
      <c r="F2258" s="150"/>
      <c r="G2258" s="147"/>
      <c r="H2258" s="147"/>
      <c r="I2258" s="152"/>
      <c r="J2258" s="151"/>
      <c r="K2258" s="139"/>
    </row>
    <row r="2259" spans="1:11" ht="12.75" x14ac:dyDescent="0.2">
      <c r="A2259" s="148" t="s">
        <v>21</v>
      </c>
      <c r="B2259" s="148">
        <v>905</v>
      </c>
      <c r="C2259" s="148" t="s">
        <v>234</v>
      </c>
      <c r="D2259" s="147" t="s">
        <v>71</v>
      </c>
      <c r="E2259" s="204" t="s">
        <v>413</v>
      </c>
      <c r="F2259" s="150">
        <v>9197000</v>
      </c>
      <c r="G2259" s="147">
        <v>88647</v>
      </c>
      <c r="H2259" s="147"/>
      <c r="I2259" s="152"/>
      <c r="J2259" s="147"/>
      <c r="K2259" s="139"/>
    </row>
    <row r="2260" spans="1:11" ht="12.75" x14ac:dyDescent="0.2">
      <c r="A2260" s="147"/>
      <c r="B2260" s="147"/>
      <c r="C2260" s="169"/>
      <c r="D2260" s="149" t="s">
        <v>261</v>
      </c>
      <c r="E2260" s="165"/>
      <c r="F2260" s="150"/>
      <c r="G2260" s="147"/>
      <c r="H2260" s="147">
        <v>1588</v>
      </c>
      <c r="I2260" s="152">
        <f t="shared" ref="I2260:I2266" si="56">ROUND(H2260/$H$2267,4)</f>
        <v>3.04E-2</v>
      </c>
      <c r="J2260" s="147"/>
      <c r="K2260" s="139"/>
    </row>
    <row r="2261" spans="1:11" ht="12.75" x14ac:dyDescent="0.2">
      <c r="A2261" s="147"/>
      <c r="B2261" s="147"/>
      <c r="C2261" s="169"/>
      <c r="D2261" s="149" t="s">
        <v>238</v>
      </c>
      <c r="E2261" s="165"/>
      <c r="F2261" s="150"/>
      <c r="G2261" s="147"/>
      <c r="H2261" s="147">
        <v>2034</v>
      </c>
      <c r="I2261" s="152">
        <f t="shared" si="56"/>
        <v>3.9E-2</v>
      </c>
      <c r="J2261" s="147"/>
      <c r="K2261" s="139"/>
    </row>
    <row r="2262" spans="1:11" ht="12.75" x14ac:dyDescent="0.2">
      <c r="A2262" s="147"/>
      <c r="B2262" s="147"/>
      <c r="C2262" s="169"/>
      <c r="D2262" s="149" t="s">
        <v>284</v>
      </c>
      <c r="E2262" s="165"/>
      <c r="F2262" s="150"/>
      <c r="G2262" s="147"/>
      <c r="H2262" s="147">
        <v>566</v>
      </c>
      <c r="I2262" s="152">
        <f t="shared" si="56"/>
        <v>1.0800000000000001E-2</v>
      </c>
      <c r="J2262" s="147"/>
      <c r="K2262" s="139"/>
    </row>
    <row r="2263" spans="1:11" ht="12.75" x14ac:dyDescent="0.2">
      <c r="A2263" s="147"/>
      <c r="B2263" s="147"/>
      <c r="C2263" s="169"/>
      <c r="D2263" s="149" t="s">
        <v>240</v>
      </c>
      <c r="E2263" s="165"/>
      <c r="F2263" s="150"/>
      <c r="G2263" s="147"/>
      <c r="H2263" s="147">
        <v>20223</v>
      </c>
      <c r="I2263" s="152">
        <f t="shared" si="56"/>
        <v>0.38769999999999999</v>
      </c>
      <c r="J2263" s="151" t="s">
        <v>240</v>
      </c>
      <c r="K2263" s="139"/>
    </row>
    <row r="2264" spans="1:11" ht="12.75" x14ac:dyDescent="0.2">
      <c r="A2264" s="147"/>
      <c r="B2264" s="147"/>
      <c r="C2264" s="169"/>
      <c r="D2264" s="149" t="s">
        <v>262</v>
      </c>
      <c r="E2264" s="165"/>
      <c r="F2264" s="150"/>
      <c r="G2264" s="147"/>
      <c r="H2264" s="147">
        <v>22687</v>
      </c>
      <c r="I2264" s="152">
        <f t="shared" si="56"/>
        <v>0.43490000000000001</v>
      </c>
      <c r="J2264" s="153" t="s">
        <v>262</v>
      </c>
      <c r="K2264" s="139"/>
    </row>
    <row r="2265" spans="1:11" ht="12.75" x14ac:dyDescent="0.2">
      <c r="A2265" s="147"/>
      <c r="B2265" s="147"/>
      <c r="C2265" s="169"/>
      <c r="D2265" s="149" t="s">
        <v>242</v>
      </c>
      <c r="E2265" s="165"/>
      <c r="F2265" s="150"/>
      <c r="G2265" s="147"/>
      <c r="H2265" s="147">
        <v>705</v>
      </c>
      <c r="I2265" s="152">
        <f t="shared" si="56"/>
        <v>1.35E-2</v>
      </c>
      <c r="J2265" s="147"/>
      <c r="K2265" s="139"/>
    </row>
    <row r="2266" spans="1:11" ht="12.75" x14ac:dyDescent="0.2">
      <c r="A2266" s="147"/>
      <c r="B2266" s="147"/>
      <c r="C2266" s="169"/>
      <c r="D2266" s="154" t="s">
        <v>244</v>
      </c>
      <c r="E2266" s="165"/>
      <c r="F2266" s="150"/>
      <c r="G2266" s="147"/>
      <c r="H2266" s="147">
        <v>4364</v>
      </c>
      <c r="I2266" s="152">
        <f t="shared" si="56"/>
        <v>8.3699999999999997E-2</v>
      </c>
      <c r="J2266" s="147"/>
      <c r="K2266" s="139"/>
    </row>
    <row r="2267" spans="1:11" ht="12.75" x14ac:dyDescent="0.2">
      <c r="A2267" s="147"/>
      <c r="B2267" s="147"/>
      <c r="C2267" s="169"/>
      <c r="D2267" s="148" t="s">
        <v>33</v>
      </c>
      <c r="E2267" s="165"/>
      <c r="F2267" s="150"/>
      <c r="G2267" s="147"/>
      <c r="H2267" s="155">
        <f>SUM(H2260:H2266)</f>
        <v>52167</v>
      </c>
      <c r="I2267" s="156">
        <f>SUM(I2260:I2266)</f>
        <v>1</v>
      </c>
      <c r="J2267" s="147"/>
      <c r="K2267" s="139"/>
    </row>
    <row r="2268" spans="1:11" ht="12.75" x14ac:dyDescent="0.2">
      <c r="A2268" s="147"/>
      <c r="B2268" s="147"/>
      <c r="C2268" s="169"/>
      <c r="D2268" s="148"/>
      <c r="E2268" s="165"/>
      <c r="F2268" s="150"/>
      <c r="G2268" s="147"/>
      <c r="H2268" s="147"/>
      <c r="I2268" s="152"/>
      <c r="J2268" s="147"/>
      <c r="K2268" s="139"/>
    </row>
    <row r="2269" spans="1:11" ht="12.75" x14ac:dyDescent="0.2">
      <c r="A2269" s="148" t="s">
        <v>21</v>
      </c>
      <c r="B2269" s="148">
        <v>929</v>
      </c>
      <c r="C2269" s="148" t="s">
        <v>234</v>
      </c>
      <c r="D2269" s="147" t="s">
        <v>152</v>
      </c>
      <c r="E2269" s="204">
        <v>36312</v>
      </c>
      <c r="F2269" s="150">
        <v>16755145</v>
      </c>
      <c r="G2269" s="147">
        <v>125070</v>
      </c>
      <c r="H2269" s="147"/>
      <c r="I2269" s="152"/>
      <c r="J2269" s="147"/>
      <c r="K2269" s="139"/>
    </row>
    <row r="2270" spans="1:11" ht="12.75" x14ac:dyDescent="0.2">
      <c r="A2270" s="147"/>
      <c r="B2270" s="147"/>
      <c r="C2270" s="169"/>
      <c r="D2270" s="149" t="s">
        <v>261</v>
      </c>
      <c r="E2270" s="165"/>
      <c r="F2270" s="150"/>
      <c r="G2270" s="147"/>
      <c r="H2270" s="147">
        <v>11779</v>
      </c>
      <c r="I2270" s="152">
        <f>(H2270/H2276)</f>
        <v>0.13148700088186374</v>
      </c>
      <c r="J2270" s="147"/>
      <c r="K2270" s="139"/>
    </row>
    <row r="2271" spans="1:11" ht="12.75" x14ac:dyDescent="0.2">
      <c r="A2271" s="147"/>
      <c r="B2271" s="147"/>
      <c r="C2271" s="169"/>
      <c r="D2271" s="149" t="s">
        <v>238</v>
      </c>
      <c r="E2271" s="165"/>
      <c r="F2271" s="150"/>
      <c r="G2271" s="147"/>
      <c r="H2271" s="147">
        <v>11452</v>
      </c>
      <c r="I2271" s="152">
        <f>(H2271/H2276)</f>
        <v>0.12783675474141298</v>
      </c>
      <c r="J2271" s="147"/>
      <c r="K2271" s="139"/>
    </row>
    <row r="2272" spans="1:11" ht="12.75" x14ac:dyDescent="0.2">
      <c r="A2272" s="147"/>
      <c r="B2272" s="147"/>
      <c r="C2272" s="169"/>
      <c r="D2272" s="149" t="s">
        <v>284</v>
      </c>
      <c r="E2272" s="165"/>
      <c r="F2272" s="150"/>
      <c r="G2272" s="147"/>
      <c r="H2272" s="147">
        <v>1100</v>
      </c>
      <c r="I2272" s="152">
        <f>(H2272/H2276)</f>
        <v>1.2279115457173794E-2</v>
      </c>
      <c r="J2272" s="147"/>
      <c r="K2272" s="139"/>
    </row>
    <row r="2273" spans="1:11" ht="12.75" x14ac:dyDescent="0.2">
      <c r="A2273" s="147"/>
      <c r="B2273" s="147"/>
      <c r="C2273" s="169"/>
      <c r="D2273" s="149" t="s">
        <v>240</v>
      </c>
      <c r="E2273" s="165"/>
      <c r="F2273" s="150"/>
      <c r="G2273" s="147"/>
      <c r="H2273" s="147">
        <v>18498</v>
      </c>
      <c r="I2273" s="152">
        <f>(H2273/H2276)</f>
        <v>0.20649007066072805</v>
      </c>
      <c r="J2273" s="151" t="s">
        <v>240</v>
      </c>
      <c r="K2273" s="139"/>
    </row>
    <row r="2274" spans="1:11" ht="12.75" x14ac:dyDescent="0.2">
      <c r="A2274" s="147"/>
      <c r="B2274" s="147"/>
      <c r="C2274" s="169"/>
      <c r="D2274" s="149" t="s">
        <v>262</v>
      </c>
      <c r="E2274" s="165"/>
      <c r="F2274" s="150"/>
      <c r="G2274" s="147"/>
      <c r="H2274" s="147">
        <v>37323</v>
      </c>
      <c r="I2274" s="152">
        <f>(H2274/H2276)</f>
        <v>0.41663038746190684</v>
      </c>
      <c r="J2274" s="153" t="s">
        <v>262</v>
      </c>
      <c r="K2274" s="139"/>
    </row>
    <row r="2275" spans="1:11" ht="12.75" x14ac:dyDescent="0.2">
      <c r="A2275" s="147"/>
      <c r="B2275" s="147"/>
      <c r="C2275" s="169"/>
      <c r="D2275" s="154" t="s">
        <v>292</v>
      </c>
      <c r="E2275" s="165"/>
      <c r="F2275" s="150"/>
      <c r="G2275" s="147"/>
      <c r="H2275" s="147">
        <v>9431</v>
      </c>
      <c r="I2275" s="152">
        <f>(H2275/H2276)</f>
        <v>0.10527667079691459</v>
      </c>
      <c r="J2275" s="147"/>
      <c r="K2275" s="139"/>
    </row>
    <row r="2276" spans="1:11" ht="12.75" x14ac:dyDescent="0.2">
      <c r="A2276" s="147"/>
      <c r="B2276" s="147"/>
      <c r="C2276" s="169"/>
      <c r="D2276" s="148" t="s">
        <v>33</v>
      </c>
      <c r="E2276" s="165"/>
      <c r="F2276" s="150"/>
      <c r="G2276" s="147"/>
      <c r="H2276" s="155">
        <f>SUM(H2270:H2275)</f>
        <v>89583</v>
      </c>
      <c r="I2276" s="156">
        <f>SUM(I2270:I2275)</f>
        <v>1</v>
      </c>
      <c r="J2276" s="147"/>
      <c r="K2276" s="139"/>
    </row>
    <row r="2277" spans="1:11" ht="12.75" x14ac:dyDescent="0.2">
      <c r="A2277" s="147"/>
      <c r="B2277" s="147"/>
      <c r="C2277" s="169"/>
      <c r="D2277" s="148"/>
      <c r="E2277" s="165"/>
      <c r="F2277" s="150"/>
      <c r="G2277" s="147"/>
      <c r="H2277" s="147"/>
      <c r="I2277" s="152"/>
      <c r="J2277" s="147"/>
      <c r="K2277" s="139"/>
    </row>
    <row r="2278" spans="1:11" ht="12.75" x14ac:dyDescent="0.2">
      <c r="A2278" s="148" t="s">
        <v>21</v>
      </c>
      <c r="B2278" s="148">
        <v>958</v>
      </c>
      <c r="C2278" s="148" t="s">
        <v>234</v>
      </c>
      <c r="D2278" s="147" t="s">
        <v>438</v>
      </c>
      <c r="E2278" s="204">
        <v>37124</v>
      </c>
      <c r="F2278" s="150">
        <v>15722202</v>
      </c>
      <c r="G2278" s="147">
        <v>130738</v>
      </c>
      <c r="H2278" s="147"/>
      <c r="I2278" s="152"/>
      <c r="J2278" s="147"/>
      <c r="K2278" s="139"/>
    </row>
    <row r="2279" spans="1:11" ht="12.75" x14ac:dyDescent="0.2">
      <c r="A2279" s="147"/>
      <c r="B2279" s="147"/>
      <c r="C2279" s="169"/>
      <c r="D2279" s="149" t="s">
        <v>261</v>
      </c>
      <c r="E2279" s="165"/>
      <c r="F2279" s="150"/>
      <c r="G2279" s="147"/>
      <c r="H2279" s="147">
        <v>8453</v>
      </c>
      <c r="I2279" s="152">
        <f>(H2279/H2283)</f>
        <v>0.10150583601517844</v>
      </c>
      <c r="J2279" s="147"/>
      <c r="K2279" s="139"/>
    </row>
    <row r="2280" spans="1:11" ht="12.75" x14ac:dyDescent="0.2">
      <c r="A2280" s="147"/>
      <c r="B2280" s="147"/>
      <c r="C2280" s="169"/>
      <c r="D2280" s="149" t="s">
        <v>238</v>
      </c>
      <c r="E2280" s="165"/>
      <c r="F2280" s="150"/>
      <c r="G2280" s="147"/>
      <c r="H2280" s="147">
        <v>46349</v>
      </c>
      <c r="I2280" s="152">
        <f>(H2280/H2283)</f>
        <v>0.5565709207935059</v>
      </c>
      <c r="J2280" s="151" t="s">
        <v>290</v>
      </c>
      <c r="K2280" s="139"/>
    </row>
    <row r="2281" spans="1:11" ht="12.75" x14ac:dyDescent="0.2">
      <c r="A2281" s="147"/>
      <c r="B2281" s="147"/>
      <c r="C2281" s="169"/>
      <c r="D2281" s="149" t="s">
        <v>439</v>
      </c>
      <c r="E2281" s="165"/>
      <c r="F2281" s="150"/>
      <c r="G2281" s="147"/>
      <c r="H2281" s="147">
        <v>9652</v>
      </c>
      <c r="I2281" s="152">
        <f>(H2281/H2283)</f>
        <v>0.11590374177434075</v>
      </c>
      <c r="J2281" s="147"/>
      <c r="K2281" s="139"/>
    </row>
    <row r="2282" spans="1:11" ht="12.75" x14ac:dyDescent="0.2">
      <c r="A2282" s="147"/>
      <c r="B2282" s="147"/>
      <c r="C2282" s="169"/>
      <c r="D2282" s="149" t="s">
        <v>288</v>
      </c>
      <c r="E2282" s="165"/>
      <c r="F2282" s="150"/>
      <c r="G2282" s="147"/>
      <c r="H2282" s="147">
        <v>18822</v>
      </c>
      <c r="I2282" s="152">
        <f>(H2282/H2283)</f>
        <v>0.22601950141697488</v>
      </c>
      <c r="J2282" s="147"/>
      <c r="K2282" s="139"/>
    </row>
    <row r="2283" spans="1:11" ht="12.75" x14ac:dyDescent="0.2">
      <c r="A2283" s="147"/>
      <c r="B2283" s="147"/>
      <c r="C2283" s="169"/>
      <c r="D2283" s="148" t="s">
        <v>33</v>
      </c>
      <c r="E2283" s="165"/>
      <c r="F2283" s="150"/>
      <c r="G2283" s="147"/>
      <c r="H2283" s="155">
        <f>SUM(H2279:H2282)</f>
        <v>83276</v>
      </c>
      <c r="I2283" s="156">
        <f>SUM(I2279:I2282)</f>
        <v>1</v>
      </c>
      <c r="J2283" s="147"/>
      <c r="K2283" s="139"/>
    </row>
    <row r="2284" spans="1:11" ht="12.75" x14ac:dyDescent="0.2">
      <c r="A2284" s="147"/>
      <c r="B2284" s="147"/>
      <c r="C2284" s="169"/>
      <c r="D2284" s="148"/>
      <c r="E2284" s="165"/>
      <c r="F2284" s="150"/>
      <c r="G2284" s="147"/>
      <c r="H2284" s="147"/>
      <c r="I2284" s="152"/>
      <c r="J2284" s="147"/>
      <c r="K2284" s="139"/>
    </row>
    <row r="2285" spans="1:11" ht="12.75" x14ac:dyDescent="0.2">
      <c r="A2285" s="148" t="s">
        <v>21</v>
      </c>
      <c r="B2285" s="148">
        <v>917</v>
      </c>
      <c r="C2285" s="148" t="s">
        <v>289</v>
      </c>
      <c r="D2285" s="147" t="s">
        <v>500</v>
      </c>
      <c r="E2285" s="204">
        <v>38081</v>
      </c>
      <c r="F2285" s="150">
        <f>18121650</f>
        <v>18121650</v>
      </c>
      <c r="G2285" s="147">
        <v>79823</v>
      </c>
      <c r="H2285" s="147"/>
      <c r="I2285" s="152"/>
      <c r="J2285" s="147"/>
      <c r="K2285" s="139"/>
    </row>
    <row r="2286" spans="1:11" ht="12.75" x14ac:dyDescent="0.2">
      <c r="A2286" s="147"/>
      <c r="B2286" s="147"/>
      <c r="C2286" s="169"/>
      <c r="D2286" s="149" t="s">
        <v>261</v>
      </c>
      <c r="E2286" s="165"/>
      <c r="F2286" s="150"/>
      <c r="G2286" s="147"/>
      <c r="H2286" s="147">
        <v>4210</v>
      </c>
      <c r="I2286" s="152">
        <f>(H2286/H$2291)</f>
        <v>6.3911829001700268E-2</v>
      </c>
      <c r="J2286" s="147"/>
      <c r="K2286" s="139"/>
    </row>
    <row r="2287" spans="1:11" ht="12.75" x14ac:dyDescent="0.2">
      <c r="A2287" s="147"/>
      <c r="B2287" s="147"/>
      <c r="C2287" s="169"/>
      <c r="D2287" s="149" t="s">
        <v>284</v>
      </c>
      <c r="E2287" s="165"/>
      <c r="F2287" s="150"/>
      <c r="G2287" s="147"/>
      <c r="H2287" s="147">
        <v>43857</v>
      </c>
      <c r="I2287" s="152">
        <f>(H2287/H$2291)</f>
        <v>0.66579123147923247</v>
      </c>
      <c r="J2287" s="151" t="s">
        <v>284</v>
      </c>
      <c r="K2287" s="139"/>
    </row>
    <row r="2288" spans="1:11" ht="12.75" x14ac:dyDescent="0.2">
      <c r="A2288" s="147"/>
      <c r="B2288" s="147"/>
      <c r="C2288" s="169"/>
      <c r="D2288" s="149" t="s">
        <v>288</v>
      </c>
      <c r="E2288" s="165"/>
      <c r="F2288" s="150"/>
      <c r="G2288" s="147"/>
      <c r="H2288" s="147">
        <v>9515</v>
      </c>
      <c r="I2288" s="152">
        <f>(H2288/H$2291)</f>
        <v>0.14444680592664561</v>
      </c>
      <c r="J2288" s="147"/>
      <c r="K2288" s="139"/>
    </row>
    <row r="2289" spans="1:11" ht="12.75" x14ac:dyDescent="0.2">
      <c r="A2289" s="147"/>
      <c r="B2289" s="147"/>
      <c r="C2289" s="169"/>
      <c r="D2289" s="149" t="s">
        <v>292</v>
      </c>
      <c r="E2289" s="165"/>
      <c r="F2289" s="150"/>
      <c r="G2289" s="147"/>
      <c r="H2289" s="147">
        <v>5240</v>
      </c>
      <c r="I2289" s="152">
        <f>(H2289/H$2291)</f>
        <v>7.9548214719455917E-2</v>
      </c>
      <c r="J2289" s="147"/>
      <c r="K2289" s="139"/>
    </row>
    <row r="2290" spans="1:11" ht="12.75" x14ac:dyDescent="0.2">
      <c r="A2290" s="147"/>
      <c r="B2290" s="147"/>
      <c r="C2290" s="169"/>
      <c r="D2290" s="149" t="s">
        <v>285</v>
      </c>
      <c r="E2290" s="165"/>
      <c r="F2290" s="150"/>
      <c r="G2290" s="147"/>
      <c r="H2290" s="147">
        <v>3050</v>
      </c>
      <c r="I2290" s="152">
        <f>(H2290/H$2291)</f>
        <v>4.6301918872965753E-2</v>
      </c>
      <c r="J2290" s="147"/>
      <c r="K2290" s="139"/>
    </row>
    <row r="2291" spans="1:11" ht="12.75" x14ac:dyDescent="0.2">
      <c r="A2291" s="147"/>
      <c r="B2291" s="147"/>
      <c r="C2291" s="169"/>
      <c r="D2291" s="148" t="s">
        <v>33</v>
      </c>
      <c r="E2291" s="165"/>
      <c r="F2291" s="150"/>
      <c r="G2291" s="147"/>
      <c r="H2291" s="155">
        <f>SUM(H2286:H2290)</f>
        <v>65872</v>
      </c>
      <c r="I2291" s="156">
        <f>SUM(I2286:I2290)</f>
        <v>1</v>
      </c>
      <c r="J2291" s="147"/>
      <c r="K2291" s="139"/>
    </row>
    <row r="2292" spans="1:11" ht="12.75" x14ac:dyDescent="0.2">
      <c r="A2292" s="147"/>
      <c r="B2292" s="147"/>
      <c r="C2292" s="169"/>
      <c r="D2292" s="148"/>
      <c r="E2292" s="165"/>
      <c r="F2292" s="150"/>
      <c r="G2292" s="147"/>
      <c r="H2292" s="147"/>
      <c r="I2292" s="152"/>
      <c r="J2292" s="147"/>
      <c r="K2292" s="139"/>
    </row>
    <row r="2293" spans="1:11" ht="12.75" x14ac:dyDescent="0.2">
      <c r="A2293" s="148" t="s">
        <v>21</v>
      </c>
      <c r="B2293" s="148">
        <v>987</v>
      </c>
      <c r="C2293" s="148" t="s">
        <v>289</v>
      </c>
      <c r="D2293" s="37" t="s">
        <v>516</v>
      </c>
      <c r="E2293" s="204">
        <v>38534</v>
      </c>
      <c r="F2293" s="163">
        <v>9907462</v>
      </c>
      <c r="G2293" s="147">
        <v>67550</v>
      </c>
      <c r="H2293" s="147"/>
      <c r="I2293" s="152"/>
      <c r="J2293" s="147"/>
      <c r="K2293" s="139"/>
    </row>
    <row r="2294" spans="1:11" ht="12.75" x14ac:dyDescent="0.2">
      <c r="A2294" s="147"/>
      <c r="B2294" s="147"/>
      <c r="C2294" s="169"/>
      <c r="D2294" s="149" t="s">
        <v>261</v>
      </c>
      <c r="E2294" s="165"/>
      <c r="F2294" s="150"/>
      <c r="G2294" s="147"/>
      <c r="H2294" s="161">
        <v>8650</v>
      </c>
      <c r="I2294" s="152">
        <f>ROUND(H2294/$H$2301,4)</f>
        <v>0.19950000000000001</v>
      </c>
      <c r="J2294" s="153"/>
      <c r="K2294" s="139"/>
    </row>
    <row r="2295" spans="1:11" ht="12.75" x14ac:dyDescent="0.2">
      <c r="A2295" s="147"/>
      <c r="B2295" s="147"/>
      <c r="C2295" s="169"/>
      <c r="D2295" s="149" t="s">
        <v>238</v>
      </c>
      <c r="E2295" s="165"/>
      <c r="F2295" s="150"/>
      <c r="G2295" s="147"/>
      <c r="H2295" s="161">
        <v>4579</v>
      </c>
      <c r="I2295" s="152">
        <f t="shared" ref="I2295:I2301" si="57">ROUND(H2295/$H$2301,4)</f>
        <v>0.1056</v>
      </c>
      <c r="J2295" s="147"/>
      <c r="K2295" s="139"/>
    </row>
    <row r="2296" spans="1:11" ht="12.75" x14ac:dyDescent="0.2">
      <c r="A2296" s="147"/>
      <c r="B2296" s="147"/>
      <c r="C2296" s="169"/>
      <c r="D2296" s="149" t="s">
        <v>439</v>
      </c>
      <c r="E2296" s="165"/>
      <c r="F2296" s="150"/>
      <c r="G2296" s="147"/>
      <c r="H2296" s="161">
        <v>3913</v>
      </c>
      <c r="I2296" s="152">
        <f t="shared" si="57"/>
        <v>9.0300000000000005E-2</v>
      </c>
      <c r="J2296" s="147"/>
      <c r="K2296" s="139"/>
    </row>
    <row r="2297" spans="1:11" ht="12.75" x14ac:dyDescent="0.2">
      <c r="A2297" s="147"/>
      <c r="B2297" s="147"/>
      <c r="C2297" s="169"/>
      <c r="D2297" s="154" t="s">
        <v>517</v>
      </c>
      <c r="E2297" s="165"/>
      <c r="F2297" s="150"/>
      <c r="G2297" s="147"/>
      <c r="H2297" s="161">
        <v>665</v>
      </c>
      <c r="I2297" s="152">
        <f t="shared" si="57"/>
        <v>1.5299999999999999E-2</v>
      </c>
      <c r="J2297" s="147"/>
      <c r="K2297" s="139"/>
    </row>
    <row r="2298" spans="1:11" ht="12.75" x14ac:dyDescent="0.2">
      <c r="A2298" s="147"/>
      <c r="B2298" s="147"/>
      <c r="C2298" s="169"/>
      <c r="D2298" s="149" t="s">
        <v>240</v>
      </c>
      <c r="E2298" s="165"/>
      <c r="F2298" s="150"/>
      <c r="G2298" s="147"/>
      <c r="H2298" s="161">
        <v>20937</v>
      </c>
      <c r="I2298" s="152">
        <f t="shared" si="57"/>
        <v>0.4829</v>
      </c>
      <c r="J2298" s="151" t="s">
        <v>240</v>
      </c>
      <c r="K2298" s="139"/>
    </row>
    <row r="2299" spans="1:11" ht="12.75" x14ac:dyDescent="0.2">
      <c r="A2299" s="147"/>
      <c r="B2299" s="147"/>
      <c r="C2299" s="169"/>
      <c r="D2299" s="154" t="s">
        <v>244</v>
      </c>
      <c r="E2299" s="165"/>
      <c r="F2299" s="150"/>
      <c r="G2299" s="147"/>
      <c r="H2299" s="161">
        <v>1241</v>
      </c>
      <c r="I2299" s="152">
        <f t="shared" si="57"/>
        <v>2.86E-2</v>
      </c>
      <c r="J2299" s="153"/>
      <c r="K2299" s="139"/>
    </row>
    <row r="2300" spans="1:11" ht="12.75" x14ac:dyDescent="0.2">
      <c r="A2300" s="147"/>
      <c r="B2300" s="147"/>
      <c r="C2300" s="169"/>
      <c r="D2300" s="149" t="s">
        <v>473</v>
      </c>
      <c r="E2300" s="165"/>
      <c r="F2300" s="150"/>
      <c r="G2300" s="147"/>
      <c r="H2300" s="161">
        <v>3369</v>
      </c>
      <c r="I2300" s="152">
        <f t="shared" si="57"/>
        <v>7.7700000000000005E-2</v>
      </c>
      <c r="J2300" s="147"/>
      <c r="K2300" s="139"/>
    </row>
    <row r="2301" spans="1:11" ht="12.75" x14ac:dyDescent="0.2">
      <c r="A2301" s="147"/>
      <c r="B2301" s="147"/>
      <c r="C2301" s="169"/>
      <c r="D2301" s="148" t="s">
        <v>33</v>
      </c>
      <c r="E2301" s="165"/>
      <c r="F2301" s="150"/>
      <c r="G2301" s="147"/>
      <c r="H2301" s="155">
        <f>SUM(H2294:H2300)</f>
        <v>43354</v>
      </c>
      <c r="I2301" s="156">
        <f t="shared" si="57"/>
        <v>1</v>
      </c>
      <c r="J2301" s="147"/>
      <c r="K2301" s="139"/>
    </row>
    <row r="2302" spans="1:11" ht="12.75" x14ac:dyDescent="0.2">
      <c r="A2302" s="147"/>
      <c r="B2302" s="147"/>
      <c r="C2302" s="169"/>
      <c r="D2302" s="148"/>
      <c r="E2302" s="165"/>
      <c r="F2302" s="150"/>
      <c r="G2302" s="147"/>
      <c r="H2302" s="147"/>
      <c r="I2302" s="152"/>
      <c r="J2302" s="147"/>
      <c r="K2302" s="139"/>
    </row>
    <row r="2303" spans="1:11" ht="12.75" x14ac:dyDescent="0.2">
      <c r="A2303" s="148" t="s">
        <v>21</v>
      </c>
      <c r="B2303" s="160"/>
      <c r="C2303" s="148" t="s">
        <v>289</v>
      </c>
      <c r="D2303" s="147" t="s">
        <v>547</v>
      </c>
      <c r="E2303" s="204">
        <v>39083</v>
      </c>
      <c r="F2303" s="150">
        <v>1595078</v>
      </c>
      <c r="G2303" s="147">
        <v>2887</v>
      </c>
      <c r="H2303" s="147"/>
      <c r="I2303" s="152"/>
      <c r="J2303" s="147"/>
      <c r="K2303" s="139"/>
    </row>
    <row r="2304" spans="1:11" ht="12.75" x14ac:dyDescent="0.2">
      <c r="A2304" s="147"/>
      <c r="B2304" s="147"/>
      <c r="C2304" s="169"/>
      <c r="D2304" s="149" t="s">
        <v>288</v>
      </c>
      <c r="E2304" s="165"/>
      <c r="F2304" s="150"/>
      <c r="G2304" s="147"/>
      <c r="H2304" s="147">
        <v>1354</v>
      </c>
      <c r="I2304" s="152">
        <f>H2304/H$2307</f>
        <v>0.7342733188720173</v>
      </c>
      <c r="J2304" s="153" t="s">
        <v>288</v>
      </c>
      <c r="K2304" s="139"/>
    </row>
    <row r="2305" spans="1:11" ht="12.75" x14ac:dyDescent="0.2">
      <c r="A2305" s="147"/>
      <c r="B2305" s="147"/>
      <c r="C2305" s="169"/>
      <c r="D2305" s="149" t="s">
        <v>292</v>
      </c>
      <c r="E2305" s="165"/>
      <c r="F2305" s="150"/>
      <c r="G2305" s="147"/>
      <c r="H2305" s="147">
        <v>237</v>
      </c>
      <c r="I2305" s="152">
        <f>H2305/H$2307</f>
        <v>0.12852494577006507</v>
      </c>
      <c r="J2305" s="153"/>
      <c r="K2305" s="139"/>
    </row>
    <row r="2306" spans="1:11" ht="12.75" x14ac:dyDescent="0.2">
      <c r="A2306" s="147"/>
      <c r="B2306" s="147"/>
      <c r="C2306" s="169"/>
      <c r="D2306" s="149" t="s">
        <v>473</v>
      </c>
      <c r="E2306" s="165"/>
      <c r="F2306" s="150"/>
      <c r="G2306" s="147"/>
      <c r="H2306" s="147">
        <v>253</v>
      </c>
      <c r="I2306" s="152">
        <f>H2306/H$2307</f>
        <v>0.13720173535791758</v>
      </c>
      <c r="J2306" s="153"/>
      <c r="K2306" s="139"/>
    </row>
    <row r="2307" spans="1:11" ht="12.75" x14ac:dyDescent="0.2">
      <c r="A2307" s="147"/>
      <c r="B2307" s="147"/>
      <c r="C2307" s="169"/>
      <c r="D2307" s="148" t="s">
        <v>33</v>
      </c>
      <c r="E2307" s="165"/>
      <c r="F2307" s="150"/>
      <c r="G2307" s="147"/>
      <c r="H2307" s="155">
        <f>SUM(H2304:H2306)</f>
        <v>1844</v>
      </c>
      <c r="I2307" s="156">
        <f>SUM(I2304:I2306)</f>
        <v>1</v>
      </c>
      <c r="J2307" s="147"/>
      <c r="K2307" s="139"/>
    </row>
    <row r="2308" spans="1:11" ht="12.75" x14ac:dyDescent="0.2">
      <c r="A2308" s="147"/>
      <c r="B2308" s="147"/>
      <c r="C2308" s="169"/>
      <c r="D2308" s="148"/>
      <c r="E2308" s="165"/>
      <c r="F2308" s="150"/>
      <c r="G2308" s="147"/>
      <c r="H2308" s="147"/>
      <c r="I2308" s="152"/>
      <c r="J2308" s="147"/>
      <c r="K2308" s="139"/>
    </row>
    <row r="2309" spans="1:11" ht="12.75" x14ac:dyDescent="0.2">
      <c r="A2309" s="148" t="s">
        <v>21</v>
      </c>
      <c r="B2309" s="148"/>
      <c r="C2309" s="148" t="s">
        <v>289</v>
      </c>
      <c r="D2309" s="37" t="s">
        <v>548</v>
      </c>
      <c r="E2309" s="204">
        <v>39252</v>
      </c>
      <c r="F2309" s="163">
        <v>10146781</v>
      </c>
      <c r="G2309" s="147">
        <v>37919</v>
      </c>
      <c r="H2309" s="147"/>
      <c r="I2309" s="152"/>
      <c r="J2309" s="147"/>
      <c r="K2309" s="139"/>
    </row>
    <row r="2310" spans="1:11" ht="12.75" x14ac:dyDescent="0.2">
      <c r="A2310" s="147"/>
      <c r="B2310" s="147"/>
      <c r="C2310" s="169"/>
      <c r="D2310" s="149" t="s">
        <v>261</v>
      </c>
      <c r="E2310" s="165"/>
      <c r="F2310" s="150"/>
      <c r="G2310" s="147"/>
      <c r="H2310" s="161">
        <v>3850</v>
      </c>
      <c r="I2310" s="152">
        <f>ROUND(H2310/$H$2317,4)</f>
        <v>0.17269999999999999</v>
      </c>
      <c r="J2310" s="153"/>
      <c r="K2310" s="139"/>
    </row>
    <row r="2311" spans="1:11" ht="12.75" x14ac:dyDescent="0.2">
      <c r="A2311" s="147"/>
      <c r="B2311" s="147"/>
      <c r="C2311" s="169"/>
      <c r="D2311" s="149" t="s">
        <v>238</v>
      </c>
      <c r="E2311" s="165"/>
      <c r="F2311" s="150"/>
      <c r="G2311" s="147"/>
      <c r="H2311" s="161">
        <v>2744</v>
      </c>
      <c r="I2311" s="152">
        <f t="shared" ref="I2311:I2316" si="58">ROUND(H2311/$H$2317,4)</f>
        <v>0.1231</v>
      </c>
      <c r="J2311" s="147"/>
      <c r="K2311" s="139"/>
    </row>
    <row r="2312" spans="1:11" ht="12.75" x14ac:dyDescent="0.2">
      <c r="A2312" s="147"/>
      <c r="B2312" s="147"/>
      <c r="C2312" s="169"/>
      <c r="D2312" s="149" t="s">
        <v>284</v>
      </c>
      <c r="E2312" s="165"/>
      <c r="F2312" s="150"/>
      <c r="G2312" s="147"/>
      <c r="H2312" s="161">
        <v>2391</v>
      </c>
      <c r="I2312" s="152">
        <f t="shared" si="58"/>
        <v>0.10730000000000001</v>
      </c>
      <c r="J2312" s="147"/>
      <c r="K2312" s="139"/>
    </row>
    <row r="2313" spans="1:11" ht="12.75" x14ac:dyDescent="0.2">
      <c r="A2313" s="147"/>
      <c r="B2313" s="147"/>
      <c r="C2313" s="169"/>
      <c r="D2313" s="154" t="s">
        <v>517</v>
      </c>
      <c r="E2313" s="165"/>
      <c r="F2313" s="150"/>
      <c r="G2313" s="147"/>
      <c r="H2313" s="161">
        <v>310</v>
      </c>
      <c r="I2313" s="152">
        <f t="shared" si="58"/>
        <v>1.3899999999999999E-2</v>
      </c>
      <c r="J2313" s="147"/>
      <c r="K2313" s="139"/>
    </row>
    <row r="2314" spans="1:11" ht="12.75" x14ac:dyDescent="0.2">
      <c r="A2314" s="147"/>
      <c r="B2314" s="147"/>
      <c r="C2314" s="169"/>
      <c r="D2314" s="149" t="s">
        <v>240</v>
      </c>
      <c r="E2314" s="165"/>
      <c r="F2314" s="150"/>
      <c r="G2314" s="147"/>
      <c r="H2314" s="161">
        <v>9202</v>
      </c>
      <c r="I2314" s="152">
        <f t="shared" si="58"/>
        <v>0.4128</v>
      </c>
      <c r="J2314" s="151" t="s">
        <v>240</v>
      </c>
      <c r="K2314" s="139"/>
    </row>
    <row r="2315" spans="1:11" ht="12.75" x14ac:dyDescent="0.2">
      <c r="A2315" s="147"/>
      <c r="B2315" s="147"/>
      <c r="C2315" s="169"/>
      <c r="D2315" s="154" t="s">
        <v>244</v>
      </c>
      <c r="E2315" s="165"/>
      <c r="F2315" s="150"/>
      <c r="G2315" s="147"/>
      <c r="H2315" s="161">
        <v>396</v>
      </c>
      <c r="I2315" s="152">
        <f t="shared" si="58"/>
        <v>1.78E-2</v>
      </c>
      <c r="J2315" s="153"/>
      <c r="K2315" s="139"/>
    </row>
    <row r="2316" spans="1:11" ht="12.75" x14ac:dyDescent="0.2">
      <c r="A2316" s="147"/>
      <c r="B2316" s="147"/>
      <c r="C2316" s="169"/>
      <c r="D2316" s="149" t="s">
        <v>473</v>
      </c>
      <c r="E2316" s="165"/>
      <c r="F2316" s="150"/>
      <c r="G2316" s="147"/>
      <c r="H2316" s="161">
        <v>3396</v>
      </c>
      <c r="I2316" s="152">
        <f t="shared" si="58"/>
        <v>0.15240000000000001</v>
      </c>
      <c r="J2316" s="147"/>
      <c r="K2316" s="139"/>
    </row>
    <row r="2317" spans="1:11" ht="12.75" x14ac:dyDescent="0.2">
      <c r="A2317" s="147"/>
      <c r="B2317" s="147"/>
      <c r="C2317" s="169"/>
      <c r="D2317" s="148" t="s">
        <v>33</v>
      </c>
      <c r="E2317" s="165"/>
      <c r="F2317" s="150"/>
      <c r="G2317" s="147"/>
      <c r="H2317" s="155">
        <f>SUM(H2310:H2316)</f>
        <v>22289</v>
      </c>
      <c r="I2317" s="182">
        <f>SUM(I2310:I2316)</f>
        <v>1.0000000000000002</v>
      </c>
      <c r="J2317" s="147"/>
      <c r="K2317" s="139"/>
    </row>
    <row r="2318" spans="1:11" ht="12.75" x14ac:dyDescent="0.2">
      <c r="A2318" s="147"/>
      <c r="B2318" s="147"/>
      <c r="C2318" s="169"/>
      <c r="D2318" s="148"/>
      <c r="E2318" s="165"/>
      <c r="F2318" s="150"/>
      <c r="G2318" s="147"/>
      <c r="H2318" s="147"/>
      <c r="I2318" s="152"/>
      <c r="J2318" s="147"/>
      <c r="K2318" s="139"/>
    </row>
    <row r="2319" spans="1:11" ht="12.75" x14ac:dyDescent="0.2">
      <c r="A2319" s="148" t="s">
        <v>21</v>
      </c>
      <c r="B2319" s="148"/>
      <c r="C2319" s="148" t="s">
        <v>289</v>
      </c>
      <c r="D2319" s="37" t="s">
        <v>549</v>
      </c>
      <c r="E2319" s="204">
        <v>39387</v>
      </c>
      <c r="F2319" s="163">
        <v>21194717</v>
      </c>
      <c r="G2319" s="147">
        <v>97969</v>
      </c>
      <c r="H2319" s="147"/>
      <c r="I2319" s="152"/>
      <c r="J2319" s="147"/>
      <c r="K2319" s="139"/>
    </row>
    <row r="2320" spans="1:11" ht="12.75" x14ac:dyDescent="0.2">
      <c r="A2320" s="147"/>
      <c r="B2320" s="147"/>
      <c r="C2320" s="169"/>
      <c r="D2320" s="149" t="s">
        <v>261</v>
      </c>
      <c r="E2320" s="165"/>
      <c r="F2320" s="150"/>
      <c r="G2320" s="147"/>
      <c r="H2320" s="161">
        <v>18963</v>
      </c>
      <c r="I2320" s="152">
        <f t="shared" ref="I2320:I2325" si="59">ROUND(H2320/$H$2326,4)</f>
        <v>0.32950000000000002</v>
      </c>
      <c r="J2320" s="151" t="s">
        <v>261</v>
      </c>
      <c r="K2320" s="139"/>
    </row>
    <row r="2321" spans="1:11" ht="12.75" x14ac:dyDescent="0.2">
      <c r="A2321" s="147"/>
      <c r="B2321" s="147"/>
      <c r="C2321" s="169"/>
      <c r="D2321" s="149" t="s">
        <v>238</v>
      </c>
      <c r="E2321" s="165"/>
      <c r="F2321" s="150"/>
      <c r="G2321" s="147"/>
      <c r="H2321" s="161">
        <v>3065</v>
      </c>
      <c r="I2321" s="152">
        <f t="shared" si="59"/>
        <v>5.33E-2</v>
      </c>
      <c r="J2321" s="147"/>
      <c r="K2321" s="139"/>
    </row>
    <row r="2322" spans="1:11" ht="12.75" x14ac:dyDescent="0.2">
      <c r="A2322" s="147"/>
      <c r="B2322" s="147"/>
      <c r="C2322" s="169"/>
      <c r="D2322" s="149" t="s">
        <v>284</v>
      </c>
      <c r="E2322" s="165"/>
      <c r="F2322" s="150"/>
      <c r="G2322" s="147"/>
      <c r="H2322" s="161">
        <v>493</v>
      </c>
      <c r="I2322" s="152">
        <f t="shared" si="59"/>
        <v>8.6E-3</v>
      </c>
      <c r="J2322" s="147"/>
      <c r="K2322" s="139"/>
    </row>
    <row r="2323" spans="1:11" ht="12.75" x14ac:dyDescent="0.2">
      <c r="A2323" s="147"/>
      <c r="B2323" s="147"/>
      <c r="C2323" s="169"/>
      <c r="D2323" s="154" t="s">
        <v>517</v>
      </c>
      <c r="E2323" s="165"/>
      <c r="F2323" s="150"/>
      <c r="G2323" s="147"/>
      <c r="H2323" s="161">
        <v>669</v>
      </c>
      <c r="I2323" s="152">
        <f t="shared" si="59"/>
        <v>1.1599999999999999E-2</v>
      </c>
      <c r="J2323" s="147"/>
      <c r="K2323" s="139"/>
    </row>
    <row r="2324" spans="1:11" ht="12.75" x14ac:dyDescent="0.2">
      <c r="A2324" s="147"/>
      <c r="B2324" s="147"/>
      <c r="C2324" s="169"/>
      <c r="D2324" s="149" t="s">
        <v>240</v>
      </c>
      <c r="E2324" s="165"/>
      <c r="F2324" s="150"/>
      <c r="G2324" s="147"/>
      <c r="H2324" s="161">
        <v>28686</v>
      </c>
      <c r="I2324" s="152">
        <f t="shared" si="59"/>
        <v>0.4985</v>
      </c>
      <c r="J2324" s="151" t="s">
        <v>240</v>
      </c>
      <c r="K2324" s="139"/>
    </row>
    <row r="2325" spans="1:11" ht="12.75" x14ac:dyDescent="0.2">
      <c r="A2325" s="147"/>
      <c r="B2325" s="147"/>
      <c r="C2325" s="169"/>
      <c r="D2325" s="154" t="s">
        <v>244</v>
      </c>
      <c r="E2325" s="165"/>
      <c r="F2325" s="150"/>
      <c r="G2325" s="147"/>
      <c r="H2325" s="161">
        <v>5669</v>
      </c>
      <c r="I2325" s="152">
        <f t="shared" si="59"/>
        <v>9.8500000000000004E-2</v>
      </c>
      <c r="J2325" s="153"/>
      <c r="K2325" s="139"/>
    </row>
    <row r="2326" spans="1:11" ht="12.75" x14ac:dyDescent="0.2">
      <c r="A2326" s="147"/>
      <c r="B2326" s="147"/>
      <c r="C2326" s="169"/>
      <c r="D2326" s="148" t="s">
        <v>33</v>
      </c>
      <c r="E2326" s="165"/>
      <c r="F2326" s="150"/>
      <c r="G2326" s="147"/>
      <c r="H2326" s="155">
        <f>SUM(H2320:H2325)</f>
        <v>57545</v>
      </c>
      <c r="I2326" s="182">
        <f>SUM(I2320:I2325)</f>
        <v>1</v>
      </c>
      <c r="J2326" s="147"/>
      <c r="K2326" s="139"/>
    </row>
    <row r="2327" spans="1:11" ht="12.75" x14ac:dyDescent="0.2">
      <c r="A2327" s="147"/>
      <c r="B2327" s="147"/>
      <c r="C2327" s="169"/>
      <c r="D2327" s="148"/>
      <c r="E2327" s="165"/>
      <c r="F2327" s="150"/>
      <c r="G2327" s="147"/>
      <c r="H2327" s="147"/>
      <c r="I2327" s="183"/>
      <c r="J2327" s="147"/>
      <c r="K2327" s="139"/>
    </row>
    <row r="2328" spans="1:11" ht="12.75" x14ac:dyDescent="0.2">
      <c r="A2328" s="148" t="s">
        <v>21</v>
      </c>
      <c r="B2328" s="148"/>
      <c r="C2328" s="148" t="s">
        <v>289</v>
      </c>
      <c r="D2328" s="37" t="s">
        <v>577</v>
      </c>
      <c r="E2328" s="204">
        <v>40542</v>
      </c>
      <c r="F2328" s="163">
        <v>33893000</v>
      </c>
      <c r="G2328" s="147">
        <v>121798</v>
      </c>
      <c r="H2328" s="147"/>
      <c r="I2328" s="152"/>
      <c r="J2328" s="147"/>
      <c r="K2328" s="139"/>
    </row>
    <row r="2329" spans="1:11" ht="12.75" x14ac:dyDescent="0.2">
      <c r="A2329" s="147"/>
      <c r="B2329" s="147"/>
      <c r="C2329" s="169"/>
      <c r="D2329" s="149" t="s">
        <v>261</v>
      </c>
      <c r="E2329" s="165"/>
      <c r="F2329" s="150"/>
      <c r="G2329" s="147"/>
      <c r="H2329" s="161">
        <v>7213</v>
      </c>
      <c r="I2329" s="152">
        <f>ROUND(H2329/$H$2334,4)</f>
        <v>0.11</v>
      </c>
      <c r="J2329" s="151"/>
      <c r="K2329" s="139"/>
    </row>
    <row r="2330" spans="1:11" ht="12.75" x14ac:dyDescent="0.2">
      <c r="A2330" s="147"/>
      <c r="B2330" s="147"/>
      <c r="C2330" s="169"/>
      <c r="D2330" s="149" t="s">
        <v>238</v>
      </c>
      <c r="E2330" s="165"/>
      <c r="F2330" s="150"/>
      <c r="G2330" s="147"/>
      <c r="H2330" s="161">
        <v>40233</v>
      </c>
      <c r="I2330" s="152">
        <f>ROUND(H2330/$H$2334,4)</f>
        <v>0.61370000000000002</v>
      </c>
      <c r="J2330" s="151" t="s">
        <v>107</v>
      </c>
      <c r="K2330" s="139"/>
    </row>
    <row r="2331" spans="1:11" ht="12.75" x14ac:dyDescent="0.2">
      <c r="A2331" s="147"/>
      <c r="B2331" s="147"/>
      <c r="C2331" s="169"/>
      <c r="D2331" s="149" t="s">
        <v>578</v>
      </c>
      <c r="E2331" s="165"/>
      <c r="F2331" s="150"/>
      <c r="G2331" s="147"/>
      <c r="H2331" s="161">
        <v>7633</v>
      </c>
      <c r="I2331" s="152">
        <f>ROUND(H2331/$H$2334,4)</f>
        <v>0.1164</v>
      </c>
      <c r="J2331" s="147"/>
      <c r="K2331" s="139"/>
    </row>
    <row r="2332" spans="1:11" ht="12.75" x14ac:dyDescent="0.2">
      <c r="A2332" s="147"/>
      <c r="B2332" s="147"/>
      <c r="C2332" s="169"/>
      <c r="D2332" s="149" t="s">
        <v>240</v>
      </c>
      <c r="E2332" s="165"/>
      <c r="F2332" s="150"/>
      <c r="G2332" s="147"/>
      <c r="H2332" s="161">
        <v>8200</v>
      </c>
      <c r="I2332" s="152">
        <f>ROUND(H2332/$H$2334,4)</f>
        <v>0.12509999999999999</v>
      </c>
      <c r="J2332" s="151"/>
      <c r="K2332" s="139"/>
    </row>
    <row r="2333" spans="1:11" ht="12.75" x14ac:dyDescent="0.2">
      <c r="A2333" s="147"/>
      <c r="B2333" s="147"/>
      <c r="C2333" s="169"/>
      <c r="D2333" s="154" t="s">
        <v>244</v>
      </c>
      <c r="E2333" s="165"/>
      <c r="F2333" s="150"/>
      <c r="G2333" s="147"/>
      <c r="H2333" s="161">
        <v>2281</v>
      </c>
      <c r="I2333" s="152">
        <f>ROUND(H2333/$H$2334,4)</f>
        <v>3.4799999999999998E-2</v>
      </c>
      <c r="J2333" s="153"/>
      <c r="K2333" s="139"/>
    </row>
    <row r="2334" spans="1:11" ht="12.75" x14ac:dyDescent="0.2">
      <c r="A2334" s="147"/>
      <c r="B2334" s="147"/>
      <c r="C2334" s="169"/>
      <c r="D2334" s="148" t="s">
        <v>33</v>
      </c>
      <c r="E2334" s="165"/>
      <c r="F2334" s="150"/>
      <c r="G2334" s="147"/>
      <c r="H2334" s="155">
        <f>SUM(H2329:H2333)</f>
        <v>65560</v>
      </c>
      <c r="I2334" s="182">
        <f>SUM(I2329:I2333)</f>
        <v>1</v>
      </c>
      <c r="J2334" s="147"/>
      <c r="K2334" s="139"/>
    </row>
    <row r="2335" spans="1:11" ht="12.75" x14ac:dyDescent="0.2">
      <c r="A2335" s="147"/>
      <c r="B2335" s="147"/>
      <c r="C2335" s="169"/>
      <c r="D2335" s="148"/>
      <c r="E2335" s="165"/>
      <c r="F2335" s="150"/>
      <c r="G2335" s="147"/>
      <c r="H2335" s="147"/>
      <c r="I2335" s="183"/>
      <c r="J2335" s="147"/>
      <c r="K2335" s="139"/>
    </row>
    <row r="2336" spans="1:11" ht="12.75" x14ac:dyDescent="0.2">
      <c r="A2336" s="148" t="s">
        <v>21</v>
      </c>
      <c r="B2336" s="148"/>
      <c r="C2336" s="148" t="s">
        <v>289</v>
      </c>
      <c r="D2336" s="149" t="s">
        <v>616</v>
      </c>
      <c r="E2336" s="165">
        <v>40544</v>
      </c>
      <c r="F2336" s="150">
        <v>3393262</v>
      </c>
      <c r="G2336" s="147">
        <v>15991</v>
      </c>
      <c r="H2336" s="147"/>
      <c r="I2336" s="183"/>
      <c r="J2336" s="147"/>
      <c r="K2336" s="139"/>
    </row>
    <row r="2337" spans="1:11" ht="12.75" x14ac:dyDescent="0.2">
      <c r="A2337" s="147"/>
      <c r="B2337" s="147"/>
      <c r="C2337" s="169"/>
      <c r="D2337" s="149" t="s">
        <v>578</v>
      </c>
      <c r="E2337" s="165"/>
      <c r="F2337" s="150"/>
      <c r="G2337" s="147"/>
      <c r="H2337" s="147">
        <v>1874</v>
      </c>
      <c r="I2337" s="183">
        <f>H2337/H2340</f>
        <v>0.27783543365455893</v>
      </c>
      <c r="J2337" s="147"/>
      <c r="K2337" s="139"/>
    </row>
    <row r="2338" spans="1:11" ht="12.75" x14ac:dyDescent="0.2">
      <c r="A2338" s="147"/>
      <c r="B2338" s="147"/>
      <c r="C2338" s="169"/>
      <c r="D2338" s="149" t="s">
        <v>284</v>
      </c>
      <c r="E2338" s="165"/>
      <c r="F2338" s="150"/>
      <c r="G2338" s="147"/>
      <c r="H2338" s="147">
        <v>418</v>
      </c>
      <c r="I2338" s="183">
        <f>H2338/H2340</f>
        <v>6.1971830985915494E-2</v>
      </c>
      <c r="J2338" s="147"/>
      <c r="K2338" s="139"/>
    </row>
    <row r="2339" spans="1:11" ht="12.75" x14ac:dyDescent="0.2">
      <c r="A2339" s="147"/>
      <c r="B2339" s="147"/>
      <c r="C2339" s="169"/>
      <c r="D2339" s="149" t="s">
        <v>240</v>
      </c>
      <c r="E2339" s="165"/>
      <c r="F2339" s="150"/>
      <c r="G2339" s="147"/>
      <c r="H2339" s="147">
        <v>4453</v>
      </c>
      <c r="I2339" s="183">
        <f>H2339/H2340</f>
        <v>0.66019273535952561</v>
      </c>
      <c r="J2339" s="151" t="s">
        <v>240</v>
      </c>
      <c r="K2339" s="139"/>
    </row>
    <row r="2340" spans="1:11" ht="12.75" x14ac:dyDescent="0.2">
      <c r="A2340" s="147"/>
      <c r="B2340" s="147"/>
      <c r="C2340" s="169"/>
      <c r="D2340" s="148" t="s">
        <v>33</v>
      </c>
      <c r="E2340" s="165"/>
      <c r="F2340" s="150"/>
      <c r="G2340" s="147"/>
      <c r="H2340" s="155">
        <f>SUM(H2337:H2339)</f>
        <v>6745</v>
      </c>
      <c r="I2340" s="182">
        <f>SUM(I2337:I2339)</f>
        <v>1</v>
      </c>
      <c r="J2340" s="147"/>
      <c r="K2340" s="139"/>
    </row>
    <row r="2341" spans="1:11" ht="12.75" x14ac:dyDescent="0.2">
      <c r="A2341" s="147"/>
      <c r="B2341" s="147"/>
      <c r="C2341" s="169"/>
      <c r="D2341" s="148"/>
      <c r="E2341" s="165"/>
      <c r="F2341" s="150"/>
      <c r="G2341" s="147"/>
      <c r="H2341" s="155"/>
      <c r="I2341" s="182"/>
      <c r="J2341" s="147"/>
      <c r="K2341" s="139"/>
    </row>
    <row r="2342" spans="1:11" ht="12.75" x14ac:dyDescent="0.2">
      <c r="A2342" s="148" t="s">
        <v>21</v>
      </c>
      <c r="B2342" s="148"/>
      <c r="C2342" s="148" t="s">
        <v>289</v>
      </c>
      <c r="D2342" s="149" t="s">
        <v>671</v>
      </c>
      <c r="E2342" s="165">
        <v>43070</v>
      </c>
      <c r="F2342" s="150">
        <v>24605789</v>
      </c>
      <c r="G2342" s="147">
        <v>115400</v>
      </c>
      <c r="H2342" s="147"/>
      <c r="I2342" s="183"/>
      <c r="J2342" s="147"/>
      <c r="K2342" s="139"/>
    </row>
    <row r="2343" spans="1:11" ht="12.75" x14ac:dyDescent="0.2">
      <c r="A2343" s="147"/>
      <c r="B2343" s="147"/>
      <c r="C2343" s="169"/>
      <c r="D2343" s="149" t="s">
        <v>261</v>
      </c>
      <c r="E2343" s="165"/>
      <c r="F2343" s="150"/>
      <c r="G2343" s="147"/>
      <c r="H2343" s="161">
        <v>8747</v>
      </c>
      <c r="I2343" s="152">
        <f>H2343/$H$2348</f>
        <v>0.12903273392438303</v>
      </c>
      <c r="J2343" s="151"/>
      <c r="K2343" s="139"/>
    </row>
    <row r="2344" spans="1:11" ht="12.75" x14ac:dyDescent="0.2">
      <c r="A2344" s="147"/>
      <c r="B2344" s="147"/>
      <c r="C2344" s="169"/>
      <c r="D2344" s="149" t="s">
        <v>238</v>
      </c>
      <c r="E2344" s="165"/>
      <c r="F2344" s="150"/>
      <c r="G2344" s="147"/>
      <c r="H2344" s="161">
        <v>25263</v>
      </c>
      <c r="I2344" s="152">
        <f>H2344/$H$2348</f>
        <v>0.37267108232899143</v>
      </c>
      <c r="J2344" s="151" t="s">
        <v>107</v>
      </c>
      <c r="K2344" s="139"/>
    </row>
    <row r="2345" spans="1:11" ht="12.75" x14ac:dyDescent="0.2">
      <c r="A2345" s="147"/>
      <c r="B2345" s="147"/>
      <c r="C2345" s="169"/>
      <c r="D2345" s="149" t="s">
        <v>578</v>
      </c>
      <c r="E2345" s="165"/>
      <c r="F2345" s="150"/>
      <c r="G2345" s="147"/>
      <c r="H2345" s="161">
        <v>10237</v>
      </c>
      <c r="I2345" s="152">
        <f>H2345/$H$2348</f>
        <v>0.15101270117570698</v>
      </c>
      <c r="J2345" s="147"/>
      <c r="K2345" s="139"/>
    </row>
    <row r="2346" spans="1:11" ht="12.75" x14ac:dyDescent="0.2">
      <c r="A2346" s="147"/>
      <c r="B2346" s="147"/>
      <c r="C2346" s="169"/>
      <c r="D2346" s="149" t="s">
        <v>240</v>
      </c>
      <c r="E2346" s="165"/>
      <c r="F2346" s="150"/>
      <c r="G2346" s="147"/>
      <c r="H2346" s="161">
        <v>22072</v>
      </c>
      <c r="I2346" s="152">
        <f>H2346/$H$2348</f>
        <v>0.32559854843706204</v>
      </c>
      <c r="J2346" s="151" t="s">
        <v>63</v>
      </c>
      <c r="K2346" s="139"/>
    </row>
    <row r="2347" spans="1:11" ht="12.75" x14ac:dyDescent="0.2">
      <c r="A2347" s="147"/>
      <c r="B2347" s="147"/>
      <c r="C2347" s="169"/>
      <c r="D2347" s="149" t="s">
        <v>284</v>
      </c>
      <c r="E2347" s="165"/>
      <c r="F2347" s="150"/>
      <c r="G2347" s="147"/>
      <c r="H2347" s="147">
        <v>1470</v>
      </c>
      <c r="I2347" s="183">
        <f>H2347/H2348</f>
        <v>2.1684934133856526E-2</v>
      </c>
      <c r="J2347" s="147"/>
      <c r="K2347" s="139"/>
    </row>
    <row r="2348" spans="1:11" ht="12.75" x14ac:dyDescent="0.2">
      <c r="A2348" s="147"/>
      <c r="B2348" s="147"/>
      <c r="C2348" s="169"/>
      <c r="D2348" s="148" t="s">
        <v>33</v>
      </c>
      <c r="E2348" s="165"/>
      <c r="F2348" s="150"/>
      <c r="G2348" s="147"/>
      <c r="H2348" s="155">
        <f>SUM(H2343:H2347)</f>
        <v>67789</v>
      </c>
      <c r="I2348" s="182">
        <f>SUM(I2343:I2347)</f>
        <v>1</v>
      </c>
      <c r="J2348" s="147"/>
      <c r="K2348" s="139"/>
    </row>
    <row r="2349" spans="1:11" ht="12.75" x14ac:dyDescent="0.2">
      <c r="A2349" s="147"/>
      <c r="B2349" s="147"/>
      <c r="C2349" s="169"/>
      <c r="D2349" s="148"/>
      <c r="E2349" s="165"/>
      <c r="F2349" s="150"/>
      <c r="G2349" s="147"/>
      <c r="H2349" s="147"/>
      <c r="I2349" s="152"/>
      <c r="J2349" s="147"/>
      <c r="K2349" s="139"/>
    </row>
    <row r="2350" spans="1:11" ht="12.75" x14ac:dyDescent="0.2">
      <c r="A2350" s="148" t="s">
        <v>126</v>
      </c>
      <c r="B2350" s="160">
        <v>1008</v>
      </c>
      <c r="C2350" s="148" t="s">
        <v>289</v>
      </c>
      <c r="D2350" s="147" t="s">
        <v>127</v>
      </c>
      <c r="E2350" s="204">
        <v>36039</v>
      </c>
      <c r="F2350" s="150">
        <v>5788303</v>
      </c>
      <c r="G2350" s="147">
        <v>46348</v>
      </c>
      <c r="H2350" s="147"/>
      <c r="I2350" s="152"/>
      <c r="J2350" s="147"/>
      <c r="K2350" s="139"/>
    </row>
    <row r="2351" spans="1:11" ht="12.75" x14ac:dyDescent="0.2">
      <c r="A2351" s="147"/>
      <c r="B2351" s="147"/>
      <c r="C2351" s="169"/>
      <c r="D2351" s="149" t="s">
        <v>288</v>
      </c>
      <c r="E2351" s="165"/>
      <c r="F2351" s="150"/>
      <c r="G2351" s="147"/>
      <c r="H2351" s="147">
        <v>14163</v>
      </c>
      <c r="I2351" s="152">
        <f>H2351/H2353</f>
        <v>0.40199250681198911</v>
      </c>
      <c r="J2351" s="153" t="s">
        <v>288</v>
      </c>
      <c r="K2351" s="139"/>
    </row>
    <row r="2352" spans="1:11" ht="12.75" x14ac:dyDescent="0.2">
      <c r="A2352" s="147"/>
      <c r="B2352" s="147"/>
      <c r="C2352" s="169"/>
      <c r="D2352" s="149" t="s">
        <v>292</v>
      </c>
      <c r="E2352" s="165"/>
      <c r="F2352" s="150"/>
      <c r="G2352" s="147"/>
      <c r="H2352" s="147">
        <v>21069</v>
      </c>
      <c r="I2352" s="152">
        <f>H2352/H2353</f>
        <v>0.59800749318801094</v>
      </c>
      <c r="J2352" s="153" t="s">
        <v>292</v>
      </c>
      <c r="K2352" s="139"/>
    </row>
    <row r="2353" spans="1:11" ht="12.75" x14ac:dyDescent="0.2">
      <c r="A2353" s="147"/>
      <c r="B2353" s="147"/>
      <c r="C2353" s="169"/>
      <c r="D2353" s="148" t="s">
        <v>33</v>
      </c>
      <c r="E2353" s="165"/>
      <c r="F2353" s="150"/>
      <c r="G2353" s="147"/>
      <c r="H2353" s="155">
        <f>SUM(H2351:H2352)</f>
        <v>35232</v>
      </c>
      <c r="I2353" s="156">
        <f>SUM(I2351:I2352)</f>
        <v>1</v>
      </c>
      <c r="J2353" s="147"/>
      <c r="K2353" s="139"/>
    </row>
    <row r="2354" spans="1:11" ht="12.75" x14ac:dyDescent="0.2">
      <c r="A2354" s="147"/>
      <c r="B2354" s="147"/>
      <c r="C2354" s="169"/>
      <c r="D2354" s="148"/>
      <c r="E2354" s="165"/>
      <c r="F2354" s="150"/>
      <c r="G2354" s="147"/>
      <c r="H2354" s="147"/>
      <c r="I2354" s="152"/>
      <c r="J2354" s="147"/>
      <c r="K2354" s="139"/>
    </row>
    <row r="2355" spans="1:11" ht="12.75" x14ac:dyDescent="0.2">
      <c r="A2355" s="148" t="s">
        <v>126</v>
      </c>
      <c r="B2355" s="160">
        <v>1009</v>
      </c>
      <c r="C2355" s="148" t="s">
        <v>289</v>
      </c>
      <c r="D2355" s="147" t="s">
        <v>414</v>
      </c>
      <c r="E2355" s="204">
        <v>36130</v>
      </c>
      <c r="F2355" s="150">
        <v>6390000</v>
      </c>
      <c r="G2355" s="147">
        <v>53476</v>
      </c>
      <c r="H2355" s="147"/>
      <c r="I2355" s="152"/>
      <c r="J2355" s="147"/>
      <c r="K2355" s="139"/>
    </row>
    <row r="2356" spans="1:11" ht="12.75" x14ac:dyDescent="0.2">
      <c r="A2356" s="147"/>
      <c r="B2356" s="147"/>
      <c r="C2356" s="169"/>
      <c r="D2356" s="149" t="s">
        <v>261</v>
      </c>
      <c r="E2356" s="165"/>
      <c r="F2356" s="150"/>
      <c r="G2356" s="147"/>
      <c r="H2356" s="147">
        <v>10300</v>
      </c>
      <c r="I2356" s="152">
        <f>H2356/H2359</f>
        <v>0.31419681532548349</v>
      </c>
      <c r="J2356" s="153" t="s">
        <v>261</v>
      </c>
      <c r="K2356" s="139"/>
    </row>
    <row r="2357" spans="1:11" ht="12.75" x14ac:dyDescent="0.2">
      <c r="A2357" s="147"/>
      <c r="B2357" s="147"/>
      <c r="C2357" s="169"/>
      <c r="D2357" s="149" t="s">
        <v>238</v>
      </c>
      <c r="E2357" s="165"/>
      <c r="F2357" s="150"/>
      <c r="G2357" s="147"/>
      <c r="H2357" s="147">
        <v>10888</v>
      </c>
      <c r="I2357" s="152">
        <f>H2357/H2359</f>
        <v>0.33213348788969554</v>
      </c>
      <c r="J2357" s="153" t="s">
        <v>290</v>
      </c>
      <c r="K2357" s="139"/>
    </row>
    <row r="2358" spans="1:11" ht="12.75" x14ac:dyDescent="0.2">
      <c r="A2358" s="147"/>
      <c r="B2358" s="147"/>
      <c r="C2358" s="169"/>
      <c r="D2358" s="149" t="s">
        <v>288</v>
      </c>
      <c r="E2358" s="165"/>
      <c r="F2358" s="150"/>
      <c r="G2358" s="147"/>
      <c r="H2358" s="147">
        <v>11594</v>
      </c>
      <c r="I2358" s="152">
        <f>H2358/H2359</f>
        <v>0.35366969678482096</v>
      </c>
      <c r="J2358" s="153" t="s">
        <v>415</v>
      </c>
      <c r="K2358" s="139"/>
    </row>
    <row r="2359" spans="1:11" ht="12.75" x14ac:dyDescent="0.2">
      <c r="A2359" s="147"/>
      <c r="B2359" s="147"/>
      <c r="C2359" s="169"/>
      <c r="D2359" s="148" t="s">
        <v>33</v>
      </c>
      <c r="E2359" s="165"/>
      <c r="F2359" s="150"/>
      <c r="G2359" s="147"/>
      <c r="H2359" s="155">
        <f>SUM(H2356:H2358)</f>
        <v>32782</v>
      </c>
      <c r="I2359" s="156">
        <f>SUM(I2356:I2358)</f>
        <v>1</v>
      </c>
      <c r="J2359" s="147"/>
      <c r="K2359" s="139"/>
    </row>
    <row r="2360" spans="1:11" ht="12.75" x14ac:dyDescent="0.2">
      <c r="A2360" s="147"/>
      <c r="B2360" s="147"/>
      <c r="C2360" s="169"/>
      <c r="D2360" s="148"/>
      <c r="E2360" s="165"/>
      <c r="F2360" s="150"/>
      <c r="G2360" s="147"/>
      <c r="H2360" s="147"/>
      <c r="I2360" s="152"/>
      <c r="J2360" s="147"/>
      <c r="K2360" s="139"/>
    </row>
    <row r="2361" spans="1:11" ht="12.75" x14ac:dyDescent="0.2">
      <c r="A2361" s="148" t="s">
        <v>126</v>
      </c>
      <c r="B2361" s="205">
        <v>1015</v>
      </c>
      <c r="C2361" s="148" t="s">
        <v>289</v>
      </c>
      <c r="D2361" s="147" t="s">
        <v>429</v>
      </c>
      <c r="E2361" s="204">
        <v>36557</v>
      </c>
      <c r="F2361" s="150">
        <v>8148587</v>
      </c>
      <c r="G2361" s="147">
        <v>56895</v>
      </c>
      <c r="H2361" s="147"/>
      <c r="I2361" s="152"/>
      <c r="J2361" s="147"/>
      <c r="K2361" s="139"/>
    </row>
    <row r="2362" spans="1:11" ht="12.75" x14ac:dyDescent="0.2">
      <c r="A2362" s="147"/>
      <c r="B2362" s="147"/>
      <c r="C2362" s="169"/>
      <c r="D2362" s="149" t="s">
        <v>261</v>
      </c>
      <c r="E2362" s="165"/>
      <c r="F2362" s="150"/>
      <c r="G2362" s="147"/>
      <c r="H2362" s="147">
        <v>3000</v>
      </c>
      <c r="I2362" s="152">
        <f>(H2362/H2367)</f>
        <v>7.9093066174532031E-2</v>
      </c>
      <c r="J2362" s="147"/>
      <c r="K2362" s="139"/>
    </row>
    <row r="2363" spans="1:11" ht="12.75" x14ac:dyDescent="0.2">
      <c r="A2363" s="147"/>
      <c r="B2363" s="147"/>
      <c r="C2363" s="169"/>
      <c r="D2363" s="149" t="s">
        <v>238</v>
      </c>
      <c r="E2363" s="165"/>
      <c r="F2363" s="150"/>
      <c r="G2363" s="147"/>
      <c r="H2363" s="147">
        <v>13990</v>
      </c>
      <c r="I2363" s="152">
        <f>(H2363/H2367)</f>
        <v>0.36883733192723439</v>
      </c>
      <c r="J2363" s="153" t="s">
        <v>290</v>
      </c>
      <c r="K2363" s="139"/>
    </row>
    <row r="2364" spans="1:11" ht="12.75" x14ac:dyDescent="0.2">
      <c r="A2364" s="147"/>
      <c r="B2364" s="147"/>
      <c r="C2364" s="169"/>
      <c r="D2364" s="149" t="s">
        <v>291</v>
      </c>
      <c r="E2364" s="165"/>
      <c r="F2364" s="150"/>
      <c r="G2364" s="147"/>
      <c r="H2364" s="147">
        <v>7100</v>
      </c>
      <c r="I2364" s="152">
        <f>(H2364/H2367)</f>
        <v>0.1871869232797258</v>
      </c>
      <c r="J2364" s="147"/>
      <c r="K2364" s="139"/>
    </row>
    <row r="2365" spans="1:11" ht="12.75" x14ac:dyDescent="0.2">
      <c r="A2365" s="147"/>
      <c r="B2365" s="147"/>
      <c r="C2365" s="169"/>
      <c r="D2365" s="149" t="s">
        <v>293</v>
      </c>
      <c r="E2365" s="165"/>
      <c r="F2365" s="150"/>
      <c r="G2365" s="147"/>
      <c r="H2365" s="147">
        <v>3300</v>
      </c>
      <c r="I2365" s="152">
        <f>(H2365/H2367)</f>
        <v>8.7002372791985236E-2</v>
      </c>
      <c r="J2365" s="151"/>
      <c r="K2365" s="139"/>
    </row>
    <row r="2366" spans="1:11" ht="12.75" x14ac:dyDescent="0.2">
      <c r="A2366" s="147"/>
      <c r="B2366" s="147"/>
      <c r="C2366" s="169"/>
      <c r="D2366" s="149" t="s">
        <v>240</v>
      </c>
      <c r="E2366" s="165"/>
      <c r="F2366" s="150"/>
      <c r="G2366" s="147"/>
      <c r="H2366" s="147">
        <v>10540</v>
      </c>
      <c r="I2366" s="152">
        <f>(H2366/H2367)</f>
        <v>0.27788030582652257</v>
      </c>
      <c r="J2366" s="153"/>
      <c r="K2366" s="139"/>
    </row>
    <row r="2367" spans="1:11" ht="12.75" x14ac:dyDescent="0.2">
      <c r="A2367" s="147"/>
      <c r="B2367" s="147"/>
      <c r="C2367" s="169"/>
      <c r="D2367" s="148" t="s">
        <v>33</v>
      </c>
      <c r="E2367" s="165"/>
      <c r="F2367" s="150"/>
      <c r="G2367" s="147"/>
      <c r="H2367" s="155">
        <f>SUM(H2362:H2366)</f>
        <v>37930</v>
      </c>
      <c r="I2367" s="156">
        <f>SUM(I2362:I2366)</f>
        <v>1</v>
      </c>
      <c r="J2367" s="147"/>
      <c r="K2367" s="139"/>
    </row>
    <row r="2368" spans="1:11" ht="12.75" x14ac:dyDescent="0.2">
      <c r="A2368" s="147"/>
      <c r="B2368" s="147"/>
      <c r="C2368" s="169"/>
      <c r="D2368" s="147"/>
      <c r="E2368" s="165"/>
      <c r="F2368" s="150"/>
      <c r="G2368" s="147"/>
      <c r="H2368" s="147"/>
      <c r="I2368" s="152"/>
      <c r="J2368" s="147"/>
      <c r="K2368" s="139"/>
    </row>
    <row r="2369" spans="1:11" ht="12.75" x14ac:dyDescent="0.2">
      <c r="A2369" s="148" t="s">
        <v>126</v>
      </c>
      <c r="B2369" s="160">
        <v>1021</v>
      </c>
      <c r="C2369" s="148" t="s">
        <v>289</v>
      </c>
      <c r="D2369" s="147" t="s">
        <v>445</v>
      </c>
      <c r="E2369" s="204">
        <v>37136</v>
      </c>
      <c r="F2369" s="150">
        <v>11405229</v>
      </c>
      <c r="G2369" s="147">
        <v>77615</v>
      </c>
      <c r="H2369" s="147"/>
      <c r="I2369" s="152"/>
      <c r="J2369" s="147"/>
      <c r="K2369" s="139"/>
    </row>
    <row r="2370" spans="1:11" ht="12.75" x14ac:dyDescent="0.2">
      <c r="A2370" s="147"/>
      <c r="B2370" s="147"/>
      <c r="C2370" s="169"/>
      <c r="D2370" s="149" t="s">
        <v>261</v>
      </c>
      <c r="E2370" s="165"/>
      <c r="F2370" s="150"/>
      <c r="G2370" s="147"/>
      <c r="H2370" s="147">
        <v>5307</v>
      </c>
      <c r="I2370" s="152">
        <f>H2370/H2373</f>
        <v>9.8865478119935166E-2</v>
      </c>
      <c r="J2370" s="153"/>
      <c r="K2370" s="139"/>
    </row>
    <row r="2371" spans="1:11" ht="12.75" x14ac:dyDescent="0.2">
      <c r="A2371" s="147"/>
      <c r="B2371" s="147"/>
      <c r="C2371" s="169"/>
      <c r="D2371" s="149" t="s">
        <v>314</v>
      </c>
      <c r="E2371" s="165"/>
      <c r="F2371" s="150"/>
      <c r="G2371" s="147"/>
      <c r="H2371" s="147">
        <v>46946</v>
      </c>
      <c r="I2371" s="152">
        <f>H2371/H2373</f>
        <v>0.87456919838298031</v>
      </c>
      <c r="J2371" s="153" t="s">
        <v>314</v>
      </c>
      <c r="K2371" s="139"/>
    </row>
    <row r="2372" spans="1:11" ht="12.75" x14ac:dyDescent="0.2">
      <c r="A2372" s="147"/>
      <c r="B2372" s="147"/>
      <c r="C2372" s="169"/>
      <c r="D2372" s="149" t="s">
        <v>288</v>
      </c>
      <c r="E2372" s="165"/>
      <c r="F2372" s="150"/>
      <c r="G2372" s="147"/>
      <c r="H2372" s="147">
        <v>1426</v>
      </c>
      <c r="I2372" s="152">
        <f>H2372/H2373</f>
        <v>2.6565323497084521E-2</v>
      </c>
      <c r="J2372" s="153"/>
      <c r="K2372" s="139"/>
    </row>
    <row r="2373" spans="1:11" ht="12.75" x14ac:dyDescent="0.2">
      <c r="A2373" s="147"/>
      <c r="B2373" s="147"/>
      <c r="C2373" s="169"/>
      <c r="D2373" s="148" t="s">
        <v>33</v>
      </c>
      <c r="E2373" s="165"/>
      <c r="F2373" s="150"/>
      <c r="G2373" s="147"/>
      <c r="H2373" s="155">
        <f>SUM(H2370:H2372)</f>
        <v>53679</v>
      </c>
      <c r="I2373" s="156">
        <f>SUM(I2370:I2372)</f>
        <v>1</v>
      </c>
      <c r="J2373" s="147"/>
      <c r="K2373" s="139"/>
    </row>
    <row r="2374" spans="1:11" ht="12.75" x14ac:dyDescent="0.2">
      <c r="A2374" s="147"/>
      <c r="B2374" s="147"/>
      <c r="C2374" s="169"/>
      <c r="D2374" s="147"/>
      <c r="E2374" s="165"/>
      <c r="F2374" s="150"/>
      <c r="G2374" s="147"/>
      <c r="H2374" s="147"/>
      <c r="I2374" s="152"/>
      <c r="J2374" s="147"/>
      <c r="K2374" s="139"/>
    </row>
    <row r="2375" spans="1:11" ht="12.75" x14ac:dyDescent="0.2">
      <c r="A2375" s="148" t="s">
        <v>126</v>
      </c>
      <c r="B2375" s="160">
        <v>1011</v>
      </c>
      <c r="C2375" s="148" t="s">
        <v>289</v>
      </c>
      <c r="D2375" s="147" t="s">
        <v>446</v>
      </c>
      <c r="E2375" s="204">
        <v>37135</v>
      </c>
      <c r="F2375" s="150">
        <v>5623040</v>
      </c>
      <c r="G2375" s="147">
        <v>33000</v>
      </c>
      <c r="H2375" s="147"/>
      <c r="I2375" s="152"/>
      <c r="J2375" s="147"/>
      <c r="K2375" s="139"/>
    </row>
    <row r="2376" spans="1:11" ht="12.75" x14ac:dyDescent="0.2">
      <c r="A2376" s="147"/>
      <c r="B2376" s="147"/>
      <c r="C2376" s="169"/>
      <c r="D2376" s="149" t="s">
        <v>238</v>
      </c>
      <c r="E2376" s="165"/>
      <c r="F2376" s="150"/>
      <c r="G2376" s="147"/>
      <c r="H2376" s="147">
        <v>16000</v>
      </c>
      <c r="I2376" s="152">
        <f>H2376/H2379</f>
        <v>0.72727272727272729</v>
      </c>
      <c r="J2376" s="153" t="s">
        <v>290</v>
      </c>
      <c r="K2376" s="139"/>
    </row>
    <row r="2377" spans="1:11" ht="12.75" x14ac:dyDescent="0.2">
      <c r="A2377" s="147"/>
      <c r="B2377" s="147"/>
      <c r="C2377" s="169"/>
      <c r="D2377" s="149" t="s">
        <v>262</v>
      </c>
      <c r="E2377" s="165"/>
      <c r="F2377" s="150"/>
      <c r="G2377" s="147"/>
      <c r="H2377" s="147">
        <v>3000</v>
      </c>
      <c r="I2377" s="152">
        <f>H2377/H2379</f>
        <v>0.13636363636363635</v>
      </c>
      <c r="J2377" s="153"/>
      <c r="K2377" s="139"/>
    </row>
    <row r="2378" spans="1:11" ht="12.75" x14ac:dyDescent="0.2">
      <c r="A2378" s="147"/>
      <c r="B2378" s="147"/>
      <c r="C2378" s="169"/>
      <c r="D2378" s="149" t="s">
        <v>288</v>
      </c>
      <c r="E2378" s="165"/>
      <c r="F2378" s="150"/>
      <c r="G2378" s="147"/>
      <c r="H2378" s="147">
        <v>3000</v>
      </c>
      <c r="I2378" s="152">
        <f>H2378/H2379</f>
        <v>0.13636363636363635</v>
      </c>
      <c r="J2378" s="153"/>
      <c r="K2378" s="139"/>
    </row>
    <row r="2379" spans="1:11" ht="12.75" x14ac:dyDescent="0.2">
      <c r="A2379" s="147"/>
      <c r="B2379" s="147"/>
      <c r="C2379" s="169"/>
      <c r="D2379" s="148" t="s">
        <v>33</v>
      </c>
      <c r="E2379" s="165"/>
      <c r="F2379" s="150"/>
      <c r="G2379" s="147"/>
      <c r="H2379" s="155">
        <f>SUM(H2376:H2378)</f>
        <v>22000</v>
      </c>
      <c r="I2379" s="156">
        <f>SUM(I2376:I2378)</f>
        <v>1</v>
      </c>
      <c r="J2379" s="147"/>
      <c r="K2379" s="139"/>
    </row>
    <row r="2380" spans="1:11" ht="12.75" x14ac:dyDescent="0.2">
      <c r="A2380" s="147"/>
      <c r="B2380" s="147"/>
      <c r="C2380" s="169"/>
      <c r="D2380" s="147"/>
      <c r="E2380" s="165"/>
      <c r="F2380" s="150"/>
      <c r="G2380" s="147"/>
      <c r="H2380" s="147"/>
      <c r="I2380" s="152"/>
      <c r="J2380" s="147"/>
      <c r="K2380" s="139"/>
    </row>
    <row r="2381" spans="1:11" ht="12.75" x14ac:dyDescent="0.2">
      <c r="A2381" s="148" t="s">
        <v>126</v>
      </c>
      <c r="B2381" s="160">
        <v>1020</v>
      </c>
      <c r="C2381" s="148" t="s">
        <v>289</v>
      </c>
      <c r="D2381" s="147" t="s">
        <v>463</v>
      </c>
      <c r="E2381" s="165">
        <v>37288</v>
      </c>
      <c r="F2381" s="150">
        <v>7048127</v>
      </c>
      <c r="G2381" s="147">
        <v>52261</v>
      </c>
      <c r="H2381" s="147"/>
      <c r="I2381" s="152"/>
      <c r="J2381" s="147"/>
      <c r="K2381" s="139"/>
    </row>
    <row r="2382" spans="1:11" ht="12.75" x14ac:dyDescent="0.2">
      <c r="A2382" s="147"/>
      <c r="B2382" s="147"/>
      <c r="C2382" s="169"/>
      <c r="D2382" s="149" t="s">
        <v>288</v>
      </c>
      <c r="E2382" s="165"/>
      <c r="F2382" s="150"/>
      <c r="G2382" s="147"/>
      <c r="H2382" s="147">
        <v>6000</v>
      </c>
      <c r="I2382" s="152">
        <f>H2382/$H$2384</f>
        <v>0.16666666666666666</v>
      </c>
      <c r="J2382" s="153"/>
      <c r="K2382" s="139"/>
    </row>
    <row r="2383" spans="1:11" ht="12.75" x14ac:dyDescent="0.2">
      <c r="A2383" s="147"/>
      <c r="B2383" s="147"/>
      <c r="C2383" s="169"/>
      <c r="D2383" s="149" t="s">
        <v>285</v>
      </c>
      <c r="E2383" s="165"/>
      <c r="F2383" s="150"/>
      <c r="G2383" s="147"/>
      <c r="H2383" s="147">
        <v>30000</v>
      </c>
      <c r="I2383" s="152">
        <f>H2383/$H$2384</f>
        <v>0.83333333333333337</v>
      </c>
      <c r="J2383" s="153" t="s">
        <v>285</v>
      </c>
      <c r="K2383" s="139"/>
    </row>
    <row r="2384" spans="1:11" ht="12.75" x14ac:dyDescent="0.2">
      <c r="A2384" s="147"/>
      <c r="B2384" s="147"/>
      <c r="C2384" s="169"/>
      <c r="D2384" s="148" t="s">
        <v>33</v>
      </c>
      <c r="E2384" s="165"/>
      <c r="F2384" s="150"/>
      <c r="G2384" s="147"/>
      <c r="H2384" s="155">
        <f>SUM(H2382:H2383)</f>
        <v>36000</v>
      </c>
      <c r="I2384" s="156">
        <f>SUM(I2382:I2383)</f>
        <v>1</v>
      </c>
      <c r="J2384" s="147"/>
      <c r="K2384" s="139"/>
    </row>
    <row r="2385" spans="1:11" ht="12.75" x14ac:dyDescent="0.2">
      <c r="A2385" s="147"/>
      <c r="B2385" s="147"/>
      <c r="C2385" s="169"/>
      <c r="D2385" s="148"/>
      <c r="E2385" s="165"/>
      <c r="F2385" s="150"/>
      <c r="G2385" s="147"/>
      <c r="H2385" s="147"/>
      <c r="I2385" s="152"/>
      <c r="J2385" s="147"/>
      <c r="K2385" s="139"/>
    </row>
    <row r="2386" spans="1:11" ht="12.75" x14ac:dyDescent="0.2">
      <c r="A2386" s="148" t="s">
        <v>126</v>
      </c>
      <c r="B2386" s="160">
        <v>1029</v>
      </c>
      <c r="C2386" s="148" t="s">
        <v>289</v>
      </c>
      <c r="D2386" s="147" t="s">
        <v>470</v>
      </c>
      <c r="E2386" s="204">
        <v>37841</v>
      </c>
      <c r="F2386" s="150">
        <v>1383789</v>
      </c>
      <c r="G2386" s="147">
        <v>6500</v>
      </c>
      <c r="H2386" s="147"/>
      <c r="I2386" s="152"/>
      <c r="J2386" s="147"/>
      <c r="K2386" s="139"/>
    </row>
    <row r="2387" spans="1:11" ht="12.75" x14ac:dyDescent="0.2">
      <c r="A2387" s="147"/>
      <c r="B2387" s="147"/>
      <c r="C2387" s="169"/>
      <c r="D2387" s="149" t="s">
        <v>262</v>
      </c>
      <c r="E2387" s="165"/>
      <c r="F2387" s="150"/>
      <c r="G2387" s="147"/>
      <c r="H2387" s="147">
        <v>3030</v>
      </c>
      <c r="I2387" s="152">
        <f>H2387/H2389</f>
        <v>0.6499356499356499</v>
      </c>
      <c r="J2387" s="153" t="s">
        <v>262</v>
      </c>
      <c r="K2387" s="139"/>
    </row>
    <row r="2388" spans="1:11" ht="12.75" x14ac:dyDescent="0.2">
      <c r="A2388" s="147"/>
      <c r="B2388" s="147"/>
      <c r="C2388" s="169"/>
      <c r="D2388" s="149" t="s">
        <v>288</v>
      </c>
      <c r="E2388" s="165"/>
      <c r="F2388" s="150"/>
      <c r="G2388" s="147"/>
      <c r="H2388" s="147">
        <v>1632</v>
      </c>
      <c r="I2388" s="152">
        <f>H2388/H2389</f>
        <v>0.35006435006435005</v>
      </c>
      <c r="J2388" s="153"/>
      <c r="K2388" s="139"/>
    </row>
    <row r="2389" spans="1:11" ht="12.75" x14ac:dyDescent="0.2">
      <c r="A2389" s="147"/>
      <c r="B2389" s="147"/>
      <c r="C2389" s="169"/>
      <c r="D2389" s="148" t="s">
        <v>33</v>
      </c>
      <c r="E2389" s="165"/>
      <c r="F2389" s="150"/>
      <c r="G2389" s="147"/>
      <c r="H2389" s="155">
        <f>SUM(H2387:H2388)</f>
        <v>4662</v>
      </c>
      <c r="I2389" s="156">
        <f>SUM(I2387:I2388)</f>
        <v>1</v>
      </c>
      <c r="J2389" s="147"/>
      <c r="K2389" s="139"/>
    </row>
    <row r="2390" spans="1:11" ht="12.75" x14ac:dyDescent="0.2">
      <c r="A2390" s="147"/>
      <c r="B2390" s="147"/>
      <c r="C2390" s="169"/>
      <c r="D2390" s="147"/>
      <c r="E2390" s="165"/>
      <c r="F2390" s="147"/>
      <c r="G2390" s="147"/>
      <c r="H2390" s="147"/>
      <c r="I2390" s="152"/>
      <c r="J2390" s="147"/>
      <c r="K2390" s="139"/>
    </row>
    <row r="2391" spans="1:11" ht="12.75" x14ac:dyDescent="0.2">
      <c r="A2391" s="148" t="s">
        <v>126</v>
      </c>
      <c r="B2391" s="160">
        <v>1033</v>
      </c>
      <c r="C2391" s="148" t="s">
        <v>501</v>
      </c>
      <c r="D2391" s="147" t="s">
        <v>502</v>
      </c>
      <c r="E2391" s="204">
        <v>38049</v>
      </c>
      <c r="F2391" s="150">
        <v>1611674</v>
      </c>
      <c r="G2391" s="147">
        <v>8072</v>
      </c>
      <c r="H2391" s="147"/>
      <c r="I2391" s="152"/>
      <c r="J2391" s="147"/>
      <c r="K2391" s="139"/>
    </row>
    <row r="2392" spans="1:11" ht="12.75" x14ac:dyDescent="0.2">
      <c r="A2392" s="147"/>
      <c r="B2392" s="147"/>
      <c r="C2392" s="169"/>
      <c r="D2392" s="149" t="s">
        <v>261</v>
      </c>
      <c r="E2392" s="165"/>
      <c r="F2392" s="150"/>
      <c r="G2392" s="147"/>
      <c r="H2392" s="147">
        <v>3342</v>
      </c>
      <c r="I2392" s="152">
        <f>H2392/H$2401</f>
        <v>0.11989667790772764</v>
      </c>
      <c r="J2392" s="153" t="s">
        <v>261</v>
      </c>
      <c r="K2392" s="139"/>
    </row>
    <row r="2393" spans="1:11" ht="12.75" x14ac:dyDescent="0.2">
      <c r="A2393" s="147"/>
      <c r="B2393" s="147"/>
      <c r="C2393" s="169"/>
      <c r="D2393" s="149" t="s">
        <v>262</v>
      </c>
      <c r="E2393" s="165"/>
      <c r="F2393" s="150"/>
      <c r="G2393" s="147"/>
      <c r="H2393" s="147">
        <v>1394</v>
      </c>
      <c r="I2393" s="152">
        <f>H2393/H$2401</f>
        <v>5.0010762717945037E-2</v>
      </c>
      <c r="J2393" s="153"/>
      <c r="K2393" s="139"/>
    </row>
    <row r="2394" spans="1:11" ht="12.75" x14ac:dyDescent="0.2">
      <c r="A2394" s="147"/>
      <c r="B2394" s="147"/>
      <c r="C2394" s="169"/>
      <c r="D2394" s="149" t="s">
        <v>288</v>
      </c>
      <c r="E2394" s="165"/>
      <c r="F2394" s="150"/>
      <c r="G2394" s="147"/>
      <c r="H2394" s="147">
        <v>922</v>
      </c>
      <c r="I2394" s="152">
        <f>H2394/H$2401</f>
        <v>3.3077419817751308E-2</v>
      </c>
      <c r="J2394" s="153"/>
      <c r="K2394" s="139"/>
    </row>
    <row r="2395" spans="1:11" ht="12.75" x14ac:dyDescent="0.2">
      <c r="A2395" s="147"/>
      <c r="B2395" s="147"/>
      <c r="C2395" s="169"/>
      <c r="D2395" s="148" t="s">
        <v>33</v>
      </c>
      <c r="E2395" s="165"/>
      <c r="F2395" s="150"/>
      <c r="G2395" s="147"/>
      <c r="H2395" s="155">
        <f>SUM(H2392:H2394)</f>
        <v>5658</v>
      </c>
      <c r="I2395" s="156">
        <f>SUM(I2392:I2394)</f>
        <v>0.20298486044342398</v>
      </c>
      <c r="J2395" s="147"/>
      <c r="K2395" s="139"/>
    </row>
    <row r="2396" spans="1:11" ht="12.75" x14ac:dyDescent="0.2">
      <c r="A2396" s="147"/>
      <c r="B2396" s="147"/>
      <c r="C2396" s="169"/>
      <c r="D2396" s="147"/>
      <c r="E2396" s="165"/>
      <c r="F2396" s="147"/>
      <c r="G2396" s="147"/>
      <c r="H2396" s="147"/>
      <c r="I2396" s="152"/>
      <c r="J2396" s="147"/>
      <c r="K2396" s="139"/>
    </row>
    <row r="2397" spans="1:11" ht="12.75" x14ac:dyDescent="0.2">
      <c r="A2397" s="148" t="s">
        <v>126</v>
      </c>
      <c r="B2397" s="160">
        <v>1024</v>
      </c>
      <c r="C2397" s="148" t="s">
        <v>289</v>
      </c>
      <c r="D2397" s="37" t="s">
        <v>518</v>
      </c>
      <c r="E2397" s="204">
        <v>38322</v>
      </c>
      <c r="F2397" s="163">
        <v>6832012</v>
      </c>
      <c r="G2397" s="147">
        <v>41811</v>
      </c>
      <c r="H2397" s="147"/>
      <c r="I2397" s="152"/>
      <c r="J2397" s="147"/>
      <c r="K2397" s="139"/>
    </row>
    <row r="2398" spans="1:11" ht="12.75" x14ac:dyDescent="0.2">
      <c r="A2398" s="147"/>
      <c r="B2398" s="147"/>
      <c r="C2398" s="169"/>
      <c r="D2398" s="149" t="s">
        <v>261</v>
      </c>
      <c r="E2398" s="165"/>
      <c r="F2398" s="150"/>
      <c r="G2398" s="147"/>
      <c r="H2398" s="147">
        <v>3480</v>
      </c>
      <c r="I2398" s="152">
        <f>H2398/H$2401</f>
        <v>0.12484752816244529</v>
      </c>
      <c r="J2398" s="153"/>
      <c r="K2398" s="139"/>
    </row>
    <row r="2399" spans="1:11" ht="12.75" x14ac:dyDescent="0.2">
      <c r="A2399" s="147"/>
      <c r="B2399" s="147"/>
      <c r="C2399" s="169"/>
      <c r="D2399" s="37" t="s">
        <v>242</v>
      </c>
      <c r="E2399" s="165"/>
      <c r="F2399" s="150"/>
      <c r="G2399" s="147"/>
      <c r="H2399" s="147">
        <v>200</v>
      </c>
      <c r="I2399" s="152">
        <f>H2399/H$2401</f>
        <v>7.1751452966922584E-3</v>
      </c>
      <c r="J2399" s="153"/>
      <c r="K2399" s="139"/>
    </row>
    <row r="2400" spans="1:11" ht="12.75" x14ac:dyDescent="0.2">
      <c r="A2400" s="147"/>
      <c r="B2400" s="147"/>
      <c r="C2400" s="169"/>
      <c r="D2400" s="149" t="s">
        <v>288</v>
      </c>
      <c r="E2400" s="165"/>
      <c r="F2400" s="150"/>
      <c r="G2400" s="147"/>
      <c r="H2400" s="147">
        <v>24194</v>
      </c>
      <c r="I2400" s="152">
        <f>H2400/H$2401</f>
        <v>0.86797732654086246</v>
      </c>
      <c r="J2400" s="153" t="s">
        <v>415</v>
      </c>
      <c r="K2400" s="139"/>
    </row>
    <row r="2401" spans="1:17" ht="12.75" x14ac:dyDescent="0.2">
      <c r="A2401" s="147"/>
      <c r="B2401" s="147"/>
      <c r="C2401" s="169"/>
      <c r="D2401" s="148" t="s">
        <v>33</v>
      </c>
      <c r="E2401" s="165"/>
      <c r="F2401" s="150"/>
      <c r="G2401" s="147"/>
      <c r="H2401" s="155">
        <f>SUM(H2398:H2400)</f>
        <v>27874</v>
      </c>
      <c r="I2401" s="156">
        <f>SUM(I2398:I2400)</f>
        <v>1</v>
      </c>
      <c r="J2401" s="147"/>
      <c r="K2401" s="139"/>
    </row>
    <row r="2402" spans="1:17" ht="12.75" x14ac:dyDescent="0.2">
      <c r="A2402" s="147"/>
      <c r="B2402" s="147"/>
      <c r="C2402" s="169"/>
      <c r="D2402" s="148"/>
      <c r="E2402" s="165"/>
      <c r="F2402" s="150"/>
      <c r="G2402" s="147"/>
      <c r="H2402" s="147"/>
      <c r="I2402" s="152"/>
      <c r="J2402" s="147"/>
      <c r="K2402" s="139"/>
    </row>
    <row r="2403" spans="1:17" ht="12.75" x14ac:dyDescent="0.2">
      <c r="A2403" s="148" t="s">
        <v>126</v>
      </c>
      <c r="B2403" s="205">
        <v>1042</v>
      </c>
      <c r="C2403" s="148" t="s">
        <v>289</v>
      </c>
      <c r="D2403" s="37" t="s">
        <v>550</v>
      </c>
      <c r="E2403" s="204">
        <v>39356</v>
      </c>
      <c r="F2403" s="163">
        <v>6588115</v>
      </c>
      <c r="G2403" s="147">
        <v>39805</v>
      </c>
      <c r="H2403" s="147"/>
      <c r="I2403" s="152"/>
      <c r="J2403" s="147"/>
      <c r="K2403" s="139"/>
    </row>
    <row r="2404" spans="1:17" ht="12.75" x14ac:dyDescent="0.2">
      <c r="A2404" s="147"/>
      <c r="B2404" s="206"/>
      <c r="C2404" s="169"/>
      <c r="D2404" s="149" t="s">
        <v>261</v>
      </c>
      <c r="E2404" s="165"/>
      <c r="F2404" s="150"/>
      <c r="G2404" s="147"/>
      <c r="H2404" s="161">
        <v>6478</v>
      </c>
      <c r="I2404" s="152">
        <f t="shared" ref="I2404:I2409" si="60">ROUND(H2404/$H$2420,4)</f>
        <v>0.1555</v>
      </c>
      <c r="J2404" s="153"/>
      <c r="K2404" s="139"/>
    </row>
    <row r="2405" spans="1:17" ht="12.75" x14ac:dyDescent="0.2">
      <c r="A2405" s="147"/>
      <c r="B2405" s="206"/>
      <c r="C2405" s="169"/>
      <c r="D2405" s="149" t="s">
        <v>238</v>
      </c>
      <c r="E2405" s="165"/>
      <c r="F2405" s="150"/>
      <c r="G2405" s="147"/>
      <c r="H2405" s="161">
        <v>12429</v>
      </c>
      <c r="I2405" s="152">
        <f t="shared" si="60"/>
        <v>0.2984</v>
      </c>
      <c r="J2405" s="153" t="s">
        <v>290</v>
      </c>
      <c r="K2405" s="139"/>
    </row>
    <row r="2406" spans="1:17" ht="12.75" x14ac:dyDescent="0.2">
      <c r="A2406" s="147"/>
      <c r="B2406" s="206"/>
      <c r="C2406" s="169"/>
      <c r="D2406" s="37" t="s">
        <v>242</v>
      </c>
      <c r="E2406" s="165"/>
      <c r="F2406" s="150"/>
      <c r="G2406" s="147"/>
      <c r="H2406" s="161">
        <v>311</v>
      </c>
      <c r="I2406" s="152">
        <f t="shared" si="60"/>
        <v>7.4999999999999997E-3</v>
      </c>
      <c r="J2406" s="147"/>
      <c r="K2406" s="139"/>
    </row>
    <row r="2407" spans="1:17" ht="12.75" x14ac:dyDescent="0.2">
      <c r="A2407" s="147"/>
      <c r="B2407" s="206"/>
      <c r="C2407" s="169"/>
      <c r="D2407" s="149" t="s">
        <v>262</v>
      </c>
      <c r="E2407" s="165"/>
      <c r="F2407" s="150"/>
      <c r="G2407" s="147"/>
      <c r="H2407" s="161">
        <v>1064</v>
      </c>
      <c r="I2407" s="152">
        <f t="shared" si="60"/>
        <v>2.5499999999999998E-2</v>
      </c>
      <c r="J2407" s="147"/>
      <c r="K2407" s="139"/>
    </row>
    <row r="2408" spans="1:17" ht="12.75" x14ac:dyDescent="0.2">
      <c r="A2408" s="147"/>
      <c r="B2408" s="206"/>
      <c r="C2408" s="169"/>
      <c r="D2408" s="149" t="s">
        <v>240</v>
      </c>
      <c r="E2408" s="165"/>
      <c r="F2408" s="150"/>
      <c r="G2408" s="147"/>
      <c r="H2408" s="161">
        <v>3763</v>
      </c>
      <c r="I2408" s="152">
        <f t="shared" si="60"/>
        <v>9.0300000000000005E-2</v>
      </c>
      <c r="J2408" s="151"/>
      <c r="K2408" s="139"/>
    </row>
    <row r="2409" spans="1:17" ht="12.75" x14ac:dyDescent="0.2">
      <c r="A2409" s="147"/>
      <c r="B2409" s="206"/>
      <c r="C2409" s="169"/>
      <c r="D2409" s="149" t="s">
        <v>473</v>
      </c>
      <c r="E2409" s="165"/>
      <c r="F2409" s="150"/>
      <c r="G2409" s="147"/>
      <c r="H2409" s="161">
        <v>1491</v>
      </c>
      <c r="I2409" s="152">
        <f t="shared" si="60"/>
        <v>3.5799999999999998E-2</v>
      </c>
      <c r="J2409" s="147"/>
      <c r="K2409" s="139"/>
    </row>
    <row r="2410" spans="1:17" ht="12.75" x14ac:dyDescent="0.2">
      <c r="A2410" s="147"/>
      <c r="B2410" s="206"/>
      <c r="C2410" s="169"/>
      <c r="D2410" s="148" t="s">
        <v>33</v>
      </c>
      <c r="E2410" s="165"/>
      <c r="F2410" s="150"/>
      <c r="G2410" s="147"/>
      <c r="H2410" s="155">
        <f>SUM(H2404:H2409)</f>
        <v>25536</v>
      </c>
      <c r="I2410" s="182">
        <f>SUM(I2404:I2409)</f>
        <v>0.61299999999999999</v>
      </c>
      <c r="J2410" s="147"/>
      <c r="K2410" s="139"/>
    </row>
    <row r="2411" spans="1:17" ht="12.75" x14ac:dyDescent="0.2">
      <c r="A2411" s="147"/>
      <c r="B2411" s="206"/>
      <c r="C2411" s="169"/>
      <c r="D2411" s="148"/>
      <c r="E2411" s="165"/>
      <c r="F2411" s="150"/>
      <c r="G2411" s="147"/>
      <c r="H2411" s="147"/>
      <c r="I2411" s="152"/>
      <c r="J2411" s="147"/>
      <c r="K2411" s="139"/>
    </row>
    <row r="2412" spans="1:17" ht="12.75" x14ac:dyDescent="0.2">
      <c r="A2412" s="148" t="s">
        <v>126</v>
      </c>
      <c r="B2412" s="205">
        <v>1048</v>
      </c>
      <c r="C2412" s="148" t="s">
        <v>289</v>
      </c>
      <c r="D2412" s="37" t="s">
        <v>160</v>
      </c>
      <c r="E2412" s="204">
        <v>39356</v>
      </c>
      <c r="F2412" s="163">
        <v>17851640</v>
      </c>
      <c r="G2412" s="147">
        <v>70000</v>
      </c>
      <c r="H2412" s="147"/>
      <c r="I2412" s="152"/>
      <c r="J2412" s="147"/>
      <c r="K2412" s="139"/>
    </row>
    <row r="2413" spans="1:17" ht="12.75" x14ac:dyDescent="0.2">
      <c r="A2413" s="147"/>
      <c r="B2413" s="206"/>
      <c r="C2413" s="169"/>
      <c r="D2413" s="149" t="s">
        <v>261</v>
      </c>
      <c r="E2413" s="165"/>
      <c r="F2413" s="150"/>
      <c r="G2413" s="147"/>
      <c r="H2413" s="161">
        <v>9192</v>
      </c>
      <c r="I2413" s="152">
        <f>ROUND(H2413/$H$2420,4)</f>
        <v>0.22070000000000001</v>
      </c>
      <c r="J2413" s="153" t="s">
        <v>261</v>
      </c>
      <c r="K2413" s="139"/>
    </row>
    <row r="2414" spans="1:17" ht="12.75" x14ac:dyDescent="0.2">
      <c r="A2414" s="147"/>
      <c r="B2414" s="206"/>
      <c r="C2414" s="169"/>
      <c r="D2414" s="149" t="s">
        <v>238</v>
      </c>
      <c r="E2414" s="165"/>
      <c r="F2414" s="150"/>
      <c r="G2414" s="147"/>
      <c r="H2414" s="161">
        <v>16607</v>
      </c>
      <c r="I2414" s="152">
        <f t="shared" ref="I2414:I2419" si="61">ROUND(H2414/$H$2420,4)</f>
        <v>0.3987</v>
      </c>
      <c r="J2414" s="153" t="s">
        <v>290</v>
      </c>
      <c r="K2414" s="139"/>
    </row>
    <row r="2415" spans="1:17" ht="12.75" x14ac:dyDescent="0.2">
      <c r="A2415" s="147"/>
      <c r="B2415" s="206"/>
      <c r="C2415" s="169"/>
      <c r="D2415" s="149" t="s">
        <v>291</v>
      </c>
      <c r="E2415" s="165"/>
      <c r="F2415" s="150"/>
      <c r="G2415" s="147"/>
      <c r="H2415" s="161">
        <v>3855</v>
      </c>
      <c r="I2415" s="152">
        <f t="shared" si="61"/>
        <v>9.2499999999999999E-2</v>
      </c>
      <c r="J2415" s="147"/>
      <c r="K2415" s="139"/>
    </row>
    <row r="2416" spans="1:17" s="7" customFormat="1" ht="12.75" x14ac:dyDescent="0.2">
      <c r="A2416" s="147"/>
      <c r="B2416" s="206"/>
      <c r="C2416" s="169"/>
      <c r="D2416" s="149" t="s">
        <v>284</v>
      </c>
      <c r="E2416" s="165"/>
      <c r="F2416" s="150"/>
      <c r="G2416" s="147"/>
      <c r="H2416" s="161">
        <v>2117</v>
      </c>
      <c r="I2416" s="152">
        <f t="shared" si="61"/>
        <v>5.0799999999999998E-2</v>
      </c>
      <c r="J2416" s="147"/>
      <c r="K2416" s="139"/>
      <c r="L2416" s="6"/>
      <c r="M2416" s="6"/>
      <c r="N2416" s="6"/>
      <c r="O2416" s="6"/>
      <c r="P2416" s="6"/>
      <c r="Q2416" s="6"/>
    </row>
    <row r="2417" spans="1:17" s="7" customFormat="1" ht="12.75" x14ac:dyDescent="0.2">
      <c r="A2417" s="147"/>
      <c r="B2417" s="206"/>
      <c r="C2417" s="169"/>
      <c r="D2417" s="149" t="s">
        <v>240</v>
      </c>
      <c r="E2417" s="165"/>
      <c r="F2417" s="150"/>
      <c r="G2417" s="147"/>
      <c r="H2417" s="161">
        <v>8740</v>
      </c>
      <c r="I2417" s="152">
        <f t="shared" si="61"/>
        <v>0.20979999999999999</v>
      </c>
      <c r="J2417" s="153" t="s">
        <v>415</v>
      </c>
      <c r="K2417" s="139"/>
      <c r="L2417" s="6"/>
      <c r="M2417" s="6"/>
      <c r="N2417" s="6"/>
      <c r="O2417" s="6"/>
      <c r="P2417" s="6"/>
      <c r="Q2417" s="6"/>
    </row>
    <row r="2418" spans="1:17" s="7" customFormat="1" ht="12.75" x14ac:dyDescent="0.2">
      <c r="A2418" s="147"/>
      <c r="B2418" s="206"/>
      <c r="C2418" s="169"/>
      <c r="D2418" s="154" t="s">
        <v>244</v>
      </c>
      <c r="E2418" s="165"/>
      <c r="F2418" s="150"/>
      <c r="G2418" s="147"/>
      <c r="H2418" s="161">
        <v>171</v>
      </c>
      <c r="I2418" s="152">
        <f t="shared" si="61"/>
        <v>4.1000000000000003E-3</v>
      </c>
      <c r="J2418" s="151"/>
      <c r="K2418" s="139"/>
      <c r="L2418" s="6"/>
      <c r="M2418" s="6"/>
      <c r="N2418" s="6"/>
      <c r="O2418" s="6"/>
      <c r="P2418" s="6"/>
      <c r="Q2418" s="6"/>
    </row>
    <row r="2419" spans="1:17" s="7" customFormat="1" ht="12.75" x14ac:dyDescent="0.2">
      <c r="A2419" s="147"/>
      <c r="B2419" s="206"/>
      <c r="C2419" s="169"/>
      <c r="D2419" s="149" t="s">
        <v>473</v>
      </c>
      <c r="E2419" s="165"/>
      <c r="F2419" s="150"/>
      <c r="G2419" s="147"/>
      <c r="H2419" s="161">
        <v>975</v>
      </c>
      <c r="I2419" s="152">
        <f t="shared" si="61"/>
        <v>2.3400000000000001E-2</v>
      </c>
      <c r="J2419" s="147"/>
      <c r="K2419" s="139"/>
      <c r="L2419" s="6"/>
      <c r="M2419" s="6"/>
      <c r="N2419" s="6"/>
      <c r="O2419" s="6"/>
      <c r="P2419" s="6"/>
      <c r="Q2419" s="6"/>
    </row>
    <row r="2420" spans="1:17" s="7" customFormat="1" ht="12.75" x14ac:dyDescent="0.2">
      <c r="A2420" s="147"/>
      <c r="B2420" s="206"/>
      <c r="C2420" s="169"/>
      <c r="D2420" s="148" t="s">
        <v>33</v>
      </c>
      <c r="E2420" s="165"/>
      <c r="F2420" s="150"/>
      <c r="G2420" s="147"/>
      <c r="H2420" s="155">
        <f>SUM(H2413:H2419)</f>
        <v>41657</v>
      </c>
      <c r="I2420" s="182">
        <f>SUM(I2413:I2419)</f>
        <v>0.99999999999999989</v>
      </c>
      <c r="J2420" s="147"/>
      <c r="K2420" s="139"/>
      <c r="L2420" s="6"/>
      <c r="M2420" s="6"/>
      <c r="N2420" s="6"/>
      <c r="O2420" s="6"/>
      <c r="P2420" s="6"/>
      <c r="Q2420" s="6"/>
    </row>
    <row r="2421" spans="1:17" s="7" customFormat="1" ht="12.75" x14ac:dyDescent="0.2">
      <c r="A2421" s="147"/>
      <c r="B2421" s="206"/>
      <c r="C2421" s="169"/>
      <c r="D2421" s="148"/>
      <c r="E2421" s="165"/>
      <c r="F2421" s="150"/>
      <c r="G2421" s="147"/>
      <c r="H2421" s="147"/>
      <c r="I2421" s="152"/>
      <c r="J2421" s="147"/>
      <c r="K2421" s="139"/>
      <c r="L2421" s="6"/>
      <c r="M2421" s="6"/>
      <c r="N2421" s="6"/>
      <c r="O2421" s="6"/>
      <c r="P2421" s="6"/>
      <c r="Q2421" s="6"/>
    </row>
    <row r="2422" spans="1:17" s="7" customFormat="1" ht="12.75" x14ac:dyDescent="0.2">
      <c r="A2422" s="148" t="s">
        <v>126</v>
      </c>
      <c r="B2422" s="205">
        <v>1054</v>
      </c>
      <c r="C2422" s="148" t="s">
        <v>289</v>
      </c>
      <c r="D2422" s="37" t="s">
        <v>559</v>
      </c>
      <c r="E2422" s="204">
        <v>39753</v>
      </c>
      <c r="F2422" s="163">
        <v>16092888</v>
      </c>
      <c r="G2422" s="147">
        <v>61000</v>
      </c>
      <c r="H2422" s="147"/>
      <c r="I2422" s="152"/>
      <c r="J2422" s="147"/>
      <c r="K2422" s="139"/>
      <c r="L2422" s="6"/>
      <c r="M2422" s="6"/>
      <c r="N2422" s="6"/>
      <c r="O2422" s="6"/>
      <c r="P2422" s="6"/>
      <c r="Q2422" s="6"/>
    </row>
    <row r="2423" spans="1:17" s="7" customFormat="1" ht="12.75" x14ac:dyDescent="0.2">
      <c r="A2423" s="169"/>
      <c r="B2423" s="169"/>
      <c r="C2423" s="169"/>
      <c r="D2423" s="149" t="s">
        <v>261</v>
      </c>
      <c r="E2423" s="165"/>
      <c r="F2423" s="147"/>
      <c r="G2423" s="147"/>
      <c r="H2423" s="147">
        <v>12000</v>
      </c>
      <c r="I2423" s="152">
        <f>ROUND(H2423/$H$2427,4)</f>
        <v>0.28239999999999998</v>
      </c>
      <c r="J2423" s="153" t="s">
        <v>261</v>
      </c>
      <c r="K2423" s="139"/>
      <c r="L2423" s="6"/>
      <c r="M2423" s="6"/>
      <c r="N2423" s="6"/>
      <c r="O2423" s="6"/>
      <c r="P2423" s="6"/>
      <c r="Q2423" s="6"/>
    </row>
    <row r="2424" spans="1:17" s="7" customFormat="1" ht="12.75" x14ac:dyDescent="0.2">
      <c r="A2424" s="169"/>
      <c r="B2424" s="169"/>
      <c r="C2424" s="169"/>
      <c r="D2424" s="149" t="s">
        <v>238</v>
      </c>
      <c r="E2424" s="165"/>
      <c r="F2424" s="147"/>
      <c r="G2424" s="147"/>
      <c r="H2424" s="147">
        <v>20000</v>
      </c>
      <c r="I2424" s="152">
        <f>ROUND(H2424/$H$2427,4)</f>
        <v>0.47060000000000002</v>
      </c>
      <c r="J2424" s="153" t="s">
        <v>290</v>
      </c>
      <c r="K2424" s="139"/>
      <c r="L2424" s="6"/>
      <c r="M2424" s="6"/>
      <c r="N2424" s="6"/>
      <c r="O2424" s="6"/>
      <c r="P2424" s="6"/>
      <c r="Q2424" s="6"/>
    </row>
    <row r="2425" spans="1:17" s="7" customFormat="1" ht="12.75" x14ac:dyDescent="0.2">
      <c r="A2425" s="169"/>
      <c r="B2425" s="169"/>
      <c r="C2425" s="169"/>
      <c r="D2425" s="149" t="s">
        <v>291</v>
      </c>
      <c r="E2425" s="165"/>
      <c r="F2425" s="147"/>
      <c r="G2425" s="147"/>
      <c r="H2425" s="147">
        <v>4000</v>
      </c>
      <c r="I2425" s="152">
        <f>ROUND(H2425/$H$2427,4)</f>
        <v>9.4100000000000003E-2</v>
      </c>
      <c r="J2425" s="147"/>
      <c r="K2425" s="139"/>
      <c r="L2425" s="6"/>
      <c r="M2425" s="6"/>
      <c r="N2425" s="6"/>
      <c r="O2425" s="6"/>
      <c r="P2425" s="6"/>
      <c r="Q2425" s="6"/>
    </row>
    <row r="2426" spans="1:17" s="7" customFormat="1" x14ac:dyDescent="0.2">
      <c r="A2426" s="169"/>
      <c r="B2426" s="169"/>
      <c r="C2426" s="169"/>
      <c r="D2426" s="149" t="s">
        <v>240</v>
      </c>
      <c r="E2426" s="165"/>
      <c r="F2426" s="147"/>
      <c r="G2426" s="147"/>
      <c r="H2426" s="147">
        <v>6500</v>
      </c>
      <c r="I2426" s="152">
        <f>ROUND(H2426/$H$2427,4)</f>
        <v>0.15290000000000001</v>
      </c>
      <c r="J2426" s="147"/>
      <c r="K2426" s="87"/>
    </row>
    <row r="2427" spans="1:17" s="7" customFormat="1" x14ac:dyDescent="0.2">
      <c r="A2427" s="169"/>
      <c r="B2427" s="169"/>
      <c r="C2427" s="169"/>
      <c r="D2427" s="148" t="s">
        <v>33</v>
      </c>
      <c r="E2427" s="165"/>
      <c r="F2427" s="147"/>
      <c r="G2427" s="147"/>
      <c r="H2427" s="155">
        <f>SUM(H2423:H2426)</f>
        <v>42500</v>
      </c>
      <c r="I2427" s="156">
        <f>SUM(I2423:I2426)</f>
        <v>1</v>
      </c>
      <c r="J2427" s="147"/>
      <c r="K2427" s="87"/>
    </row>
    <row r="2428" spans="1:17" s="7" customFormat="1" x14ac:dyDescent="0.2">
      <c r="A2428" s="169"/>
      <c r="B2428" s="169"/>
      <c r="C2428" s="169"/>
      <c r="D2428" s="148"/>
      <c r="E2428" s="165"/>
      <c r="F2428" s="147"/>
      <c r="G2428" s="147"/>
      <c r="H2428" s="147"/>
      <c r="I2428" s="152"/>
      <c r="J2428" s="147"/>
      <c r="K2428" s="87"/>
    </row>
    <row r="2429" spans="1:17" s="7" customFormat="1" x14ac:dyDescent="0.2">
      <c r="A2429" s="148" t="s">
        <v>126</v>
      </c>
      <c r="B2429" s="148"/>
      <c r="C2429" s="148" t="s">
        <v>289</v>
      </c>
      <c r="D2429" s="147" t="s">
        <v>580</v>
      </c>
      <c r="E2429" s="165">
        <v>40513</v>
      </c>
      <c r="F2429" s="147">
        <v>14930038</v>
      </c>
      <c r="G2429" s="147">
        <v>69275</v>
      </c>
      <c r="H2429" s="147"/>
      <c r="I2429" s="152"/>
      <c r="J2429" s="147"/>
      <c r="K2429" s="87"/>
    </row>
    <row r="2430" spans="1:17" s="7" customFormat="1" x14ac:dyDescent="0.2">
      <c r="A2430" s="169"/>
      <c r="B2430" s="169"/>
      <c r="C2430" s="169"/>
      <c r="D2430" s="147" t="s">
        <v>581</v>
      </c>
      <c r="E2430" s="165"/>
      <c r="F2430" s="147"/>
      <c r="G2430" s="147"/>
      <c r="H2430" s="147">
        <v>931</v>
      </c>
      <c r="I2430" s="152">
        <f t="shared" ref="I2430:I2435" si="62">ROUND(H2430/$H$2436,4)</f>
        <v>2.3E-2</v>
      </c>
      <c r="J2430" s="147"/>
      <c r="K2430" s="87"/>
    </row>
    <row r="2431" spans="1:17" s="7" customFormat="1" x14ac:dyDescent="0.2">
      <c r="A2431" s="169"/>
      <c r="B2431" s="169"/>
      <c r="C2431" s="169"/>
      <c r="D2431" s="147" t="s">
        <v>582</v>
      </c>
      <c r="E2431" s="165"/>
      <c r="F2431" s="147"/>
      <c r="G2431" s="147"/>
      <c r="H2431" s="147">
        <v>16118</v>
      </c>
      <c r="I2431" s="152">
        <f t="shared" si="62"/>
        <v>0.39850000000000002</v>
      </c>
      <c r="J2431" s="153" t="s">
        <v>290</v>
      </c>
      <c r="K2431" s="87"/>
    </row>
    <row r="2432" spans="1:17" s="7" customFormat="1" x14ac:dyDescent="0.2">
      <c r="A2432" s="169"/>
      <c r="B2432" s="169"/>
      <c r="C2432" s="169"/>
      <c r="D2432" s="147" t="s">
        <v>583</v>
      </c>
      <c r="E2432" s="165"/>
      <c r="F2432" s="147"/>
      <c r="G2432" s="147"/>
      <c r="H2432" s="147">
        <v>1009</v>
      </c>
      <c r="I2432" s="152">
        <f t="shared" si="62"/>
        <v>2.4899999999999999E-2</v>
      </c>
      <c r="J2432" s="147"/>
      <c r="K2432" s="87"/>
    </row>
    <row r="2433" spans="1:12" s="7" customFormat="1" x14ac:dyDescent="0.2">
      <c r="A2433" s="169"/>
      <c r="B2433" s="169"/>
      <c r="C2433" s="169"/>
      <c r="D2433" s="147" t="s">
        <v>584</v>
      </c>
      <c r="E2433" s="165"/>
      <c r="F2433" s="147"/>
      <c r="G2433" s="147"/>
      <c r="H2433" s="147">
        <v>3506</v>
      </c>
      <c r="I2433" s="152">
        <f t="shared" si="62"/>
        <v>8.6699999999999999E-2</v>
      </c>
      <c r="J2433" s="147"/>
      <c r="K2433" s="87"/>
    </row>
    <row r="2434" spans="1:12" s="7" customFormat="1" x14ac:dyDescent="0.2">
      <c r="A2434" s="169"/>
      <c r="B2434" s="169"/>
      <c r="C2434" s="169"/>
      <c r="D2434" s="147" t="s">
        <v>585</v>
      </c>
      <c r="E2434" s="165"/>
      <c r="F2434" s="147"/>
      <c r="G2434" s="147"/>
      <c r="H2434" s="147">
        <v>14437</v>
      </c>
      <c r="I2434" s="152">
        <f t="shared" si="62"/>
        <v>0.35699999999999998</v>
      </c>
      <c r="J2434" s="153" t="s">
        <v>415</v>
      </c>
      <c r="K2434" s="87"/>
    </row>
    <row r="2435" spans="1:12" s="7" customFormat="1" x14ac:dyDescent="0.2">
      <c r="A2435" s="169"/>
      <c r="B2435" s="169"/>
      <c r="C2435" s="169"/>
      <c r="D2435" s="147" t="s">
        <v>586</v>
      </c>
      <c r="E2435" s="165"/>
      <c r="F2435" s="147"/>
      <c r="G2435" s="147"/>
      <c r="H2435" s="147">
        <v>4444</v>
      </c>
      <c r="I2435" s="152">
        <f t="shared" si="62"/>
        <v>0.1099</v>
      </c>
      <c r="J2435" s="147"/>
      <c r="K2435" s="87"/>
    </row>
    <row r="2436" spans="1:12" s="7" customFormat="1" x14ac:dyDescent="0.2">
      <c r="A2436" s="169"/>
      <c r="B2436" s="169"/>
      <c r="C2436" s="169"/>
      <c r="D2436" s="148" t="s">
        <v>33</v>
      </c>
      <c r="E2436" s="165"/>
      <c r="F2436" s="147"/>
      <c r="G2436" s="147"/>
      <c r="H2436" s="167">
        <f>SUM(H2430:H2435)</f>
        <v>40445</v>
      </c>
      <c r="I2436" s="168">
        <f>SUM(I2430:I2435)</f>
        <v>1</v>
      </c>
      <c r="J2436" s="147"/>
      <c r="K2436" s="87"/>
    </row>
    <row r="2437" spans="1:12" s="7" customFormat="1" x14ac:dyDescent="0.2">
      <c r="A2437" s="169"/>
      <c r="B2437" s="169"/>
      <c r="C2437" s="169"/>
      <c r="D2437" s="147"/>
      <c r="E2437" s="165"/>
      <c r="F2437" s="147"/>
      <c r="G2437" s="147"/>
      <c r="H2437" s="147"/>
      <c r="I2437" s="152"/>
      <c r="J2437" s="147"/>
      <c r="K2437" s="87"/>
    </row>
    <row r="2438" spans="1:12" s="7" customFormat="1" x14ac:dyDescent="0.2">
      <c r="A2438" s="148" t="s">
        <v>126</v>
      </c>
      <c r="B2438" s="148"/>
      <c r="C2438" s="148" t="s">
        <v>289</v>
      </c>
      <c r="D2438" s="147" t="s">
        <v>662</v>
      </c>
      <c r="E2438" s="165">
        <v>42339</v>
      </c>
      <c r="F2438" s="186">
        <v>12183639</v>
      </c>
      <c r="G2438" s="147">
        <v>30000</v>
      </c>
      <c r="H2438" s="147"/>
      <c r="I2438" s="152"/>
      <c r="J2438" s="147"/>
      <c r="K2438" s="87"/>
    </row>
    <row r="2439" spans="1:12" s="7" customFormat="1" x14ac:dyDescent="0.2">
      <c r="A2439" s="169"/>
      <c r="B2439" s="169"/>
      <c r="C2439" s="169"/>
      <c r="D2439" s="147" t="s">
        <v>581</v>
      </c>
      <c r="E2439" s="165"/>
      <c r="F2439" s="147"/>
      <c r="G2439" s="147"/>
      <c r="H2439" s="147">
        <v>4129</v>
      </c>
      <c r="I2439" s="152">
        <f>H2439/$H$2445</f>
        <v>0.21440440336483541</v>
      </c>
      <c r="J2439" s="151" t="s">
        <v>16</v>
      </c>
      <c r="K2439" s="87"/>
    </row>
    <row r="2440" spans="1:12" s="7" customFormat="1" x14ac:dyDescent="0.2">
      <c r="A2440" s="169"/>
      <c r="B2440" s="169"/>
      <c r="C2440" s="169"/>
      <c r="D2440" s="147" t="s">
        <v>627</v>
      </c>
      <c r="E2440" s="165"/>
      <c r="F2440" s="147"/>
      <c r="G2440" s="147"/>
      <c r="H2440" s="147">
        <v>3372</v>
      </c>
      <c r="I2440" s="152">
        <f t="shared" ref="I2440:I2445" si="63">H2440/$H$2445</f>
        <v>0.17509606397341365</v>
      </c>
      <c r="J2440" s="151" t="s">
        <v>107</v>
      </c>
      <c r="K2440" s="87"/>
    </row>
    <row r="2441" spans="1:12" s="7" customFormat="1" x14ac:dyDescent="0.2">
      <c r="A2441" s="169"/>
      <c r="B2441" s="169"/>
      <c r="C2441" s="169"/>
      <c r="D2441" s="147" t="s">
        <v>603</v>
      </c>
      <c r="E2441" s="165"/>
      <c r="F2441" s="147"/>
      <c r="G2441" s="147"/>
      <c r="H2441" s="147">
        <v>6566</v>
      </c>
      <c r="I2441" s="152">
        <f t="shared" si="63"/>
        <v>0.34094921591027105</v>
      </c>
      <c r="J2441" s="151" t="s">
        <v>108</v>
      </c>
      <c r="K2441" s="87"/>
    </row>
    <row r="2442" spans="1:12" s="7" customFormat="1" x14ac:dyDescent="0.2">
      <c r="A2442" s="169"/>
      <c r="B2442" s="169"/>
      <c r="C2442" s="169"/>
      <c r="D2442" s="147" t="s">
        <v>583</v>
      </c>
      <c r="E2442" s="165"/>
      <c r="F2442" s="147"/>
      <c r="G2442" s="147"/>
      <c r="H2442" s="147">
        <v>494</v>
      </c>
      <c r="I2442" s="152">
        <f t="shared" si="63"/>
        <v>2.5651677225049331E-2</v>
      </c>
      <c r="J2442" s="147"/>
      <c r="K2442" s="87"/>
    </row>
    <row r="2443" spans="1:12" s="7" customFormat="1" x14ac:dyDescent="0.2">
      <c r="A2443" s="169"/>
      <c r="B2443" s="169"/>
      <c r="C2443" s="169"/>
      <c r="D2443" s="147" t="s">
        <v>584</v>
      </c>
      <c r="E2443" s="165"/>
      <c r="F2443" s="147"/>
      <c r="G2443" s="147"/>
      <c r="H2443" s="147">
        <v>2242</v>
      </c>
      <c r="I2443" s="152">
        <f t="shared" si="63"/>
        <v>0.11641915048291619</v>
      </c>
      <c r="J2443" s="147"/>
      <c r="K2443" s="87"/>
    </row>
    <row r="2444" spans="1:12" s="7" customFormat="1" x14ac:dyDescent="0.2">
      <c r="A2444" s="169"/>
      <c r="B2444" s="169"/>
      <c r="C2444" s="169"/>
      <c r="D2444" s="147" t="s">
        <v>589</v>
      </c>
      <c r="E2444" s="165"/>
      <c r="F2444" s="147"/>
      <c r="G2444" s="147"/>
      <c r="H2444" s="147">
        <v>2455</v>
      </c>
      <c r="I2444" s="152">
        <f t="shared" si="63"/>
        <v>0.12747948904351439</v>
      </c>
      <c r="J2444" s="147"/>
      <c r="K2444" s="87"/>
    </row>
    <row r="2445" spans="1:12" s="7" customFormat="1" x14ac:dyDescent="0.2">
      <c r="A2445" s="169"/>
      <c r="B2445" s="169"/>
      <c r="C2445" s="169"/>
      <c r="D2445" s="148" t="s">
        <v>33</v>
      </c>
      <c r="E2445" s="165"/>
      <c r="F2445" s="147"/>
      <c r="G2445" s="147"/>
      <c r="H2445" s="167">
        <f>SUM(H2439:H2444)</f>
        <v>19258</v>
      </c>
      <c r="I2445" s="168">
        <f t="shared" si="63"/>
        <v>1</v>
      </c>
      <c r="J2445" s="147"/>
      <c r="K2445" s="87"/>
    </row>
    <row r="2446" spans="1:12" s="7" customFormat="1" x14ac:dyDescent="0.2">
      <c r="A2446" s="169"/>
      <c r="B2446" s="169"/>
      <c r="C2446" s="169"/>
      <c r="D2446" s="148"/>
      <c r="E2446" s="165"/>
      <c r="F2446" s="147"/>
      <c r="G2446" s="147"/>
      <c r="H2446" s="147"/>
      <c r="I2446" s="152"/>
      <c r="J2446" s="147"/>
      <c r="K2446" s="87"/>
    </row>
    <row r="2447" spans="1:12" s="7" customFormat="1" x14ac:dyDescent="0.2">
      <c r="A2447" s="148" t="s">
        <v>126</v>
      </c>
      <c r="B2447" s="148"/>
      <c r="C2447" s="148" t="s">
        <v>289</v>
      </c>
      <c r="D2447" s="147" t="s">
        <v>743</v>
      </c>
      <c r="E2447" s="165">
        <v>44729</v>
      </c>
      <c r="F2447" s="186">
        <v>49076219</v>
      </c>
      <c r="G2447" s="147">
        <v>116438</v>
      </c>
      <c r="H2447" s="147"/>
      <c r="I2447" s="152"/>
      <c r="J2447" s="147"/>
      <c r="K2447" s="87"/>
      <c r="L2447" s="7" t="s">
        <v>236</v>
      </c>
    </row>
    <row r="2448" spans="1:12" s="7" customFormat="1" x14ac:dyDescent="0.2">
      <c r="A2448" s="169"/>
      <c r="B2448" s="169"/>
      <c r="C2448" s="169"/>
      <c r="D2448" s="147" t="s">
        <v>581</v>
      </c>
      <c r="E2448" s="165"/>
      <c r="F2448" s="147"/>
      <c r="G2448" s="147"/>
      <c r="H2448" s="147">
        <v>8385</v>
      </c>
      <c r="I2448" s="152">
        <f t="shared" ref="I2448:I2454" si="64">H2448/$H$2454</f>
        <v>0.16016580073349634</v>
      </c>
      <c r="J2448" s="151"/>
      <c r="K2448" s="87"/>
    </row>
    <row r="2449" spans="1:11" s="7" customFormat="1" x14ac:dyDescent="0.2">
      <c r="A2449" s="169"/>
      <c r="B2449" s="169"/>
      <c r="C2449" s="169"/>
      <c r="D2449" s="147" t="s">
        <v>627</v>
      </c>
      <c r="E2449" s="165"/>
      <c r="F2449" s="147"/>
      <c r="G2449" s="147"/>
      <c r="H2449" s="147">
        <v>13252</v>
      </c>
      <c r="I2449" s="152">
        <f t="shared" si="64"/>
        <v>0.25313264058679708</v>
      </c>
      <c r="J2449" s="151" t="s">
        <v>107</v>
      </c>
      <c r="K2449" s="87"/>
    </row>
    <row r="2450" spans="1:11" s="7" customFormat="1" x14ac:dyDescent="0.2">
      <c r="A2450" s="169"/>
      <c r="B2450" s="169"/>
      <c r="C2450" s="169"/>
      <c r="D2450" s="147" t="s">
        <v>603</v>
      </c>
      <c r="E2450" s="165"/>
      <c r="F2450" s="147"/>
      <c r="G2450" s="147"/>
      <c r="H2450" s="147">
        <v>20554</v>
      </c>
      <c r="I2450" s="152">
        <f t="shared" si="64"/>
        <v>0.39261155256723718</v>
      </c>
      <c r="J2450" s="151" t="s">
        <v>108</v>
      </c>
      <c r="K2450" s="87"/>
    </row>
    <row r="2451" spans="1:11" s="7" customFormat="1" x14ac:dyDescent="0.2">
      <c r="A2451" s="169"/>
      <c r="B2451" s="169"/>
      <c r="C2451" s="169"/>
      <c r="D2451" s="147" t="s">
        <v>744</v>
      </c>
      <c r="E2451" s="165"/>
      <c r="F2451" s="147"/>
      <c r="G2451" s="147"/>
      <c r="H2451" s="147">
        <v>150</v>
      </c>
      <c r="I2451" s="152">
        <f t="shared" si="64"/>
        <v>2.8652200488997557E-3</v>
      </c>
      <c r="J2451" s="147"/>
      <c r="K2451" s="87"/>
    </row>
    <row r="2452" spans="1:11" s="7" customFormat="1" x14ac:dyDescent="0.2">
      <c r="A2452" s="169"/>
      <c r="B2452" s="169"/>
      <c r="C2452" s="169"/>
      <c r="D2452" s="147" t="s">
        <v>584</v>
      </c>
      <c r="E2452" s="165"/>
      <c r="F2452" s="147"/>
      <c r="G2452" s="147"/>
      <c r="H2452" s="147">
        <v>1775</v>
      </c>
      <c r="I2452" s="152">
        <f t="shared" si="64"/>
        <v>3.3905103911980441E-2</v>
      </c>
      <c r="J2452" s="147"/>
      <c r="K2452" s="87"/>
    </row>
    <row r="2453" spans="1:11" s="7" customFormat="1" x14ac:dyDescent="0.2">
      <c r="A2453" s="169"/>
      <c r="B2453" s="169"/>
      <c r="C2453" s="169"/>
      <c r="D2453" s="147" t="s">
        <v>589</v>
      </c>
      <c r="E2453" s="165"/>
      <c r="F2453" s="147"/>
      <c r="G2453" s="147"/>
      <c r="H2453" s="147">
        <v>8236</v>
      </c>
      <c r="I2453" s="152">
        <f t="shared" si="64"/>
        <v>0.15731968215158923</v>
      </c>
      <c r="J2453" s="147"/>
      <c r="K2453" s="87"/>
    </row>
    <row r="2454" spans="1:11" s="7" customFormat="1" x14ac:dyDescent="0.2">
      <c r="A2454" s="169"/>
      <c r="B2454" s="169"/>
      <c r="C2454" s="169"/>
      <c r="D2454" s="148" t="s">
        <v>33</v>
      </c>
      <c r="E2454" s="165"/>
      <c r="F2454" s="147"/>
      <c r="G2454" s="147"/>
      <c r="H2454" s="167">
        <f>SUM(H2448:H2453)</f>
        <v>52352</v>
      </c>
      <c r="I2454" s="168">
        <f t="shared" si="64"/>
        <v>1</v>
      </c>
      <c r="J2454" s="147"/>
      <c r="K2454" s="87"/>
    </row>
    <row r="2455" spans="1:11" s="7" customFormat="1" x14ac:dyDescent="0.2">
      <c r="A2455" s="169"/>
      <c r="B2455" s="169"/>
      <c r="C2455" s="169"/>
      <c r="D2455" s="147"/>
      <c r="E2455" s="165"/>
      <c r="F2455" s="147"/>
      <c r="G2455" s="147"/>
      <c r="H2455" s="147"/>
      <c r="I2455" s="152"/>
      <c r="J2455" s="147"/>
      <c r="K2455" s="87"/>
    </row>
    <row r="2456" spans="1:11" s="7" customFormat="1" x14ac:dyDescent="0.2">
      <c r="A2456" s="151" t="s">
        <v>587</v>
      </c>
      <c r="B2456" s="147"/>
      <c r="C2456" s="148" t="s">
        <v>289</v>
      </c>
      <c r="D2456" s="147" t="s">
        <v>588</v>
      </c>
      <c r="E2456" s="165">
        <v>40210</v>
      </c>
      <c r="F2456" s="147">
        <v>8582133</v>
      </c>
      <c r="G2456" s="147">
        <v>35622</v>
      </c>
      <c r="H2456" s="147"/>
      <c r="I2456" s="152"/>
      <c r="J2456" s="147"/>
      <c r="K2456" s="87"/>
    </row>
    <row r="2457" spans="1:11" s="7" customFormat="1" x14ac:dyDescent="0.2">
      <c r="A2457" s="147"/>
      <c r="B2457" s="147"/>
      <c r="C2457" s="169"/>
      <c r="D2457" s="147" t="s">
        <v>581</v>
      </c>
      <c r="E2457" s="165"/>
      <c r="F2457" s="147"/>
      <c r="G2457" s="147"/>
      <c r="H2457" s="147">
        <v>7314</v>
      </c>
      <c r="I2457" s="152">
        <f>ROUND(H2457/$H$2461,4)</f>
        <v>0.40089999999999998</v>
      </c>
      <c r="J2457" s="153" t="s">
        <v>261</v>
      </c>
      <c r="K2457" s="87"/>
    </row>
    <row r="2458" spans="1:11" s="7" customFormat="1" x14ac:dyDescent="0.2">
      <c r="A2458" s="147"/>
      <c r="B2458" s="147"/>
      <c r="C2458" s="169"/>
      <c r="D2458" s="147" t="s">
        <v>582</v>
      </c>
      <c r="E2458" s="165"/>
      <c r="F2458" s="147"/>
      <c r="G2458" s="147"/>
      <c r="H2458" s="147">
        <v>1352</v>
      </c>
      <c r="I2458" s="152">
        <f>ROUND(H2458/$H$2461,4)</f>
        <v>7.4099999999999999E-2</v>
      </c>
      <c r="J2458" s="147"/>
      <c r="K2458" s="87"/>
    </row>
    <row r="2459" spans="1:11" s="7" customFormat="1" x14ac:dyDescent="0.2">
      <c r="A2459" s="147"/>
      <c r="B2459" s="147"/>
      <c r="C2459" s="169"/>
      <c r="D2459" s="147" t="s">
        <v>589</v>
      </c>
      <c r="E2459" s="165"/>
      <c r="F2459" s="147"/>
      <c r="G2459" s="147"/>
      <c r="H2459" s="147">
        <v>8615</v>
      </c>
      <c r="I2459" s="152">
        <f>ROUND(H2459/$H$2461,4)</f>
        <v>0.47220000000000001</v>
      </c>
      <c r="J2459" s="153" t="s">
        <v>415</v>
      </c>
      <c r="K2459" s="87"/>
    </row>
    <row r="2460" spans="1:11" s="7" customFormat="1" x14ac:dyDescent="0.2">
      <c r="A2460" s="147"/>
      <c r="B2460" s="147"/>
      <c r="C2460" s="169"/>
      <c r="D2460" s="147" t="s">
        <v>590</v>
      </c>
      <c r="E2460" s="165"/>
      <c r="F2460" s="147"/>
      <c r="G2460" s="147"/>
      <c r="H2460" s="147">
        <v>962</v>
      </c>
      <c r="I2460" s="152">
        <f>ROUND(H2460/$H$2461,4)</f>
        <v>5.2699999999999997E-2</v>
      </c>
      <c r="J2460" s="147"/>
      <c r="K2460" s="87"/>
    </row>
    <row r="2461" spans="1:11" s="7" customFormat="1" x14ac:dyDescent="0.2">
      <c r="A2461" s="147"/>
      <c r="B2461" s="147"/>
      <c r="C2461" s="169"/>
      <c r="D2461" s="148" t="s">
        <v>33</v>
      </c>
      <c r="E2461" s="165"/>
      <c r="F2461" s="147"/>
      <c r="G2461" s="147"/>
      <c r="H2461" s="167">
        <f>SUM(H2457:H2460)</f>
        <v>18243</v>
      </c>
      <c r="I2461" s="168">
        <f>SUM(I2457:I2460)</f>
        <v>0.99990000000000001</v>
      </c>
      <c r="J2461" s="147"/>
      <c r="K2461" s="87"/>
    </row>
    <row r="2462" spans="1:11" s="7" customFormat="1" x14ac:dyDescent="0.2">
      <c r="A2462" s="147"/>
      <c r="B2462" s="147"/>
      <c r="C2462" s="169"/>
      <c r="D2462" s="148"/>
      <c r="E2462" s="165"/>
      <c r="F2462" s="147"/>
      <c r="G2462" s="147"/>
      <c r="H2462" s="147"/>
      <c r="I2462" s="152"/>
      <c r="J2462" s="147"/>
      <c r="K2462" s="87"/>
    </row>
    <row r="2463" spans="1:11" s="7" customFormat="1" x14ac:dyDescent="0.2">
      <c r="A2463" s="151" t="s">
        <v>587</v>
      </c>
      <c r="B2463" s="147"/>
      <c r="C2463" s="148" t="s">
        <v>289</v>
      </c>
      <c r="D2463" s="147" t="s">
        <v>674</v>
      </c>
      <c r="E2463" s="165">
        <v>42962</v>
      </c>
      <c r="F2463" s="147">
        <f>5564113.13+1387357.8+1095169.25</f>
        <v>8046640.1799999997</v>
      </c>
      <c r="G2463" s="147">
        <v>22000</v>
      </c>
      <c r="H2463" s="147"/>
      <c r="I2463" s="152"/>
      <c r="J2463" s="147"/>
      <c r="K2463" s="87"/>
    </row>
    <row r="2464" spans="1:11" s="7" customFormat="1" x14ac:dyDescent="0.2">
      <c r="A2464" s="147"/>
      <c r="B2464" s="147"/>
      <c r="C2464" s="169"/>
      <c r="D2464" s="147" t="s">
        <v>581</v>
      </c>
      <c r="E2464" s="165"/>
      <c r="F2464" s="147"/>
      <c r="G2464" s="147"/>
      <c r="H2464" s="147">
        <v>1539</v>
      </c>
      <c r="I2464" s="152">
        <f>H2464/$H$2469</f>
        <v>0.10505119453924915</v>
      </c>
      <c r="J2464" s="153"/>
      <c r="K2464" s="87"/>
    </row>
    <row r="2465" spans="1:11" s="7" customFormat="1" x14ac:dyDescent="0.2">
      <c r="A2465" s="147"/>
      <c r="B2465" s="147"/>
      <c r="C2465" s="169"/>
      <c r="D2465" s="191" t="s">
        <v>52</v>
      </c>
      <c r="E2465" s="165"/>
      <c r="F2465" s="147"/>
      <c r="G2465" s="147"/>
      <c r="H2465" s="147">
        <v>1544</v>
      </c>
      <c r="I2465" s="152">
        <f>H2465/$H$2469</f>
        <v>0.10539249146757679</v>
      </c>
      <c r="J2465" s="153"/>
      <c r="K2465" s="87"/>
    </row>
    <row r="2466" spans="1:11" s="7" customFormat="1" x14ac:dyDescent="0.2">
      <c r="A2466" s="147"/>
      <c r="B2466" s="147"/>
      <c r="C2466" s="169"/>
      <c r="D2466" s="147" t="s">
        <v>582</v>
      </c>
      <c r="E2466" s="165"/>
      <c r="F2466" s="147"/>
      <c r="G2466" s="147"/>
      <c r="H2466" s="147">
        <v>4889</v>
      </c>
      <c r="I2466" s="152">
        <f>H2466/$H$2469</f>
        <v>0.3337201365187713</v>
      </c>
      <c r="J2466" s="151" t="s">
        <v>35</v>
      </c>
      <c r="K2466" s="87"/>
    </row>
    <row r="2467" spans="1:11" s="7" customFormat="1" x14ac:dyDescent="0.2">
      <c r="A2467" s="147"/>
      <c r="B2467" s="147"/>
      <c r="C2467" s="169"/>
      <c r="D2467" s="147" t="s">
        <v>589</v>
      </c>
      <c r="E2467" s="165"/>
      <c r="F2467" s="147"/>
      <c r="G2467" s="147"/>
      <c r="H2467" s="147">
        <v>2812</v>
      </c>
      <c r="I2467" s="152">
        <f>H2467/$H$2469</f>
        <v>0.19194539249146758</v>
      </c>
      <c r="J2467" s="153"/>
      <c r="K2467" s="87"/>
    </row>
    <row r="2468" spans="1:11" s="7" customFormat="1" x14ac:dyDescent="0.2">
      <c r="A2468" s="147"/>
      <c r="B2468" s="147"/>
      <c r="C2468" s="169"/>
      <c r="D2468" s="147" t="s">
        <v>615</v>
      </c>
      <c r="E2468" s="165"/>
      <c r="F2468" s="147"/>
      <c r="G2468" s="147"/>
      <c r="H2468" s="147">
        <v>3866</v>
      </c>
      <c r="I2468" s="152">
        <f>H2468/$H$2469</f>
        <v>0.26389078498293517</v>
      </c>
      <c r="J2468" s="147"/>
      <c r="K2468" s="87"/>
    </row>
    <row r="2469" spans="1:11" s="7" customFormat="1" x14ac:dyDescent="0.2">
      <c r="A2469" s="147"/>
      <c r="B2469" s="147"/>
      <c r="C2469" s="169"/>
      <c r="D2469" s="148" t="s">
        <v>33</v>
      </c>
      <c r="E2469" s="165"/>
      <c r="F2469" s="147"/>
      <c r="G2469" s="147"/>
      <c r="H2469" s="167">
        <f>SUM(H2464:H2468)</f>
        <v>14650</v>
      </c>
      <c r="I2469" s="168">
        <f>SUM(I2464:I2468)</f>
        <v>1</v>
      </c>
      <c r="J2469" s="147"/>
      <c r="K2469" s="87"/>
    </row>
    <row r="2470" spans="1:11" s="7" customFormat="1" x14ac:dyDescent="0.2">
      <c r="A2470" s="147"/>
      <c r="B2470" s="147"/>
      <c r="C2470" s="169"/>
      <c r="D2470" s="147"/>
      <c r="E2470" s="165"/>
      <c r="F2470" s="147"/>
      <c r="G2470" s="147"/>
      <c r="H2470" s="147"/>
      <c r="I2470" s="152"/>
      <c r="J2470" s="147"/>
      <c r="K2470" s="87"/>
    </row>
    <row r="2471" spans="1:11" s="7" customFormat="1" x14ac:dyDescent="0.2">
      <c r="A2471" s="148" t="s">
        <v>639</v>
      </c>
      <c r="B2471" s="148"/>
      <c r="C2471" s="148" t="s">
        <v>289</v>
      </c>
      <c r="D2471" s="147" t="s">
        <v>640</v>
      </c>
      <c r="E2471" s="165">
        <v>41820</v>
      </c>
      <c r="F2471" s="147">
        <v>77108595</v>
      </c>
      <c r="G2471" s="147">
        <v>175023</v>
      </c>
      <c r="H2471" s="147"/>
      <c r="I2471" s="152"/>
      <c r="J2471" s="147"/>
      <c r="K2471" s="87"/>
    </row>
    <row r="2472" spans="1:11" s="7" customFormat="1" x14ac:dyDescent="0.2">
      <c r="A2472" s="147"/>
      <c r="B2472" s="147"/>
      <c r="C2472" s="169"/>
      <c r="D2472" s="147" t="s">
        <v>581</v>
      </c>
      <c r="E2472" s="165"/>
      <c r="F2472" s="147"/>
      <c r="G2472" s="147"/>
      <c r="H2472" s="147">
        <v>5313</v>
      </c>
      <c r="I2472" s="152">
        <f>(H2472/H2479)</f>
        <v>4.8904639175257732E-2</v>
      </c>
      <c r="J2472" s="151"/>
      <c r="K2472" s="87"/>
    </row>
    <row r="2473" spans="1:11" s="7" customFormat="1" x14ac:dyDescent="0.2">
      <c r="A2473" s="147"/>
      <c r="B2473" s="147"/>
      <c r="C2473" s="169"/>
      <c r="D2473" s="147" t="s">
        <v>627</v>
      </c>
      <c r="E2473" s="165"/>
      <c r="F2473" s="147"/>
      <c r="G2473" s="147"/>
      <c r="H2473" s="147">
        <v>26572</v>
      </c>
      <c r="I2473" s="152">
        <f>(H2473/H2479)</f>
        <v>0.24458762886597937</v>
      </c>
      <c r="J2473" s="151" t="s">
        <v>627</v>
      </c>
      <c r="K2473" s="87"/>
    </row>
    <row r="2474" spans="1:11" s="7" customFormat="1" x14ac:dyDescent="0.2">
      <c r="A2474" s="147"/>
      <c r="B2474" s="147"/>
      <c r="C2474" s="169"/>
      <c r="D2474" s="147" t="s">
        <v>603</v>
      </c>
      <c r="E2474" s="165"/>
      <c r="F2474" s="147"/>
      <c r="G2474" s="147"/>
      <c r="H2474" s="147">
        <v>13421</v>
      </c>
      <c r="I2474" s="152">
        <f>(H2474/H2479)</f>
        <v>0.12353645066273933</v>
      </c>
      <c r="J2474" s="151"/>
      <c r="K2474" s="87"/>
    </row>
    <row r="2475" spans="1:11" s="7" customFormat="1" x14ac:dyDescent="0.2">
      <c r="A2475" s="147"/>
      <c r="B2475" s="147"/>
      <c r="C2475" s="169"/>
      <c r="D2475" s="147" t="s">
        <v>583</v>
      </c>
      <c r="E2475" s="165"/>
      <c r="F2475" s="147"/>
      <c r="G2475" s="147"/>
      <c r="H2475" s="147">
        <v>37403</v>
      </c>
      <c r="I2475" s="152">
        <f>(H2475/H2479)</f>
        <v>0.34428387334315169</v>
      </c>
      <c r="J2475" s="151" t="s">
        <v>583</v>
      </c>
      <c r="K2475" s="87"/>
    </row>
    <row r="2476" spans="1:11" s="7" customFormat="1" x14ac:dyDescent="0.2">
      <c r="A2476" s="147"/>
      <c r="B2476" s="147"/>
      <c r="C2476" s="169"/>
      <c r="D2476" s="147" t="s">
        <v>594</v>
      </c>
      <c r="E2476" s="165"/>
      <c r="F2476" s="147"/>
      <c r="G2476" s="147"/>
      <c r="H2476" s="147">
        <v>1545</v>
      </c>
      <c r="I2476" s="152">
        <f>(H2476/H2479)</f>
        <v>1.4221281296023564E-2</v>
      </c>
      <c r="J2476" s="151"/>
      <c r="K2476" s="87"/>
    </row>
    <row r="2477" spans="1:11" s="7" customFormat="1" x14ac:dyDescent="0.2">
      <c r="A2477" s="147"/>
      <c r="B2477" s="147"/>
      <c r="C2477" s="169"/>
      <c r="D2477" s="147" t="s">
        <v>584</v>
      </c>
      <c r="E2477" s="165"/>
      <c r="F2477" s="147"/>
      <c r="G2477" s="147"/>
      <c r="H2477" s="147">
        <v>1808</v>
      </c>
      <c r="I2477" s="152">
        <f>(H2477/H2479)</f>
        <v>1.6642120765832106E-2</v>
      </c>
      <c r="J2477" s="151"/>
      <c r="K2477" s="87"/>
    </row>
    <row r="2478" spans="1:11" s="7" customFormat="1" x14ac:dyDescent="0.2">
      <c r="A2478" s="147"/>
      <c r="B2478" s="147"/>
      <c r="C2478" s="169"/>
      <c r="D2478" s="147" t="s">
        <v>589</v>
      </c>
      <c r="E2478" s="165"/>
      <c r="F2478" s="147"/>
      <c r="G2478" s="147"/>
      <c r="H2478" s="147">
        <v>22578</v>
      </c>
      <c r="I2478" s="152">
        <f>(H2478/H2479)</f>
        <v>0.20782400589101621</v>
      </c>
      <c r="J2478" s="151"/>
      <c r="K2478" s="87"/>
    </row>
    <row r="2479" spans="1:11" s="7" customFormat="1" x14ac:dyDescent="0.2">
      <c r="A2479" s="147"/>
      <c r="B2479" s="147"/>
      <c r="C2479" s="169"/>
      <c r="D2479" s="148" t="s">
        <v>33</v>
      </c>
      <c r="E2479" s="165"/>
      <c r="F2479" s="147"/>
      <c r="G2479" s="147"/>
      <c r="H2479" s="167">
        <f>SUM(H2472:H2478)</f>
        <v>108640</v>
      </c>
      <c r="I2479" s="168">
        <f>SUM(I2472:I2478)</f>
        <v>1</v>
      </c>
      <c r="J2479" s="151"/>
      <c r="K2479" s="87"/>
    </row>
    <row r="2480" spans="1:11" s="7" customFormat="1" x14ac:dyDescent="0.2">
      <c r="A2480" s="147"/>
      <c r="B2480" s="147"/>
      <c r="C2480" s="169"/>
      <c r="D2480" s="147"/>
      <c r="E2480" s="165"/>
      <c r="F2480" s="147"/>
      <c r="G2480" s="147"/>
      <c r="H2480" s="147"/>
      <c r="I2480" s="152"/>
      <c r="J2480" s="147"/>
      <c r="K2480" s="87"/>
    </row>
    <row r="2481" spans="1:17" s="7" customFormat="1" ht="17.25" customHeight="1" x14ac:dyDescent="0.2">
      <c r="A2481" s="151" t="s">
        <v>639</v>
      </c>
      <c r="B2481" s="147"/>
      <c r="C2481" s="148" t="s">
        <v>289</v>
      </c>
      <c r="D2481" s="147" t="s">
        <v>738</v>
      </c>
      <c r="E2481" s="165">
        <v>44784</v>
      </c>
      <c r="F2481" s="147">
        <v>40766073</v>
      </c>
      <c r="G2481" s="147">
        <v>96177</v>
      </c>
      <c r="H2481" s="147"/>
      <c r="I2481" s="152"/>
      <c r="J2481" s="147"/>
      <c r="K2481" s="87"/>
    </row>
    <row r="2482" spans="1:17" ht="12.75" x14ac:dyDescent="0.2">
      <c r="A2482" s="147"/>
      <c r="B2482" s="147"/>
      <c r="C2482" s="169"/>
      <c r="D2482" s="147" t="s">
        <v>581</v>
      </c>
      <c r="E2482" s="165"/>
      <c r="F2482" s="150"/>
      <c r="G2482" s="147"/>
      <c r="H2482" s="147">
        <v>7839</v>
      </c>
      <c r="I2482" s="152">
        <f>(H2482/$H$2487)</f>
        <v>0.16146573564852004</v>
      </c>
      <c r="J2482" s="151" t="s">
        <v>236</v>
      </c>
      <c r="K2482" s="139"/>
    </row>
    <row r="2483" spans="1:17" ht="12.75" x14ac:dyDescent="0.2">
      <c r="A2483" s="147"/>
      <c r="B2483" s="147"/>
      <c r="C2483" s="169"/>
      <c r="D2483" s="147" t="s">
        <v>627</v>
      </c>
      <c r="E2483" s="165"/>
      <c r="F2483" s="150"/>
      <c r="G2483" s="147"/>
      <c r="H2483" s="147">
        <v>6460</v>
      </c>
      <c r="I2483" s="152">
        <f>(H2483/$H$2487)</f>
        <v>0.13306144307812726</v>
      </c>
      <c r="J2483" s="147"/>
      <c r="K2483" s="139"/>
    </row>
    <row r="2484" spans="1:17" ht="12.75" x14ac:dyDescent="0.2">
      <c r="A2484" s="147"/>
      <c r="B2484" s="147"/>
      <c r="C2484" s="169"/>
      <c r="D2484" s="147" t="s">
        <v>603</v>
      </c>
      <c r="E2484" s="165"/>
      <c r="F2484" s="150"/>
      <c r="G2484" s="147"/>
      <c r="H2484" s="147">
        <v>23290</v>
      </c>
      <c r="I2484" s="152">
        <f>(H2484/$H$2487)</f>
        <v>0.47972151846587985</v>
      </c>
      <c r="J2484" s="151" t="s">
        <v>665</v>
      </c>
      <c r="K2484" s="139"/>
    </row>
    <row r="2485" spans="1:17" ht="12.75" x14ac:dyDescent="0.2">
      <c r="A2485" s="147"/>
      <c r="B2485" s="147"/>
      <c r="C2485" s="169"/>
      <c r="D2485" s="147" t="s">
        <v>589</v>
      </c>
      <c r="E2485" s="165"/>
      <c r="F2485" s="150"/>
      <c r="G2485" s="147"/>
      <c r="H2485" s="147">
        <v>10344</v>
      </c>
      <c r="I2485" s="152">
        <f>(H2485/$H$2487)</f>
        <v>0.21306309089785577</v>
      </c>
      <c r="J2485" s="147"/>
      <c r="K2485" s="139"/>
    </row>
    <row r="2486" spans="1:17" ht="12.75" x14ac:dyDescent="0.2">
      <c r="A2486" s="147"/>
      <c r="B2486" s="147"/>
      <c r="C2486" s="169"/>
      <c r="D2486" s="147" t="s">
        <v>586</v>
      </c>
      <c r="E2486" s="165"/>
      <c r="F2486" s="150"/>
      <c r="G2486" s="147"/>
      <c r="H2486" s="147">
        <v>616</v>
      </c>
      <c r="I2486" s="152">
        <f>(H2486/$H$2487)</f>
        <v>1.2688211909617088E-2</v>
      </c>
      <c r="J2486" s="147"/>
      <c r="K2486" s="139"/>
    </row>
    <row r="2487" spans="1:17" ht="12.75" x14ac:dyDescent="0.2">
      <c r="A2487" s="147"/>
      <c r="B2487" s="147"/>
      <c r="C2487" s="169"/>
      <c r="D2487" s="148" t="s">
        <v>33</v>
      </c>
      <c r="E2487" s="165"/>
      <c r="F2487" s="150"/>
      <c r="G2487" s="147"/>
      <c r="H2487" s="167">
        <f>SUM(H2482:H2486)</f>
        <v>48549</v>
      </c>
      <c r="I2487" s="168">
        <f>SUM(I2482:I2486)</f>
        <v>1</v>
      </c>
      <c r="J2487" s="147"/>
      <c r="K2487" s="139"/>
    </row>
    <row r="2488" spans="1:17" ht="12.75" x14ac:dyDescent="0.2">
      <c r="A2488" s="147"/>
      <c r="B2488" s="147"/>
      <c r="C2488" s="169"/>
      <c r="D2488" s="147"/>
      <c r="E2488" s="165"/>
      <c r="F2488" s="147"/>
      <c r="G2488" s="147"/>
      <c r="H2488" s="147"/>
      <c r="I2488" s="152"/>
      <c r="J2488" s="147"/>
      <c r="K2488" s="139"/>
    </row>
    <row r="2489" spans="1:17" ht="12.75" x14ac:dyDescent="0.2">
      <c r="A2489" s="147"/>
      <c r="B2489" s="147"/>
      <c r="C2489" s="169"/>
      <c r="D2489" s="147"/>
      <c r="E2489" s="165"/>
      <c r="F2489" s="147"/>
      <c r="G2489" s="147"/>
      <c r="H2489" s="147"/>
      <c r="I2489" s="152"/>
      <c r="J2489" s="147"/>
      <c r="K2489" s="139"/>
    </row>
    <row r="2490" spans="1:17" ht="12.75" x14ac:dyDescent="0.2">
      <c r="K2490" s="139"/>
    </row>
    <row r="2491" spans="1:17" ht="12.75" x14ac:dyDescent="0.2">
      <c r="K2491" s="139"/>
    </row>
    <row r="2492" spans="1:17" ht="12.75" x14ac:dyDescent="0.2">
      <c r="K2492" s="87"/>
      <c r="L2492" s="7"/>
      <c r="M2492" s="7"/>
      <c r="N2492" s="7"/>
      <c r="O2492" s="7"/>
      <c r="P2492" s="7"/>
      <c r="Q2492" s="7"/>
    </row>
    <row r="2493" spans="1:17" s="7" customFormat="1" ht="12.75" x14ac:dyDescent="0.2">
      <c r="A2493" s="6"/>
      <c r="B2493" s="6"/>
      <c r="C2493" s="212"/>
      <c r="D2493" s="6"/>
      <c r="E2493" s="216"/>
      <c r="F2493" s="6"/>
      <c r="G2493" s="6"/>
      <c r="H2493" s="6"/>
      <c r="I2493" s="6"/>
      <c r="J2493" s="6"/>
      <c r="K2493" s="87"/>
    </row>
    <row r="2494" spans="1:17" s="7" customFormat="1" ht="12.75" x14ac:dyDescent="0.2">
      <c r="A2494" s="6"/>
      <c r="B2494" s="6"/>
      <c r="C2494" s="212"/>
      <c r="D2494" s="6"/>
      <c r="E2494" s="216"/>
      <c r="F2494" s="6"/>
      <c r="G2494" s="6"/>
      <c r="H2494" s="6"/>
      <c r="I2494" s="6"/>
      <c r="J2494" s="6"/>
      <c r="K2494" s="87"/>
    </row>
    <row r="2495" spans="1:17" ht="12.75" x14ac:dyDescent="0.2">
      <c r="K2495" s="87"/>
      <c r="L2495" s="7"/>
      <c r="M2495" s="7"/>
      <c r="N2495" s="7"/>
      <c r="O2495" s="7"/>
      <c r="P2495" s="7"/>
      <c r="Q2495" s="7"/>
    </row>
    <row r="2496" spans="1:17" ht="12.75" x14ac:dyDescent="0.2">
      <c r="K2496" s="87"/>
      <c r="L2496" s="7"/>
      <c r="M2496" s="7"/>
      <c r="N2496" s="7"/>
      <c r="O2496" s="7"/>
      <c r="P2496" s="7"/>
      <c r="Q2496" s="7"/>
    </row>
    <row r="2497" spans="1:17" ht="12.75" x14ac:dyDescent="0.2">
      <c r="K2497" s="87"/>
      <c r="L2497" s="7"/>
      <c r="M2497" s="7"/>
      <c r="N2497" s="7"/>
      <c r="O2497" s="7"/>
      <c r="P2497" s="7"/>
      <c r="Q2497" s="7"/>
    </row>
    <row r="2498" spans="1:17" ht="12.75" x14ac:dyDescent="0.2">
      <c r="K2498" s="87"/>
      <c r="L2498" s="7"/>
      <c r="M2498" s="7"/>
      <c r="N2498" s="7"/>
      <c r="O2498" s="7"/>
      <c r="P2498" s="7"/>
      <c r="Q2498" s="7"/>
    </row>
    <row r="2499" spans="1:17" ht="12.75" x14ac:dyDescent="0.2">
      <c r="A2499" s="147"/>
      <c r="B2499" s="147"/>
      <c r="C2499" s="169"/>
      <c r="D2499" s="147"/>
      <c r="E2499" s="165"/>
      <c r="F2499" s="147"/>
      <c r="G2499" s="147"/>
      <c r="H2499" s="147"/>
      <c r="I2499" s="152"/>
      <c r="J2499" s="147"/>
    </row>
    <row r="2508" spans="1:17" ht="12.75" x14ac:dyDescent="0.2">
      <c r="K2508" s="139"/>
    </row>
    <row r="2509" spans="1:17" ht="12.75" x14ac:dyDescent="0.2">
      <c r="K2509" s="139"/>
    </row>
    <row r="2510" spans="1:17" ht="12.75" x14ac:dyDescent="0.2">
      <c r="A2510" s="147"/>
      <c r="B2510" s="147"/>
      <c r="C2510" s="169"/>
      <c r="D2510" s="147"/>
      <c r="E2510" s="165"/>
      <c r="F2510" s="147"/>
      <c r="G2510" s="147"/>
      <c r="H2510" s="147"/>
      <c r="I2510" s="152"/>
      <c r="J2510" s="147"/>
      <c r="K2510" s="139"/>
    </row>
    <row r="2511" spans="1:17" ht="12.75" x14ac:dyDescent="0.2">
      <c r="A2511" s="147"/>
      <c r="B2511" s="147"/>
      <c r="C2511" s="169"/>
      <c r="D2511" s="147"/>
      <c r="E2511" s="165"/>
      <c r="F2511" s="147"/>
      <c r="G2511" s="147"/>
      <c r="H2511" s="147"/>
      <c r="I2511" s="152"/>
      <c r="J2511" s="147"/>
      <c r="K2511" s="139"/>
    </row>
    <row r="2512" spans="1:17" ht="12.75" x14ac:dyDescent="0.2">
      <c r="A2512" s="147"/>
      <c r="B2512" s="147"/>
      <c r="C2512" s="169"/>
      <c r="D2512" s="147"/>
      <c r="E2512" s="165"/>
      <c r="F2512" s="147"/>
      <c r="G2512" s="147"/>
      <c r="H2512" s="147"/>
      <c r="I2512" s="152"/>
      <c r="J2512" s="147"/>
      <c r="K2512" s="139"/>
    </row>
    <row r="2513" spans="1:11" ht="12.75" x14ac:dyDescent="0.2">
      <c r="A2513" s="147"/>
      <c r="B2513" s="147"/>
      <c r="C2513" s="169"/>
      <c r="D2513" s="147"/>
      <c r="E2513" s="165"/>
      <c r="F2513" s="147"/>
      <c r="G2513" s="147"/>
      <c r="H2513" s="147"/>
      <c r="I2513" s="152"/>
      <c r="J2513" s="147"/>
      <c r="K2513" s="139"/>
    </row>
    <row r="2514" spans="1:11" ht="12.75" x14ac:dyDescent="0.2">
      <c r="A2514" s="147"/>
      <c r="B2514" s="147"/>
      <c r="C2514" s="169"/>
      <c r="D2514" s="147"/>
      <c r="E2514" s="165"/>
      <c r="F2514" s="147"/>
      <c r="G2514" s="147"/>
      <c r="H2514" s="147"/>
      <c r="I2514" s="152"/>
      <c r="J2514" s="147"/>
      <c r="K2514" s="139"/>
    </row>
    <row r="2515" spans="1:11" ht="12.75" x14ac:dyDescent="0.2">
      <c r="A2515" s="139"/>
      <c r="B2515" s="139"/>
      <c r="C2515" s="211"/>
      <c r="D2515" s="139"/>
      <c r="E2515" s="213"/>
      <c r="F2515" s="139"/>
      <c r="G2515" s="139"/>
      <c r="H2515" s="139"/>
      <c r="I2515" s="141"/>
      <c r="J2515" s="147"/>
      <c r="K2515" s="139"/>
    </row>
    <row r="2516" spans="1:11" s="7" customFormat="1" ht="12.75" x14ac:dyDescent="0.2">
      <c r="A2516" s="139"/>
      <c r="B2516" s="139"/>
      <c r="C2516" s="211"/>
      <c r="D2516" s="139"/>
      <c r="E2516" s="213"/>
      <c r="F2516" s="139"/>
      <c r="G2516" s="139"/>
      <c r="H2516" s="139"/>
      <c r="I2516" s="141"/>
      <c r="J2516" s="147"/>
      <c r="K2516" s="87"/>
    </row>
    <row r="2517" spans="1:11" ht="12.75" x14ac:dyDescent="0.2">
      <c r="A2517" s="139"/>
      <c r="B2517" s="139"/>
      <c r="C2517" s="211"/>
      <c r="D2517" s="139"/>
      <c r="E2517" s="213"/>
      <c r="F2517" s="139"/>
      <c r="G2517" s="139"/>
      <c r="H2517" s="139"/>
      <c r="I2517" s="141"/>
      <c r="J2517" s="147"/>
      <c r="K2517" s="139"/>
    </row>
    <row r="2518" spans="1:11" ht="12.75" x14ac:dyDescent="0.2">
      <c r="A2518" s="139"/>
      <c r="B2518" s="139"/>
      <c r="C2518" s="211"/>
      <c r="D2518" s="139"/>
      <c r="E2518" s="213"/>
      <c r="F2518" s="139"/>
      <c r="G2518" s="139"/>
      <c r="H2518" s="139"/>
      <c r="I2518" s="141"/>
      <c r="J2518" s="147"/>
      <c r="K2518" s="139"/>
    </row>
    <row r="2519" spans="1:11" ht="12.75" x14ac:dyDescent="0.2">
      <c r="A2519" s="139"/>
      <c r="B2519" s="139"/>
      <c r="C2519" s="211"/>
      <c r="D2519" s="139"/>
      <c r="E2519" s="213"/>
      <c r="F2519" s="139"/>
      <c r="G2519" s="139"/>
      <c r="H2519" s="139"/>
      <c r="I2519" s="141"/>
      <c r="J2519" s="139"/>
      <c r="K2519" s="139"/>
    </row>
    <row r="2520" spans="1:11" ht="12.75" x14ac:dyDescent="0.2">
      <c r="A2520" s="139"/>
      <c r="B2520" s="139"/>
      <c r="C2520" s="211"/>
      <c r="D2520" s="139"/>
      <c r="E2520" s="213"/>
      <c r="F2520" s="139"/>
      <c r="G2520" s="139"/>
      <c r="H2520" s="139"/>
      <c r="I2520" s="141"/>
      <c r="J2520" s="139"/>
      <c r="K2520" s="139"/>
    </row>
    <row r="2521" spans="1:11" ht="12.75" x14ac:dyDescent="0.2">
      <c r="A2521" s="139"/>
      <c r="B2521" s="139"/>
      <c r="C2521" s="211"/>
      <c r="D2521" s="139"/>
      <c r="E2521" s="213"/>
      <c r="F2521" s="139"/>
      <c r="G2521" s="139"/>
      <c r="H2521" s="139"/>
      <c r="I2521" s="141"/>
      <c r="J2521" s="139"/>
      <c r="K2521" s="139"/>
    </row>
    <row r="2522" spans="1:11" ht="12.75" x14ac:dyDescent="0.2">
      <c r="A2522" s="139"/>
      <c r="B2522" s="139"/>
      <c r="C2522" s="211"/>
      <c r="D2522" s="139"/>
      <c r="E2522" s="213"/>
      <c r="F2522" s="139"/>
      <c r="G2522" s="139"/>
      <c r="H2522" s="139"/>
      <c r="I2522" s="141"/>
      <c r="J2522" s="139"/>
      <c r="K2522" s="139"/>
    </row>
    <row r="2523" spans="1:11" ht="12.75" x14ac:dyDescent="0.2">
      <c r="A2523" s="139"/>
      <c r="B2523" s="139"/>
      <c r="C2523" s="211"/>
      <c r="D2523" s="139"/>
      <c r="E2523" s="213"/>
      <c r="F2523" s="139"/>
      <c r="G2523" s="139"/>
      <c r="H2523" s="139"/>
      <c r="I2523" s="141"/>
      <c r="J2523" s="139"/>
      <c r="K2523" s="139"/>
    </row>
    <row r="2524" spans="1:11" ht="12.75" x14ac:dyDescent="0.2">
      <c r="A2524" s="139"/>
      <c r="B2524" s="139"/>
      <c r="C2524" s="211"/>
      <c r="D2524" s="139"/>
      <c r="E2524" s="213"/>
      <c r="F2524" s="139"/>
      <c r="G2524" s="139"/>
      <c r="H2524" s="139"/>
      <c r="I2524" s="141"/>
      <c r="J2524" s="139"/>
      <c r="K2524" s="139"/>
    </row>
    <row r="2525" spans="1:11" ht="12.75" x14ac:dyDescent="0.2">
      <c r="A2525" s="139"/>
      <c r="B2525" s="139"/>
      <c r="C2525" s="211"/>
      <c r="D2525" s="139"/>
      <c r="E2525" s="213"/>
      <c r="F2525" s="139"/>
      <c r="G2525" s="139"/>
      <c r="H2525" s="139"/>
      <c r="I2525" s="141"/>
      <c r="J2525" s="139"/>
      <c r="K2525" s="139"/>
    </row>
    <row r="2526" spans="1:11" ht="12.75" x14ac:dyDescent="0.2">
      <c r="A2526" s="139"/>
      <c r="B2526" s="139"/>
      <c r="C2526" s="211"/>
      <c r="D2526" s="139"/>
      <c r="E2526" s="213"/>
      <c r="F2526" s="139"/>
      <c r="G2526" s="139"/>
      <c r="H2526" s="139"/>
      <c r="I2526" s="141"/>
      <c r="J2526" s="139"/>
      <c r="K2526" s="139"/>
    </row>
    <row r="2527" spans="1:11" ht="12.75" x14ac:dyDescent="0.2">
      <c r="A2527" s="139"/>
      <c r="B2527" s="139"/>
      <c r="C2527" s="211"/>
      <c r="D2527" s="139"/>
      <c r="E2527" s="213"/>
      <c r="F2527" s="139"/>
      <c r="G2527" s="139"/>
      <c r="H2527" s="139"/>
      <c r="I2527" s="141"/>
      <c r="J2527" s="139"/>
      <c r="K2527" s="139"/>
    </row>
    <row r="2528" spans="1:11" ht="12.75" x14ac:dyDescent="0.2">
      <c r="A2528" s="139"/>
      <c r="B2528" s="139"/>
      <c r="C2528" s="211"/>
      <c r="D2528" s="139"/>
      <c r="E2528" s="213"/>
      <c r="F2528" s="139"/>
      <c r="G2528" s="139"/>
      <c r="H2528" s="139"/>
      <c r="I2528" s="141"/>
      <c r="J2528" s="139"/>
      <c r="K2528" s="139"/>
    </row>
    <row r="2529" spans="1:11" ht="12.75" x14ac:dyDescent="0.2">
      <c r="A2529" s="139"/>
      <c r="B2529" s="139"/>
      <c r="C2529" s="211"/>
      <c r="D2529" s="139"/>
      <c r="E2529" s="213"/>
      <c r="F2529" s="139"/>
      <c r="G2529" s="139"/>
      <c r="H2529" s="139"/>
      <c r="I2529" s="141"/>
      <c r="J2529" s="139"/>
      <c r="K2529" s="139"/>
    </row>
    <row r="2530" spans="1:11" ht="12.75" x14ac:dyDescent="0.2">
      <c r="A2530" s="139"/>
      <c r="B2530" s="139"/>
      <c r="C2530" s="211"/>
      <c r="D2530" s="139"/>
      <c r="E2530" s="213"/>
      <c r="F2530" s="139"/>
      <c r="G2530" s="139"/>
      <c r="H2530" s="139"/>
      <c r="I2530" s="141"/>
      <c r="J2530" s="139"/>
      <c r="K2530" s="139"/>
    </row>
    <row r="2531" spans="1:11" ht="12.75" x14ac:dyDescent="0.2">
      <c r="A2531" s="139"/>
      <c r="B2531" s="139"/>
      <c r="C2531" s="211"/>
      <c r="D2531" s="139"/>
      <c r="E2531" s="213"/>
      <c r="F2531" s="139"/>
      <c r="G2531" s="139"/>
      <c r="H2531" s="139"/>
      <c r="I2531" s="141"/>
      <c r="J2531" s="139"/>
      <c r="K2531" s="139"/>
    </row>
    <row r="2532" spans="1:11" ht="12.75" x14ac:dyDescent="0.2">
      <c r="A2532" s="139"/>
      <c r="B2532" s="139"/>
      <c r="C2532" s="211"/>
      <c r="D2532" s="139"/>
      <c r="E2532" s="213"/>
      <c r="F2532" s="139"/>
      <c r="G2532" s="139"/>
      <c r="H2532" s="139"/>
      <c r="I2532" s="141"/>
      <c r="J2532" s="139"/>
      <c r="K2532" s="139"/>
    </row>
    <row r="2533" spans="1:11" ht="12.75" x14ac:dyDescent="0.2">
      <c r="A2533" s="139"/>
      <c r="B2533" s="139"/>
      <c r="C2533" s="211"/>
      <c r="D2533" s="139"/>
      <c r="E2533" s="213"/>
      <c r="F2533" s="139"/>
      <c r="G2533" s="139"/>
      <c r="H2533" s="139"/>
      <c r="I2533" s="141"/>
      <c r="J2533" s="139"/>
      <c r="K2533" s="139"/>
    </row>
    <row r="2534" spans="1:11" ht="12.75" x14ac:dyDescent="0.2">
      <c r="A2534" s="139"/>
      <c r="B2534" s="139"/>
      <c r="C2534" s="211"/>
      <c r="D2534" s="139"/>
      <c r="E2534" s="213"/>
      <c r="F2534" s="139"/>
      <c r="G2534" s="139"/>
      <c r="H2534" s="139"/>
      <c r="I2534" s="141"/>
      <c r="J2534" s="139"/>
      <c r="K2534" s="139"/>
    </row>
    <row r="2535" spans="1:11" ht="12.75" x14ac:dyDescent="0.2">
      <c r="A2535" s="139"/>
      <c r="B2535" s="139"/>
      <c r="C2535" s="211"/>
      <c r="D2535" s="139"/>
      <c r="E2535" s="213"/>
      <c r="F2535" s="139"/>
      <c r="G2535" s="139"/>
      <c r="H2535" s="139"/>
      <c r="I2535" s="141"/>
      <c r="J2535" s="139"/>
      <c r="K2535" s="139"/>
    </row>
    <row r="2536" spans="1:11" ht="12.75" x14ac:dyDescent="0.2">
      <c r="A2536" s="139"/>
      <c r="B2536" s="139"/>
      <c r="C2536" s="211"/>
      <c r="D2536" s="139"/>
      <c r="E2536" s="213"/>
      <c r="F2536" s="139"/>
      <c r="G2536" s="139"/>
      <c r="H2536" s="139"/>
      <c r="I2536" s="141"/>
      <c r="J2536" s="139"/>
      <c r="K2536" s="139"/>
    </row>
    <row r="2537" spans="1:11" ht="12.75" x14ac:dyDescent="0.2">
      <c r="A2537" s="139"/>
      <c r="B2537" s="139"/>
      <c r="C2537" s="211"/>
      <c r="D2537" s="139"/>
      <c r="E2537" s="213"/>
      <c r="F2537" s="139"/>
      <c r="G2537" s="139"/>
      <c r="H2537" s="139"/>
      <c r="I2537" s="141"/>
      <c r="J2537" s="139"/>
      <c r="K2537" s="139"/>
    </row>
    <row r="2538" spans="1:11" ht="12.75" x14ac:dyDescent="0.2">
      <c r="A2538" s="139"/>
      <c r="B2538" s="139"/>
      <c r="C2538" s="211"/>
      <c r="D2538" s="139"/>
      <c r="E2538" s="213"/>
      <c r="F2538" s="139"/>
      <c r="G2538" s="139"/>
      <c r="H2538" s="139"/>
      <c r="I2538" s="141"/>
      <c r="J2538" s="139"/>
      <c r="K2538" s="139"/>
    </row>
    <row r="2539" spans="1:11" ht="12.75" x14ac:dyDescent="0.2">
      <c r="A2539" s="139"/>
      <c r="B2539" s="139"/>
      <c r="C2539" s="211"/>
      <c r="D2539" s="139"/>
      <c r="E2539" s="213"/>
      <c r="F2539" s="139"/>
      <c r="G2539" s="139"/>
      <c r="H2539" s="139"/>
      <c r="I2539" s="141"/>
      <c r="J2539" s="139"/>
      <c r="K2539" s="139"/>
    </row>
    <row r="2540" spans="1:11" ht="12.75" x14ac:dyDescent="0.2">
      <c r="A2540" s="139"/>
      <c r="B2540" s="139"/>
      <c r="C2540" s="211"/>
      <c r="D2540" s="139"/>
      <c r="E2540" s="213"/>
      <c r="F2540" s="139"/>
      <c r="G2540" s="139"/>
      <c r="H2540" s="139"/>
      <c r="I2540" s="141"/>
      <c r="J2540" s="139"/>
      <c r="K2540" s="139"/>
    </row>
    <row r="2541" spans="1:11" ht="12.75" x14ac:dyDescent="0.2">
      <c r="A2541" s="139"/>
      <c r="B2541" s="139"/>
      <c r="C2541" s="211"/>
      <c r="D2541" s="139"/>
      <c r="E2541" s="213"/>
      <c r="F2541" s="139"/>
      <c r="G2541" s="139"/>
      <c r="H2541" s="139"/>
      <c r="I2541" s="141"/>
      <c r="J2541" s="139"/>
      <c r="K2541" s="139"/>
    </row>
    <row r="2542" spans="1:11" ht="12.75" x14ac:dyDescent="0.2">
      <c r="A2542" s="139"/>
      <c r="B2542" s="139"/>
      <c r="C2542" s="211"/>
      <c r="D2542" s="139"/>
      <c r="E2542" s="213"/>
      <c r="F2542" s="139"/>
      <c r="G2542" s="139"/>
      <c r="H2542" s="139"/>
      <c r="I2542" s="141"/>
      <c r="J2542" s="139"/>
      <c r="K2542" s="139"/>
    </row>
    <row r="2543" spans="1:11" ht="12.75" x14ac:dyDescent="0.2">
      <c r="A2543" s="139"/>
      <c r="B2543" s="139"/>
      <c r="C2543" s="211"/>
      <c r="D2543" s="139"/>
      <c r="E2543" s="213"/>
      <c r="F2543" s="139"/>
      <c r="G2543" s="139"/>
      <c r="H2543" s="139"/>
      <c r="I2543" s="141"/>
      <c r="J2543" s="139"/>
      <c r="K2543" s="139"/>
    </row>
    <row r="2544" spans="1:11" ht="12.75" x14ac:dyDescent="0.2">
      <c r="A2544" s="139"/>
      <c r="B2544" s="139"/>
      <c r="C2544" s="211"/>
      <c r="D2544" s="139"/>
      <c r="E2544" s="213"/>
      <c r="F2544" s="139"/>
      <c r="G2544" s="139"/>
      <c r="H2544" s="139"/>
      <c r="I2544" s="141"/>
      <c r="J2544" s="139"/>
      <c r="K2544" s="139"/>
    </row>
    <row r="2545" spans="1:11" ht="12.75" x14ac:dyDescent="0.2">
      <c r="A2545" s="139"/>
      <c r="B2545" s="139"/>
      <c r="C2545" s="211"/>
      <c r="D2545" s="139"/>
      <c r="E2545" s="213"/>
      <c r="F2545" s="139"/>
      <c r="G2545" s="139"/>
      <c r="H2545" s="139"/>
      <c r="I2545" s="141"/>
      <c r="J2545" s="139"/>
      <c r="K2545" s="139"/>
    </row>
    <row r="2546" spans="1:11" ht="12.75" x14ac:dyDescent="0.2">
      <c r="A2546" s="139"/>
      <c r="B2546" s="139"/>
      <c r="C2546" s="211"/>
      <c r="D2546" s="139"/>
      <c r="E2546" s="213"/>
      <c r="F2546" s="139"/>
      <c r="G2546" s="139"/>
      <c r="H2546" s="139"/>
      <c r="I2546" s="141"/>
      <c r="J2546" s="139"/>
      <c r="K2546" s="139"/>
    </row>
    <row r="2547" spans="1:11" ht="12.75" x14ac:dyDescent="0.2">
      <c r="A2547" s="139"/>
      <c r="B2547" s="139"/>
      <c r="C2547" s="211"/>
      <c r="D2547" s="139"/>
      <c r="E2547" s="213"/>
      <c r="F2547" s="139"/>
      <c r="G2547" s="139"/>
      <c r="H2547" s="139"/>
      <c r="I2547" s="141"/>
      <c r="J2547" s="139"/>
      <c r="K2547" s="139"/>
    </row>
    <row r="2548" spans="1:11" ht="12.75" x14ac:dyDescent="0.2">
      <c r="A2548" s="139"/>
      <c r="B2548" s="139"/>
      <c r="C2548" s="211"/>
      <c r="D2548" s="139"/>
      <c r="E2548" s="213"/>
      <c r="F2548" s="139"/>
      <c r="G2548" s="139"/>
      <c r="H2548" s="139"/>
      <c r="I2548" s="141"/>
      <c r="J2548" s="139"/>
      <c r="K2548" s="139"/>
    </row>
    <row r="2549" spans="1:11" ht="12.75" x14ac:dyDescent="0.2">
      <c r="A2549" s="139"/>
      <c r="B2549" s="139"/>
      <c r="C2549" s="211"/>
      <c r="D2549" s="139"/>
      <c r="E2549" s="213"/>
      <c r="F2549" s="139"/>
      <c r="G2549" s="139"/>
      <c r="H2549" s="139"/>
      <c r="I2549" s="141"/>
      <c r="J2549" s="139"/>
      <c r="K2549" s="139"/>
    </row>
    <row r="2550" spans="1:11" ht="12.75" x14ac:dyDescent="0.2">
      <c r="A2550" s="139"/>
      <c r="B2550" s="139"/>
      <c r="C2550" s="211"/>
      <c r="D2550" s="139"/>
      <c r="E2550" s="213"/>
      <c r="F2550" s="139"/>
      <c r="G2550" s="139"/>
      <c r="H2550" s="139"/>
      <c r="I2550" s="141"/>
      <c r="J2550" s="139"/>
      <c r="K2550" s="139"/>
    </row>
    <row r="2551" spans="1:11" ht="12.75" x14ac:dyDescent="0.2">
      <c r="A2551" s="139"/>
      <c r="B2551" s="139"/>
      <c r="C2551" s="211"/>
      <c r="D2551" s="139"/>
      <c r="E2551" s="213"/>
      <c r="F2551" s="139"/>
      <c r="G2551" s="139"/>
      <c r="H2551" s="139"/>
      <c r="I2551" s="141"/>
      <c r="J2551" s="139"/>
      <c r="K2551" s="139"/>
    </row>
    <row r="2552" spans="1:11" ht="12.75" x14ac:dyDescent="0.2">
      <c r="A2552" s="139"/>
      <c r="B2552" s="139"/>
      <c r="C2552" s="211"/>
      <c r="D2552" s="139"/>
      <c r="E2552" s="213"/>
      <c r="F2552" s="139"/>
      <c r="G2552" s="139"/>
      <c r="H2552" s="139"/>
      <c r="I2552" s="141"/>
      <c r="J2552" s="139"/>
      <c r="K2552" s="139"/>
    </row>
    <row r="2553" spans="1:11" ht="12.75" x14ac:dyDescent="0.2">
      <c r="A2553" s="139"/>
      <c r="B2553" s="139"/>
      <c r="C2553" s="211"/>
      <c r="D2553" s="139"/>
      <c r="E2553" s="213"/>
      <c r="F2553" s="139"/>
      <c r="G2553" s="139"/>
      <c r="H2553" s="139"/>
      <c r="I2553" s="141"/>
      <c r="J2553" s="139"/>
      <c r="K2553" s="139"/>
    </row>
    <row r="2554" spans="1:11" ht="12.75" x14ac:dyDescent="0.2">
      <c r="A2554" s="139"/>
      <c r="B2554" s="139"/>
      <c r="C2554" s="211"/>
      <c r="D2554" s="139"/>
      <c r="E2554" s="213"/>
      <c r="F2554" s="139"/>
      <c r="G2554" s="139"/>
      <c r="H2554" s="139"/>
      <c r="I2554" s="141"/>
      <c r="J2554" s="139"/>
      <c r="K2554" s="139"/>
    </row>
    <row r="2555" spans="1:11" ht="12.75" x14ac:dyDescent="0.2">
      <c r="A2555" s="139"/>
      <c r="B2555" s="139"/>
      <c r="C2555" s="211"/>
      <c r="D2555" s="139"/>
      <c r="E2555" s="213"/>
      <c r="F2555" s="139"/>
      <c r="G2555" s="139"/>
      <c r="H2555" s="139"/>
      <c r="I2555" s="141"/>
      <c r="J2555" s="139"/>
      <c r="K2555" s="139"/>
    </row>
    <row r="2556" spans="1:11" ht="12.75" x14ac:dyDescent="0.2">
      <c r="A2556" s="139"/>
      <c r="B2556" s="139"/>
      <c r="C2556" s="211"/>
      <c r="D2556" s="139"/>
      <c r="E2556" s="213"/>
      <c r="F2556" s="139"/>
      <c r="G2556" s="139"/>
      <c r="H2556" s="139"/>
      <c r="I2556" s="141"/>
      <c r="J2556" s="139"/>
      <c r="K2556" s="139"/>
    </row>
    <row r="2557" spans="1:11" ht="12.75" x14ac:dyDescent="0.2">
      <c r="A2557" s="139"/>
      <c r="B2557" s="139"/>
      <c r="C2557" s="211"/>
      <c r="D2557" s="139"/>
      <c r="E2557" s="213"/>
      <c r="F2557" s="139"/>
      <c r="G2557" s="139"/>
      <c r="H2557" s="139"/>
      <c r="I2557" s="141"/>
      <c r="J2557" s="139"/>
      <c r="K2557" s="139"/>
    </row>
    <row r="2558" spans="1:11" ht="12.75" x14ac:dyDescent="0.2">
      <c r="A2558" s="139"/>
      <c r="B2558" s="139"/>
      <c r="C2558" s="211"/>
      <c r="D2558" s="139"/>
      <c r="E2558" s="213"/>
      <c r="F2558" s="139"/>
      <c r="G2558" s="139"/>
      <c r="H2558" s="139"/>
      <c r="I2558" s="141"/>
      <c r="J2558" s="139"/>
      <c r="K2558" s="139"/>
    </row>
    <row r="2559" spans="1:11" ht="12.75" x14ac:dyDescent="0.2">
      <c r="A2559" s="139"/>
      <c r="B2559" s="139"/>
      <c r="C2559" s="211"/>
      <c r="D2559" s="139"/>
      <c r="E2559" s="213"/>
      <c r="F2559" s="139"/>
      <c r="G2559" s="139"/>
      <c r="H2559" s="139"/>
      <c r="I2559" s="141"/>
      <c r="J2559" s="139"/>
      <c r="K2559" s="139"/>
    </row>
    <row r="2560" spans="1:11" ht="12.75" x14ac:dyDescent="0.2">
      <c r="A2560" s="139"/>
      <c r="B2560" s="139"/>
      <c r="C2560" s="211"/>
      <c r="D2560" s="139"/>
      <c r="E2560" s="213"/>
      <c r="F2560" s="139"/>
      <c r="G2560" s="139"/>
      <c r="H2560" s="139"/>
      <c r="I2560" s="141"/>
      <c r="J2560" s="139"/>
      <c r="K2560" s="139"/>
    </row>
    <row r="2561" spans="1:11" ht="12.75" x14ac:dyDescent="0.2">
      <c r="A2561" s="139"/>
      <c r="B2561" s="139"/>
      <c r="C2561" s="211"/>
      <c r="D2561" s="139"/>
      <c r="E2561" s="213"/>
      <c r="F2561" s="139"/>
      <c r="G2561" s="139"/>
      <c r="H2561" s="139"/>
      <c r="I2561" s="141"/>
      <c r="J2561" s="139"/>
      <c r="K2561" s="139"/>
    </row>
    <row r="2562" spans="1:11" ht="12.75" x14ac:dyDescent="0.2">
      <c r="A2562" s="139"/>
      <c r="B2562" s="139"/>
      <c r="C2562" s="211"/>
      <c r="D2562" s="139"/>
      <c r="E2562" s="213"/>
      <c r="F2562" s="139"/>
      <c r="G2562" s="139"/>
      <c r="H2562" s="139"/>
      <c r="I2562" s="141"/>
      <c r="J2562" s="139"/>
      <c r="K2562" s="139"/>
    </row>
    <row r="2563" spans="1:11" ht="12.75" x14ac:dyDescent="0.2">
      <c r="A2563" s="139"/>
      <c r="B2563" s="139"/>
      <c r="C2563" s="211"/>
      <c r="D2563" s="139"/>
      <c r="E2563" s="213"/>
      <c r="F2563" s="139"/>
      <c r="G2563" s="139"/>
      <c r="H2563" s="139"/>
      <c r="I2563" s="141"/>
      <c r="J2563" s="139"/>
      <c r="K2563" s="139"/>
    </row>
    <row r="2564" spans="1:11" ht="12.75" x14ac:dyDescent="0.2">
      <c r="A2564" s="139"/>
      <c r="B2564" s="139"/>
      <c r="C2564" s="211"/>
      <c r="D2564" s="139"/>
      <c r="E2564" s="213"/>
      <c r="F2564" s="139"/>
      <c r="G2564" s="139"/>
      <c r="H2564" s="139"/>
      <c r="I2564" s="141"/>
      <c r="J2564" s="139"/>
      <c r="K2564" s="139"/>
    </row>
    <row r="2565" spans="1:11" ht="12.75" x14ac:dyDescent="0.2">
      <c r="A2565" s="139"/>
      <c r="B2565" s="139"/>
      <c r="C2565" s="211"/>
      <c r="D2565" s="139"/>
      <c r="E2565" s="213"/>
      <c r="F2565" s="139"/>
      <c r="G2565" s="139"/>
      <c r="H2565" s="139"/>
      <c r="I2565" s="141"/>
      <c r="J2565" s="139"/>
      <c r="K2565" s="139"/>
    </row>
    <row r="2566" spans="1:11" ht="12.75" x14ac:dyDescent="0.2">
      <c r="A2566" s="139"/>
      <c r="B2566" s="139"/>
      <c r="C2566" s="211"/>
      <c r="D2566" s="139"/>
      <c r="E2566" s="213"/>
      <c r="F2566" s="139"/>
      <c r="G2566" s="139"/>
      <c r="H2566" s="139"/>
      <c r="I2566" s="141"/>
      <c r="J2566" s="139"/>
      <c r="K2566" s="139"/>
    </row>
    <row r="2567" spans="1:11" ht="12.75" x14ac:dyDescent="0.2">
      <c r="A2567" s="139"/>
      <c r="B2567" s="139"/>
      <c r="C2567" s="211"/>
      <c r="D2567" s="139"/>
      <c r="E2567" s="213"/>
      <c r="F2567" s="139"/>
      <c r="G2567" s="139"/>
      <c r="H2567" s="139"/>
      <c r="I2567" s="141"/>
      <c r="J2567" s="139"/>
      <c r="K2567" s="139"/>
    </row>
    <row r="2568" spans="1:11" ht="12.75" x14ac:dyDescent="0.2">
      <c r="A2568" s="139"/>
      <c r="B2568" s="139"/>
      <c r="C2568" s="211"/>
      <c r="D2568" s="139"/>
      <c r="E2568" s="213"/>
      <c r="F2568" s="139"/>
      <c r="G2568" s="139"/>
      <c r="H2568" s="139"/>
      <c r="I2568" s="141"/>
      <c r="J2568" s="139"/>
      <c r="K2568" s="139"/>
    </row>
    <row r="2569" spans="1:11" ht="12.75" x14ac:dyDescent="0.2">
      <c r="A2569" s="139"/>
      <c r="B2569" s="139"/>
      <c r="C2569" s="211"/>
      <c r="D2569" s="139"/>
      <c r="E2569" s="213"/>
      <c r="F2569" s="139"/>
      <c r="G2569" s="139"/>
      <c r="H2569" s="139"/>
      <c r="I2569" s="141"/>
      <c r="J2569" s="139"/>
      <c r="K2569" s="139"/>
    </row>
    <row r="2570" spans="1:11" ht="12.75" x14ac:dyDescent="0.2">
      <c r="A2570" s="139"/>
      <c r="B2570" s="139"/>
      <c r="C2570" s="211"/>
      <c r="D2570" s="139"/>
      <c r="E2570" s="213"/>
      <c r="F2570" s="139"/>
      <c r="G2570" s="139"/>
      <c r="H2570" s="139"/>
      <c r="I2570" s="141"/>
      <c r="J2570" s="139"/>
      <c r="K2570" s="139"/>
    </row>
    <row r="2571" spans="1:11" ht="12.75" x14ac:dyDescent="0.2">
      <c r="A2571" s="139"/>
      <c r="B2571" s="139"/>
      <c r="C2571" s="211"/>
      <c r="D2571" s="139"/>
      <c r="E2571" s="213"/>
      <c r="F2571" s="139"/>
      <c r="G2571" s="139"/>
      <c r="H2571" s="139"/>
      <c r="I2571" s="141"/>
      <c r="J2571" s="139"/>
      <c r="K2571" s="139"/>
    </row>
    <row r="2572" spans="1:11" ht="12.75" x14ac:dyDescent="0.2">
      <c r="A2572" s="139"/>
      <c r="B2572" s="139"/>
      <c r="C2572" s="211"/>
      <c r="D2572" s="139"/>
      <c r="E2572" s="213"/>
      <c r="F2572" s="139"/>
      <c r="G2572" s="139"/>
      <c r="H2572" s="139"/>
      <c r="I2572" s="141"/>
      <c r="J2572" s="139"/>
      <c r="K2572" s="139"/>
    </row>
    <row r="2573" spans="1:11" ht="12.75" x14ac:dyDescent="0.2">
      <c r="A2573" s="139"/>
      <c r="B2573" s="139"/>
      <c r="C2573" s="211"/>
      <c r="D2573" s="139"/>
      <c r="E2573" s="213"/>
      <c r="F2573" s="139"/>
      <c r="G2573" s="139"/>
      <c r="H2573" s="139"/>
      <c r="I2573" s="141"/>
      <c r="J2573" s="139"/>
      <c r="K2573" s="139"/>
    </row>
    <row r="2574" spans="1:11" ht="12.75" x14ac:dyDescent="0.2">
      <c r="A2574" s="139"/>
      <c r="B2574" s="139"/>
      <c r="C2574" s="211"/>
      <c r="D2574" s="139"/>
      <c r="E2574" s="213"/>
      <c r="F2574" s="139"/>
      <c r="G2574" s="139"/>
      <c r="H2574" s="139"/>
      <c r="I2574" s="141"/>
      <c r="J2574" s="139"/>
      <c r="K2574" s="139"/>
    </row>
    <row r="2575" spans="1:11" ht="12.75" x14ac:dyDescent="0.2">
      <c r="A2575" s="139"/>
      <c r="B2575" s="139"/>
      <c r="C2575" s="211"/>
      <c r="D2575" s="139"/>
      <c r="E2575" s="213"/>
      <c r="F2575" s="139"/>
      <c r="G2575" s="139"/>
      <c r="H2575" s="139"/>
      <c r="I2575" s="141"/>
      <c r="J2575" s="139"/>
      <c r="K2575" s="139"/>
    </row>
    <row r="2576" spans="1:11" ht="12.75" x14ac:dyDescent="0.2">
      <c r="A2576" s="139"/>
      <c r="B2576" s="139"/>
      <c r="C2576" s="211"/>
      <c r="D2576" s="139"/>
      <c r="E2576" s="213"/>
      <c r="F2576" s="139"/>
      <c r="G2576" s="139"/>
      <c r="H2576" s="139"/>
      <c r="I2576" s="141"/>
      <c r="J2576" s="139"/>
      <c r="K2576" s="139"/>
    </row>
    <row r="2577" spans="1:11" ht="12.75" x14ac:dyDescent="0.2">
      <c r="A2577" s="139"/>
      <c r="B2577" s="139"/>
      <c r="C2577" s="211"/>
      <c r="D2577" s="139"/>
      <c r="E2577" s="213"/>
      <c r="F2577" s="139"/>
      <c r="G2577" s="139"/>
      <c r="H2577" s="139"/>
      <c r="I2577" s="141"/>
      <c r="J2577" s="139"/>
      <c r="K2577" s="139"/>
    </row>
    <row r="2578" spans="1:11" ht="12.75" x14ac:dyDescent="0.2">
      <c r="A2578" s="139"/>
      <c r="B2578" s="139"/>
      <c r="C2578" s="211"/>
      <c r="D2578" s="139"/>
      <c r="E2578" s="213"/>
      <c r="F2578" s="139"/>
      <c r="G2578" s="139"/>
      <c r="H2578" s="139"/>
      <c r="I2578" s="141"/>
      <c r="J2578" s="139"/>
      <c r="K2578" s="139"/>
    </row>
    <row r="2579" spans="1:11" ht="12.75" x14ac:dyDescent="0.2">
      <c r="A2579" s="139"/>
      <c r="B2579" s="139"/>
      <c r="C2579" s="211"/>
      <c r="D2579" s="139"/>
      <c r="E2579" s="213"/>
      <c r="F2579" s="139"/>
      <c r="G2579" s="139"/>
      <c r="H2579" s="139"/>
      <c r="I2579" s="141"/>
      <c r="J2579" s="139"/>
      <c r="K2579" s="139"/>
    </row>
    <row r="2580" spans="1:11" ht="12.75" x14ac:dyDescent="0.2">
      <c r="A2580" s="139"/>
      <c r="B2580" s="139"/>
      <c r="C2580" s="211"/>
      <c r="D2580" s="139"/>
      <c r="E2580" s="213"/>
      <c r="F2580" s="139"/>
      <c r="G2580" s="139"/>
      <c r="H2580" s="139"/>
      <c r="I2580" s="141"/>
      <c r="J2580" s="139"/>
      <c r="K2580" s="139"/>
    </row>
    <row r="2581" spans="1:11" ht="12.75" x14ac:dyDescent="0.2">
      <c r="A2581" s="139"/>
      <c r="B2581" s="139"/>
      <c r="C2581" s="211"/>
      <c r="D2581" s="139"/>
      <c r="E2581" s="213"/>
      <c r="F2581" s="139"/>
      <c r="G2581" s="139"/>
      <c r="H2581" s="139"/>
      <c r="I2581" s="141"/>
      <c r="J2581" s="139"/>
      <c r="K2581" s="139"/>
    </row>
    <row r="2582" spans="1:11" ht="12.75" x14ac:dyDescent="0.2">
      <c r="A2582" s="139"/>
      <c r="B2582" s="139"/>
      <c r="C2582" s="211"/>
      <c r="D2582" s="139"/>
      <c r="E2582" s="213"/>
      <c r="F2582" s="139"/>
      <c r="G2582" s="139"/>
      <c r="H2582" s="139"/>
      <c r="I2582" s="141"/>
      <c r="J2582" s="139"/>
      <c r="K2582" s="139"/>
    </row>
    <row r="2583" spans="1:11" ht="12.75" x14ac:dyDescent="0.2">
      <c r="A2583" s="139"/>
      <c r="B2583" s="139"/>
      <c r="C2583" s="211"/>
      <c r="D2583" s="139"/>
      <c r="E2583" s="213"/>
      <c r="F2583" s="139"/>
      <c r="G2583" s="139"/>
      <c r="H2583" s="139"/>
      <c r="I2583" s="141"/>
      <c r="J2583" s="139"/>
      <c r="K2583" s="139"/>
    </row>
    <row r="2584" spans="1:11" ht="12.75" x14ac:dyDescent="0.2">
      <c r="A2584" s="139"/>
      <c r="B2584" s="139"/>
      <c r="C2584" s="211"/>
      <c r="D2584" s="139"/>
      <c r="E2584" s="213"/>
      <c r="F2584" s="139"/>
      <c r="G2584" s="139"/>
      <c r="H2584" s="139"/>
      <c r="I2584" s="141"/>
      <c r="J2584" s="139"/>
      <c r="K2584" s="139"/>
    </row>
    <row r="2585" spans="1:11" ht="12.75" x14ac:dyDescent="0.2">
      <c r="A2585" s="139"/>
      <c r="B2585" s="139"/>
      <c r="C2585" s="211"/>
      <c r="D2585" s="139"/>
      <c r="E2585" s="213"/>
      <c r="F2585" s="139"/>
      <c r="G2585" s="139"/>
      <c r="H2585" s="139"/>
      <c r="I2585" s="141"/>
      <c r="J2585" s="139"/>
      <c r="K2585" s="139"/>
    </row>
    <row r="2586" spans="1:11" ht="12.75" x14ac:dyDescent="0.2">
      <c r="A2586" s="139"/>
      <c r="B2586" s="139"/>
      <c r="C2586" s="211"/>
      <c r="D2586" s="139"/>
      <c r="E2586" s="213"/>
      <c r="F2586" s="139"/>
      <c r="G2586" s="139"/>
      <c r="H2586" s="139"/>
      <c r="I2586" s="141"/>
      <c r="J2586" s="139"/>
      <c r="K2586" s="139"/>
    </row>
    <row r="2587" spans="1:11" ht="12.75" x14ac:dyDescent="0.2">
      <c r="A2587" s="139"/>
      <c r="B2587" s="139"/>
      <c r="C2587" s="211"/>
      <c r="D2587" s="139"/>
      <c r="E2587" s="213"/>
      <c r="F2587" s="139"/>
      <c r="G2587" s="139"/>
      <c r="H2587" s="139"/>
      <c r="I2587" s="141"/>
      <c r="J2587" s="139"/>
      <c r="K2587" s="139"/>
    </row>
    <row r="2588" spans="1:11" ht="12.75" x14ac:dyDescent="0.2">
      <c r="A2588" s="139"/>
      <c r="B2588" s="139"/>
      <c r="C2588" s="211"/>
      <c r="D2588" s="139"/>
      <c r="E2588" s="213"/>
      <c r="F2588" s="139"/>
      <c r="G2588" s="139"/>
      <c r="H2588" s="139"/>
      <c r="I2588" s="141"/>
      <c r="J2588" s="139"/>
      <c r="K2588" s="139"/>
    </row>
    <row r="2589" spans="1:11" ht="12.75" x14ac:dyDescent="0.2">
      <c r="A2589" s="139"/>
      <c r="B2589" s="139"/>
      <c r="C2589" s="211"/>
      <c r="D2589" s="139"/>
      <c r="E2589" s="213"/>
      <c r="F2589" s="139"/>
      <c r="G2589" s="139"/>
      <c r="H2589" s="139"/>
      <c r="I2589" s="141"/>
      <c r="J2589" s="139"/>
      <c r="K2589" s="139"/>
    </row>
    <row r="2590" spans="1:11" ht="12.75" x14ac:dyDescent="0.2">
      <c r="A2590" s="139"/>
      <c r="B2590" s="139"/>
      <c r="C2590" s="211"/>
      <c r="D2590" s="139"/>
      <c r="E2590" s="213"/>
      <c r="F2590" s="139"/>
      <c r="G2590" s="139"/>
      <c r="H2590" s="139"/>
      <c r="I2590" s="141"/>
      <c r="J2590" s="139"/>
      <c r="K2590" s="139"/>
    </row>
    <row r="2591" spans="1:11" ht="12.75" x14ac:dyDescent="0.2">
      <c r="A2591" s="139"/>
      <c r="B2591" s="139"/>
      <c r="C2591" s="211"/>
      <c r="D2591" s="139"/>
      <c r="E2591" s="213"/>
      <c r="F2591" s="139"/>
      <c r="G2591" s="139"/>
      <c r="H2591" s="139"/>
      <c r="I2591" s="141"/>
      <c r="J2591" s="139"/>
      <c r="K2591" s="139"/>
    </row>
    <row r="2592" spans="1:11" ht="12.75" x14ac:dyDescent="0.2">
      <c r="A2592" s="139"/>
      <c r="B2592" s="139"/>
      <c r="C2592" s="211"/>
      <c r="D2592" s="139"/>
      <c r="E2592" s="213"/>
      <c r="F2592" s="139"/>
      <c r="G2592" s="139"/>
      <c r="H2592" s="139"/>
      <c r="I2592" s="141"/>
      <c r="J2592" s="139"/>
      <c r="K2592" s="139"/>
    </row>
    <row r="2593" spans="1:11" ht="12.75" x14ac:dyDescent="0.2">
      <c r="A2593" s="139"/>
      <c r="B2593" s="139"/>
      <c r="C2593" s="211"/>
      <c r="D2593" s="139"/>
      <c r="E2593" s="213"/>
      <c r="F2593" s="139"/>
      <c r="G2593" s="139"/>
      <c r="H2593" s="139"/>
      <c r="I2593" s="141"/>
      <c r="J2593" s="139"/>
      <c r="K2593" s="139"/>
    </row>
    <row r="2594" spans="1:11" ht="12.75" x14ac:dyDescent="0.2">
      <c r="A2594" s="139"/>
      <c r="B2594" s="139"/>
      <c r="C2594" s="211"/>
      <c r="D2594" s="139"/>
      <c r="E2594" s="213"/>
      <c r="F2594" s="139"/>
      <c r="G2594" s="139"/>
      <c r="H2594" s="139"/>
      <c r="I2594" s="141"/>
      <c r="J2594" s="139"/>
      <c r="K2594" s="139"/>
    </row>
    <row r="2595" spans="1:11" ht="12.75" x14ac:dyDescent="0.2">
      <c r="A2595" s="139"/>
      <c r="B2595" s="139"/>
      <c r="C2595" s="211"/>
      <c r="D2595" s="139"/>
      <c r="E2595" s="213"/>
      <c r="F2595" s="139"/>
      <c r="G2595" s="139"/>
      <c r="H2595" s="139"/>
      <c r="I2595" s="141"/>
      <c r="J2595" s="139"/>
      <c r="K2595" s="139"/>
    </row>
    <row r="2596" spans="1:11" ht="12.75" x14ac:dyDescent="0.2">
      <c r="A2596" s="139"/>
      <c r="B2596" s="139"/>
      <c r="C2596" s="211"/>
      <c r="D2596" s="139"/>
      <c r="E2596" s="213"/>
      <c r="F2596" s="139"/>
      <c r="G2596" s="139"/>
      <c r="H2596" s="139"/>
      <c r="I2596" s="141"/>
      <c r="J2596" s="139"/>
      <c r="K2596" s="139"/>
    </row>
    <row r="2597" spans="1:11" ht="12.75" x14ac:dyDescent="0.2">
      <c r="A2597" s="139"/>
      <c r="B2597" s="139"/>
      <c r="C2597" s="211"/>
      <c r="D2597" s="139"/>
      <c r="E2597" s="213"/>
      <c r="F2597" s="139"/>
      <c r="G2597" s="139"/>
      <c r="H2597" s="139"/>
      <c r="I2597" s="141"/>
      <c r="J2597" s="139"/>
      <c r="K2597" s="139"/>
    </row>
    <row r="2598" spans="1:11" ht="12.75" x14ac:dyDescent="0.2">
      <c r="A2598" s="139"/>
      <c r="B2598" s="139"/>
      <c r="C2598" s="211"/>
      <c r="D2598" s="139"/>
      <c r="E2598" s="213"/>
      <c r="F2598" s="139"/>
      <c r="G2598" s="139"/>
      <c r="H2598" s="139"/>
      <c r="I2598" s="141"/>
      <c r="J2598" s="139"/>
      <c r="K2598" s="139"/>
    </row>
    <row r="2599" spans="1:11" ht="12.75" x14ac:dyDescent="0.2">
      <c r="A2599" s="139"/>
      <c r="B2599" s="139"/>
      <c r="C2599" s="211"/>
      <c r="D2599" s="139"/>
      <c r="E2599" s="213"/>
      <c r="F2599" s="139"/>
      <c r="G2599" s="139"/>
      <c r="H2599" s="139"/>
      <c r="I2599" s="141"/>
      <c r="J2599" s="139"/>
      <c r="K2599" s="139"/>
    </row>
    <row r="2600" spans="1:11" ht="12.75" x14ac:dyDescent="0.2">
      <c r="A2600" s="139"/>
      <c r="B2600" s="139"/>
      <c r="C2600" s="211"/>
      <c r="D2600" s="139"/>
      <c r="E2600" s="213"/>
      <c r="F2600" s="139"/>
      <c r="G2600" s="139"/>
      <c r="H2600" s="139"/>
      <c r="I2600" s="141"/>
      <c r="J2600" s="139"/>
      <c r="K2600" s="139"/>
    </row>
    <row r="2601" spans="1:11" ht="12.75" x14ac:dyDescent="0.2">
      <c r="A2601" s="139"/>
      <c r="B2601" s="139"/>
      <c r="C2601" s="211"/>
      <c r="D2601" s="139"/>
      <c r="E2601" s="213"/>
      <c r="F2601" s="139"/>
      <c r="G2601" s="139"/>
      <c r="H2601" s="139"/>
      <c r="I2601" s="141"/>
      <c r="J2601" s="139"/>
      <c r="K2601" s="139"/>
    </row>
    <row r="2602" spans="1:11" ht="12.75" x14ac:dyDescent="0.2">
      <c r="A2602" s="139"/>
      <c r="B2602" s="139"/>
      <c r="C2602" s="211"/>
      <c r="D2602" s="139"/>
      <c r="E2602" s="213"/>
      <c r="F2602" s="139"/>
      <c r="G2602" s="139"/>
      <c r="H2602" s="139"/>
      <c r="I2602" s="141"/>
      <c r="J2602" s="139"/>
      <c r="K2602" s="139"/>
    </row>
    <row r="2603" spans="1:11" ht="12.75" x14ac:dyDescent="0.2">
      <c r="A2603" s="139"/>
      <c r="B2603" s="139"/>
      <c r="C2603" s="211"/>
      <c r="D2603" s="139"/>
      <c r="E2603" s="213"/>
      <c r="F2603" s="139"/>
      <c r="G2603" s="139"/>
      <c r="H2603" s="139"/>
      <c r="I2603" s="141"/>
      <c r="J2603" s="139"/>
      <c r="K2603" s="139"/>
    </row>
    <row r="2604" spans="1:11" ht="12.75" x14ac:dyDescent="0.2">
      <c r="A2604" s="139"/>
      <c r="B2604" s="139"/>
      <c r="C2604" s="211"/>
      <c r="D2604" s="139"/>
      <c r="E2604" s="213"/>
      <c r="F2604" s="139"/>
      <c r="G2604" s="139"/>
      <c r="H2604" s="139"/>
      <c r="I2604" s="141"/>
      <c r="J2604" s="139"/>
      <c r="K2604" s="139"/>
    </row>
    <row r="2605" spans="1:11" ht="12.75" x14ac:dyDescent="0.2">
      <c r="A2605" s="139"/>
      <c r="B2605" s="139"/>
      <c r="C2605" s="211"/>
      <c r="D2605" s="139"/>
      <c r="E2605" s="213"/>
      <c r="F2605" s="139"/>
      <c r="G2605" s="139"/>
      <c r="H2605" s="139"/>
      <c r="I2605" s="141"/>
      <c r="J2605" s="139"/>
      <c r="K2605" s="139"/>
    </row>
    <row r="2606" spans="1:11" ht="12.75" x14ac:dyDescent="0.2">
      <c r="A2606" s="139"/>
      <c r="B2606" s="139"/>
      <c r="C2606" s="211"/>
      <c r="D2606" s="139"/>
      <c r="E2606" s="213"/>
      <c r="F2606" s="139"/>
      <c r="G2606" s="139"/>
      <c r="H2606" s="139"/>
      <c r="I2606" s="141"/>
      <c r="J2606" s="139"/>
      <c r="K2606" s="139"/>
    </row>
    <row r="2607" spans="1:11" ht="12.75" x14ac:dyDescent="0.2">
      <c r="A2607" s="139"/>
      <c r="B2607" s="139"/>
      <c r="C2607" s="211"/>
      <c r="D2607" s="139"/>
      <c r="E2607" s="213"/>
      <c r="F2607" s="139"/>
      <c r="G2607" s="139"/>
      <c r="H2607" s="139"/>
      <c r="I2607" s="141"/>
      <c r="J2607" s="139"/>
      <c r="K2607" s="139"/>
    </row>
    <row r="2608" spans="1:11" ht="12.75" x14ac:dyDescent="0.2">
      <c r="A2608" s="139"/>
      <c r="B2608" s="139"/>
      <c r="C2608" s="211"/>
      <c r="D2608" s="139"/>
      <c r="E2608" s="213"/>
      <c r="F2608" s="139"/>
      <c r="G2608" s="139"/>
      <c r="H2608" s="139"/>
      <c r="I2608" s="141"/>
      <c r="J2608" s="139"/>
      <c r="K2608" s="139"/>
    </row>
    <row r="2609" spans="1:11" ht="12.75" x14ac:dyDescent="0.2">
      <c r="A2609" s="139"/>
      <c r="B2609" s="139"/>
      <c r="C2609" s="211"/>
      <c r="D2609" s="139"/>
      <c r="E2609" s="213"/>
      <c r="F2609" s="139"/>
      <c r="G2609" s="139"/>
      <c r="H2609" s="139"/>
      <c r="I2609" s="141"/>
      <c r="J2609" s="139"/>
      <c r="K2609" s="139"/>
    </row>
    <row r="2610" spans="1:11" ht="12.75" x14ac:dyDescent="0.2">
      <c r="A2610" s="139"/>
      <c r="B2610" s="139"/>
      <c r="C2610" s="211"/>
      <c r="D2610" s="139"/>
      <c r="E2610" s="213"/>
      <c r="F2610" s="139"/>
      <c r="G2610" s="139"/>
      <c r="H2610" s="139"/>
      <c r="I2610" s="141"/>
      <c r="J2610" s="139"/>
      <c r="K2610" s="139"/>
    </row>
    <row r="2611" spans="1:11" ht="12.75" x14ac:dyDescent="0.2">
      <c r="A2611" s="139"/>
      <c r="B2611" s="139"/>
      <c r="C2611" s="211"/>
      <c r="D2611" s="139"/>
      <c r="E2611" s="213"/>
      <c r="F2611" s="139"/>
      <c r="G2611" s="139"/>
      <c r="H2611" s="139"/>
      <c r="I2611" s="141"/>
      <c r="J2611" s="139"/>
      <c r="K2611" s="139"/>
    </row>
    <row r="2612" spans="1:11" ht="12.75" x14ac:dyDescent="0.2">
      <c r="A2612" s="139"/>
      <c r="B2612" s="139"/>
      <c r="C2612" s="211"/>
      <c r="D2612" s="139"/>
      <c r="E2612" s="213"/>
      <c r="F2612" s="139"/>
      <c r="G2612" s="139"/>
      <c r="H2612" s="139"/>
      <c r="I2612" s="141"/>
      <c r="J2612" s="139"/>
      <c r="K2612" s="139"/>
    </row>
    <row r="2613" spans="1:11" ht="12.75" x14ac:dyDescent="0.2">
      <c r="A2613" s="139"/>
      <c r="B2613" s="139"/>
      <c r="C2613" s="211"/>
      <c r="D2613" s="139"/>
      <c r="E2613" s="213"/>
      <c r="F2613" s="139"/>
      <c r="G2613" s="139"/>
      <c r="H2613" s="139"/>
      <c r="I2613" s="141"/>
      <c r="J2613" s="139"/>
      <c r="K2613" s="139"/>
    </row>
    <row r="2614" spans="1:11" ht="12.75" x14ac:dyDescent="0.2">
      <c r="A2614" s="139"/>
      <c r="B2614" s="139"/>
      <c r="C2614" s="211"/>
      <c r="D2614" s="139"/>
      <c r="E2614" s="213"/>
      <c r="F2614" s="139"/>
      <c r="G2614" s="139"/>
      <c r="H2614" s="139"/>
      <c r="I2614" s="141"/>
      <c r="J2614" s="139"/>
      <c r="K2614" s="139"/>
    </row>
    <row r="2615" spans="1:11" ht="12.75" x14ac:dyDescent="0.2">
      <c r="A2615" s="139"/>
      <c r="B2615" s="139"/>
      <c r="C2615" s="211"/>
      <c r="D2615" s="139"/>
      <c r="E2615" s="213"/>
      <c r="F2615" s="139"/>
      <c r="G2615" s="139"/>
      <c r="H2615" s="139"/>
      <c r="I2615" s="141"/>
      <c r="J2615" s="139"/>
      <c r="K2615" s="139"/>
    </row>
    <row r="2616" spans="1:11" ht="12.75" x14ac:dyDescent="0.2">
      <c r="A2616" s="139"/>
      <c r="B2616" s="139"/>
      <c r="C2616" s="211"/>
      <c r="D2616" s="139"/>
      <c r="E2616" s="213"/>
      <c r="F2616" s="139"/>
      <c r="G2616" s="139"/>
      <c r="H2616" s="139"/>
      <c r="I2616" s="141"/>
      <c r="J2616" s="139"/>
      <c r="K2616" s="139"/>
    </row>
    <row r="2617" spans="1:11" ht="12.75" x14ac:dyDescent="0.2">
      <c r="A2617" s="139"/>
      <c r="B2617" s="139"/>
      <c r="C2617" s="211"/>
      <c r="D2617" s="139"/>
      <c r="E2617" s="213"/>
      <c r="F2617" s="139"/>
      <c r="G2617" s="139"/>
      <c r="H2617" s="139"/>
      <c r="I2617" s="141"/>
      <c r="J2617" s="139"/>
      <c r="K2617" s="139"/>
    </row>
    <row r="2618" spans="1:11" ht="12.75" x14ac:dyDescent="0.2">
      <c r="A2618" s="139"/>
      <c r="B2618" s="139"/>
      <c r="C2618" s="211"/>
      <c r="D2618" s="139"/>
      <c r="E2618" s="213"/>
      <c r="F2618" s="139"/>
      <c r="G2618" s="139"/>
      <c r="H2618" s="139"/>
      <c r="I2618" s="141"/>
      <c r="J2618" s="139"/>
      <c r="K2618" s="139"/>
    </row>
    <row r="2619" spans="1:11" ht="12.75" x14ac:dyDescent="0.2">
      <c r="A2619" s="139"/>
      <c r="B2619" s="139"/>
      <c r="C2619" s="211"/>
      <c r="D2619" s="139"/>
      <c r="E2619" s="213"/>
      <c r="F2619" s="139"/>
      <c r="G2619" s="139"/>
      <c r="H2619" s="139"/>
      <c r="I2619" s="141"/>
      <c r="J2619" s="139"/>
      <c r="K2619" s="139"/>
    </row>
    <row r="2620" spans="1:11" ht="12.75" x14ac:dyDescent="0.2">
      <c r="A2620" s="139"/>
      <c r="B2620" s="139"/>
      <c r="C2620" s="211"/>
      <c r="D2620" s="139"/>
      <c r="E2620" s="213"/>
      <c r="F2620" s="139"/>
      <c r="G2620" s="139"/>
      <c r="H2620" s="139"/>
      <c r="I2620" s="141"/>
      <c r="J2620" s="139"/>
      <c r="K2620" s="139"/>
    </row>
    <row r="2621" spans="1:11" ht="12.75" x14ac:dyDescent="0.2">
      <c r="A2621" s="139"/>
      <c r="B2621" s="139"/>
      <c r="C2621" s="211"/>
      <c r="D2621" s="139"/>
      <c r="E2621" s="213"/>
      <c r="F2621" s="139"/>
      <c r="G2621" s="139"/>
      <c r="H2621" s="139"/>
      <c r="I2621" s="141"/>
      <c r="J2621" s="139"/>
      <c r="K2621" s="139"/>
    </row>
    <row r="2622" spans="1:11" ht="12.75" x14ac:dyDescent="0.2">
      <c r="A2622" s="139"/>
      <c r="B2622" s="139"/>
      <c r="C2622" s="211"/>
      <c r="D2622" s="139"/>
      <c r="E2622" s="213"/>
      <c r="F2622" s="139"/>
      <c r="G2622" s="139"/>
      <c r="H2622" s="139"/>
      <c r="I2622" s="141"/>
      <c r="J2622" s="139"/>
      <c r="K2622" s="139"/>
    </row>
    <row r="2623" spans="1:11" ht="12.75" x14ac:dyDescent="0.2">
      <c r="A2623" s="139"/>
      <c r="B2623" s="139"/>
      <c r="C2623" s="211"/>
      <c r="D2623" s="139"/>
      <c r="E2623" s="213"/>
      <c r="F2623" s="139"/>
      <c r="G2623" s="139"/>
      <c r="H2623" s="139"/>
      <c r="I2623" s="141"/>
      <c r="J2623" s="139"/>
      <c r="K2623" s="139"/>
    </row>
    <row r="2624" spans="1:11" ht="12.75" x14ac:dyDescent="0.2">
      <c r="A2624" s="139"/>
      <c r="B2624" s="139"/>
      <c r="C2624" s="211"/>
      <c r="D2624" s="139"/>
      <c r="E2624" s="213"/>
      <c r="F2624" s="139"/>
      <c r="G2624" s="139"/>
      <c r="H2624" s="139"/>
      <c r="I2624" s="141"/>
      <c r="J2624" s="139"/>
      <c r="K2624" s="139"/>
    </row>
    <row r="2625" spans="1:11" ht="12.75" x14ac:dyDescent="0.2">
      <c r="A2625" s="139"/>
      <c r="B2625" s="139"/>
      <c r="C2625" s="211"/>
      <c r="D2625" s="139"/>
      <c r="E2625" s="213"/>
      <c r="F2625" s="139"/>
      <c r="G2625" s="139"/>
      <c r="H2625" s="139"/>
      <c r="I2625" s="141"/>
      <c r="J2625" s="139"/>
      <c r="K2625" s="139"/>
    </row>
    <row r="2626" spans="1:11" ht="12.75" x14ac:dyDescent="0.2">
      <c r="A2626" s="139"/>
      <c r="B2626" s="139"/>
      <c r="C2626" s="211"/>
      <c r="D2626" s="139"/>
      <c r="E2626" s="213"/>
      <c r="F2626" s="139"/>
      <c r="G2626" s="139"/>
      <c r="H2626" s="139"/>
      <c r="I2626" s="141"/>
      <c r="J2626" s="139"/>
      <c r="K2626" s="139"/>
    </row>
    <row r="2627" spans="1:11" ht="12.75" x14ac:dyDescent="0.2">
      <c r="A2627" s="139"/>
      <c r="B2627" s="139"/>
      <c r="C2627" s="211"/>
      <c r="D2627" s="139"/>
      <c r="E2627" s="213"/>
      <c r="F2627" s="139"/>
      <c r="G2627" s="139"/>
      <c r="H2627" s="139"/>
      <c r="I2627" s="141"/>
      <c r="J2627" s="139"/>
      <c r="K2627" s="139"/>
    </row>
    <row r="2628" spans="1:11" ht="12.75" x14ac:dyDescent="0.2">
      <c r="A2628" s="139"/>
      <c r="B2628" s="139"/>
      <c r="C2628" s="211"/>
      <c r="D2628" s="139"/>
      <c r="E2628" s="213"/>
      <c r="F2628" s="139"/>
      <c r="G2628" s="139"/>
      <c r="H2628" s="139"/>
      <c r="I2628" s="141"/>
      <c r="J2628" s="139"/>
      <c r="K2628" s="139"/>
    </row>
    <row r="2629" spans="1:11" ht="12.75" x14ac:dyDescent="0.2">
      <c r="A2629" s="139"/>
      <c r="B2629" s="139"/>
      <c r="C2629" s="211"/>
      <c r="D2629" s="139"/>
      <c r="E2629" s="213"/>
      <c r="F2629" s="139"/>
      <c r="G2629" s="139"/>
      <c r="H2629" s="139"/>
      <c r="I2629" s="141"/>
      <c r="J2629" s="139"/>
      <c r="K2629" s="139"/>
    </row>
    <row r="2630" spans="1:11" ht="12.75" x14ac:dyDescent="0.2">
      <c r="A2630" s="139"/>
      <c r="B2630" s="139"/>
      <c r="C2630" s="211"/>
      <c r="D2630" s="139"/>
      <c r="E2630" s="213"/>
      <c r="F2630" s="139"/>
      <c r="G2630" s="139"/>
      <c r="H2630" s="139"/>
      <c r="I2630" s="141"/>
      <c r="J2630" s="139"/>
      <c r="K2630" s="139"/>
    </row>
    <row r="2631" spans="1:11" ht="12.75" x14ac:dyDescent="0.2">
      <c r="A2631" s="139"/>
      <c r="B2631" s="139"/>
      <c r="C2631" s="211"/>
      <c r="D2631" s="139"/>
      <c r="E2631" s="213"/>
      <c r="F2631" s="139"/>
      <c r="G2631" s="139"/>
      <c r="H2631" s="139"/>
      <c r="I2631" s="141"/>
      <c r="J2631" s="139"/>
      <c r="K2631" s="139"/>
    </row>
    <row r="2632" spans="1:11" ht="12.75" x14ac:dyDescent="0.2">
      <c r="A2632" s="139"/>
      <c r="B2632" s="139"/>
      <c r="C2632" s="211"/>
      <c r="D2632" s="139"/>
      <c r="E2632" s="213"/>
      <c r="F2632" s="139"/>
      <c r="G2632" s="139"/>
      <c r="H2632" s="139"/>
      <c r="I2632" s="141"/>
      <c r="J2632" s="139"/>
      <c r="K2632" s="139"/>
    </row>
    <row r="2633" spans="1:11" ht="12.75" x14ac:dyDescent="0.2">
      <c r="A2633" s="139"/>
      <c r="B2633" s="139"/>
      <c r="C2633" s="211"/>
      <c r="D2633" s="139"/>
      <c r="E2633" s="213"/>
      <c r="F2633" s="139"/>
      <c r="G2633" s="139"/>
      <c r="H2633" s="139"/>
      <c r="I2633" s="141"/>
      <c r="J2633" s="139"/>
      <c r="K2633" s="139"/>
    </row>
    <row r="2634" spans="1:11" ht="12.75" x14ac:dyDescent="0.2">
      <c r="A2634" s="139"/>
      <c r="B2634" s="139"/>
      <c r="C2634" s="211"/>
      <c r="D2634" s="139"/>
      <c r="E2634" s="213"/>
      <c r="F2634" s="139"/>
      <c r="G2634" s="139"/>
      <c r="H2634" s="139"/>
      <c r="I2634" s="141"/>
      <c r="J2634" s="139"/>
      <c r="K2634" s="139"/>
    </row>
    <row r="2635" spans="1:11" ht="12.75" x14ac:dyDescent="0.2">
      <c r="A2635" s="139"/>
      <c r="B2635" s="139"/>
      <c r="C2635" s="211"/>
      <c r="D2635" s="139"/>
      <c r="E2635" s="213"/>
      <c r="F2635" s="139"/>
      <c r="G2635" s="139"/>
      <c r="H2635" s="139"/>
      <c r="I2635" s="141"/>
      <c r="J2635" s="139"/>
      <c r="K2635" s="139"/>
    </row>
    <row r="2636" spans="1:11" ht="12.75" x14ac:dyDescent="0.2">
      <c r="A2636" s="139"/>
      <c r="B2636" s="139"/>
      <c r="C2636" s="211"/>
      <c r="D2636" s="139"/>
      <c r="E2636" s="213"/>
      <c r="F2636" s="139"/>
      <c r="G2636" s="139"/>
      <c r="H2636" s="139"/>
      <c r="I2636" s="141"/>
      <c r="J2636" s="139"/>
      <c r="K2636" s="139"/>
    </row>
    <row r="2637" spans="1:11" ht="12.75" x14ac:dyDescent="0.2">
      <c r="A2637" s="139"/>
      <c r="B2637" s="139"/>
      <c r="C2637" s="211"/>
      <c r="D2637" s="139"/>
      <c r="E2637" s="213"/>
      <c r="F2637" s="139"/>
      <c r="G2637" s="139"/>
      <c r="H2637" s="139"/>
      <c r="I2637" s="141"/>
      <c r="J2637" s="139"/>
      <c r="K2637" s="139"/>
    </row>
    <row r="2638" spans="1:11" ht="12.75" x14ac:dyDescent="0.2">
      <c r="A2638" s="139"/>
      <c r="B2638" s="139"/>
      <c r="C2638" s="211"/>
      <c r="D2638" s="139"/>
      <c r="E2638" s="213"/>
      <c r="F2638" s="139"/>
      <c r="G2638" s="139"/>
      <c r="H2638" s="139"/>
      <c r="I2638" s="141"/>
      <c r="J2638" s="139"/>
      <c r="K2638" s="139"/>
    </row>
    <row r="2639" spans="1:11" ht="12.75" x14ac:dyDescent="0.2">
      <c r="A2639" s="139"/>
      <c r="B2639" s="139"/>
      <c r="C2639" s="211"/>
      <c r="D2639" s="139"/>
      <c r="E2639" s="213"/>
      <c r="F2639" s="139"/>
      <c r="G2639" s="139"/>
      <c r="H2639" s="139"/>
      <c r="I2639" s="141"/>
      <c r="J2639" s="139"/>
      <c r="K2639" s="139"/>
    </row>
    <row r="2640" spans="1:11" ht="12.75" x14ac:dyDescent="0.2">
      <c r="A2640" s="139"/>
      <c r="B2640" s="139"/>
      <c r="C2640" s="211"/>
      <c r="D2640" s="139"/>
      <c r="E2640" s="213"/>
      <c r="F2640" s="139"/>
      <c r="G2640" s="139"/>
      <c r="H2640" s="139"/>
      <c r="I2640" s="141"/>
      <c r="J2640" s="139"/>
      <c r="K2640" s="139"/>
    </row>
    <row r="2641" spans="1:11" ht="12.75" x14ac:dyDescent="0.2">
      <c r="A2641" s="139"/>
      <c r="B2641" s="139"/>
      <c r="C2641" s="211"/>
      <c r="D2641" s="139"/>
      <c r="E2641" s="213"/>
      <c r="F2641" s="139"/>
      <c r="G2641" s="139"/>
      <c r="H2641" s="139"/>
      <c r="I2641" s="141"/>
      <c r="J2641" s="139"/>
      <c r="K2641" s="139"/>
    </row>
    <row r="2642" spans="1:11" ht="12.75" x14ac:dyDescent="0.2">
      <c r="A2642" s="139"/>
      <c r="B2642" s="139"/>
      <c r="C2642" s="211"/>
      <c r="D2642" s="139"/>
      <c r="E2642" s="213"/>
      <c r="F2642" s="139"/>
      <c r="G2642" s="139"/>
      <c r="H2642" s="139"/>
      <c r="I2642" s="141"/>
      <c r="J2642" s="139"/>
      <c r="K2642" s="139"/>
    </row>
    <row r="2643" spans="1:11" ht="12.75" x14ac:dyDescent="0.2">
      <c r="A2643" s="139"/>
      <c r="B2643" s="139"/>
      <c r="C2643" s="211"/>
      <c r="D2643" s="139"/>
      <c r="E2643" s="213"/>
      <c r="F2643" s="139"/>
      <c r="G2643" s="139"/>
      <c r="H2643" s="139"/>
      <c r="I2643" s="141"/>
      <c r="J2643" s="139"/>
      <c r="K2643" s="139"/>
    </row>
    <row r="2644" spans="1:11" ht="12.75" x14ac:dyDescent="0.2">
      <c r="A2644" s="139"/>
      <c r="B2644" s="139"/>
      <c r="C2644" s="211"/>
      <c r="D2644" s="139"/>
      <c r="E2644" s="213"/>
      <c r="F2644" s="139"/>
      <c r="G2644" s="139"/>
      <c r="H2644" s="139"/>
      <c r="I2644" s="141"/>
      <c r="J2644" s="139"/>
      <c r="K2644" s="139"/>
    </row>
    <row r="2645" spans="1:11" ht="12.75" x14ac:dyDescent="0.2">
      <c r="A2645" s="139"/>
      <c r="B2645" s="139"/>
      <c r="C2645" s="211"/>
      <c r="D2645" s="139"/>
      <c r="E2645" s="213"/>
      <c r="F2645" s="139"/>
      <c r="G2645" s="139"/>
      <c r="H2645" s="139"/>
      <c r="I2645" s="141"/>
      <c r="J2645" s="139"/>
      <c r="K2645" s="139"/>
    </row>
    <row r="2646" spans="1:11" ht="12.75" x14ac:dyDescent="0.2">
      <c r="A2646" s="139"/>
      <c r="B2646" s="139"/>
      <c r="C2646" s="211"/>
      <c r="D2646" s="139"/>
      <c r="E2646" s="213"/>
      <c r="F2646" s="139"/>
      <c r="G2646" s="139"/>
      <c r="H2646" s="139"/>
      <c r="I2646" s="141"/>
      <c r="J2646" s="139"/>
      <c r="K2646" s="139"/>
    </row>
    <row r="2647" spans="1:11" ht="12.75" x14ac:dyDescent="0.2">
      <c r="A2647" s="139"/>
      <c r="B2647" s="139"/>
      <c r="C2647" s="211"/>
      <c r="D2647" s="139"/>
      <c r="E2647" s="213"/>
      <c r="F2647" s="139"/>
      <c r="G2647" s="139"/>
      <c r="H2647" s="139"/>
      <c r="I2647" s="141"/>
      <c r="J2647" s="139"/>
      <c r="K2647" s="139"/>
    </row>
    <row r="2648" spans="1:11" ht="12.75" x14ac:dyDescent="0.2">
      <c r="A2648" s="139"/>
      <c r="B2648" s="139"/>
      <c r="C2648" s="211"/>
      <c r="D2648" s="139"/>
      <c r="E2648" s="213"/>
      <c r="F2648" s="139"/>
      <c r="G2648" s="139"/>
      <c r="H2648" s="139"/>
      <c r="I2648" s="141"/>
      <c r="J2648" s="139"/>
      <c r="K2648" s="139"/>
    </row>
    <row r="2649" spans="1:11" ht="12.75" x14ac:dyDescent="0.2">
      <c r="A2649" s="139"/>
      <c r="B2649" s="139"/>
      <c r="C2649" s="211"/>
      <c r="D2649" s="139"/>
      <c r="E2649" s="213"/>
      <c r="F2649" s="139"/>
      <c r="G2649" s="139"/>
      <c r="H2649" s="139"/>
      <c r="I2649" s="141"/>
      <c r="J2649" s="139"/>
      <c r="K2649" s="139"/>
    </row>
    <row r="2650" spans="1:11" ht="12.75" x14ac:dyDescent="0.2">
      <c r="A2650" s="139"/>
      <c r="B2650" s="139"/>
      <c r="C2650" s="211"/>
      <c r="D2650" s="139"/>
      <c r="E2650" s="213"/>
      <c r="F2650" s="139"/>
      <c r="G2650" s="139"/>
      <c r="H2650" s="139"/>
      <c r="I2650" s="141"/>
      <c r="J2650" s="139"/>
      <c r="K2650" s="139"/>
    </row>
    <row r="2651" spans="1:11" ht="12.75" x14ac:dyDescent="0.2">
      <c r="A2651" s="139"/>
      <c r="B2651" s="139"/>
      <c r="C2651" s="211"/>
      <c r="D2651" s="139"/>
      <c r="E2651" s="213"/>
      <c r="F2651" s="139"/>
      <c r="G2651" s="139"/>
      <c r="H2651" s="139"/>
      <c r="I2651" s="141"/>
      <c r="J2651" s="139"/>
      <c r="K2651" s="139"/>
    </row>
    <row r="2652" spans="1:11" ht="12.75" x14ac:dyDescent="0.2">
      <c r="A2652" s="139"/>
      <c r="B2652" s="139"/>
      <c r="C2652" s="211"/>
      <c r="D2652" s="139"/>
      <c r="E2652" s="213"/>
      <c r="F2652" s="139"/>
      <c r="G2652" s="139"/>
      <c r="H2652" s="139"/>
      <c r="I2652" s="141"/>
      <c r="J2652" s="139"/>
      <c r="K2652" s="139"/>
    </row>
    <row r="2653" spans="1:11" ht="12.75" x14ac:dyDescent="0.2">
      <c r="A2653" s="139"/>
      <c r="B2653" s="139"/>
      <c r="C2653" s="211"/>
      <c r="D2653" s="139"/>
      <c r="E2653" s="213"/>
      <c r="F2653" s="139"/>
      <c r="G2653" s="139"/>
      <c r="H2653" s="139"/>
      <c r="I2653" s="141"/>
      <c r="J2653" s="139"/>
      <c r="K2653" s="139"/>
    </row>
    <row r="2654" spans="1:11" ht="12.75" x14ac:dyDescent="0.2">
      <c r="A2654" s="139"/>
      <c r="B2654" s="139"/>
      <c r="C2654" s="211"/>
      <c r="D2654" s="139"/>
      <c r="E2654" s="213"/>
      <c r="F2654" s="139"/>
      <c r="G2654" s="139"/>
      <c r="H2654" s="139"/>
      <c r="I2654" s="141"/>
      <c r="J2654" s="139"/>
      <c r="K2654" s="139"/>
    </row>
    <row r="2655" spans="1:11" ht="12.75" x14ac:dyDescent="0.2">
      <c r="A2655" s="139"/>
      <c r="B2655" s="139"/>
      <c r="C2655" s="211"/>
      <c r="D2655" s="139"/>
      <c r="E2655" s="213"/>
      <c r="F2655" s="139"/>
      <c r="G2655" s="139"/>
      <c r="H2655" s="139"/>
      <c r="I2655" s="141"/>
      <c r="J2655" s="139"/>
      <c r="K2655" s="139"/>
    </row>
    <row r="2656" spans="1:11" ht="12.75" x14ac:dyDescent="0.2">
      <c r="A2656" s="139"/>
      <c r="B2656" s="139"/>
      <c r="C2656" s="211"/>
      <c r="D2656" s="139"/>
      <c r="E2656" s="213"/>
      <c r="F2656" s="139"/>
      <c r="G2656" s="139"/>
      <c r="H2656" s="139"/>
      <c r="I2656" s="141"/>
      <c r="J2656" s="139"/>
      <c r="K2656" s="139"/>
    </row>
    <row r="2657" spans="1:11" ht="12.75" x14ac:dyDescent="0.2">
      <c r="A2657" s="139"/>
      <c r="B2657" s="139"/>
      <c r="C2657" s="211"/>
      <c r="D2657" s="139"/>
      <c r="E2657" s="213"/>
      <c r="F2657" s="139"/>
      <c r="G2657" s="139"/>
      <c r="H2657" s="139"/>
      <c r="I2657" s="141"/>
      <c r="J2657" s="139"/>
      <c r="K2657" s="139"/>
    </row>
    <row r="2658" spans="1:11" ht="12.75" x14ac:dyDescent="0.2">
      <c r="A2658" s="139"/>
      <c r="B2658" s="139"/>
      <c r="C2658" s="211"/>
      <c r="D2658" s="139"/>
      <c r="E2658" s="213"/>
      <c r="F2658" s="139"/>
      <c r="G2658" s="139"/>
      <c r="H2658" s="139"/>
      <c r="I2658" s="141"/>
      <c r="J2658" s="139"/>
      <c r="K2658" s="139"/>
    </row>
    <row r="2659" spans="1:11" ht="12.75" x14ac:dyDescent="0.2">
      <c r="A2659" s="139"/>
      <c r="B2659" s="139"/>
      <c r="C2659" s="211"/>
      <c r="D2659" s="139"/>
      <c r="E2659" s="213"/>
      <c r="F2659" s="139"/>
      <c r="G2659" s="139"/>
      <c r="H2659" s="139"/>
      <c r="I2659" s="141"/>
      <c r="J2659" s="139"/>
      <c r="K2659" s="139"/>
    </row>
    <row r="2660" spans="1:11" ht="12.75" x14ac:dyDescent="0.2">
      <c r="A2660" s="139"/>
      <c r="B2660" s="139"/>
      <c r="C2660" s="211"/>
      <c r="D2660" s="139"/>
      <c r="E2660" s="213"/>
      <c r="F2660" s="139"/>
      <c r="G2660" s="139"/>
      <c r="H2660" s="139"/>
      <c r="I2660" s="141"/>
      <c r="J2660" s="139"/>
      <c r="K2660" s="139"/>
    </row>
    <row r="2661" spans="1:11" ht="12.75" x14ac:dyDescent="0.2">
      <c r="A2661" s="139"/>
      <c r="B2661" s="139"/>
      <c r="C2661" s="211"/>
      <c r="D2661" s="139"/>
      <c r="E2661" s="213"/>
      <c r="F2661" s="139"/>
      <c r="G2661" s="139"/>
      <c r="H2661" s="139"/>
      <c r="I2661" s="141"/>
      <c r="J2661" s="139"/>
      <c r="K2661" s="139"/>
    </row>
    <row r="2662" spans="1:11" ht="12.75" x14ac:dyDescent="0.2">
      <c r="A2662" s="139"/>
      <c r="B2662" s="139"/>
      <c r="C2662" s="211"/>
      <c r="D2662" s="139"/>
      <c r="E2662" s="213"/>
      <c r="F2662" s="139"/>
      <c r="G2662" s="139"/>
      <c r="H2662" s="139"/>
      <c r="I2662" s="141"/>
      <c r="J2662" s="139"/>
      <c r="K2662" s="139"/>
    </row>
    <row r="2663" spans="1:11" ht="12.75" x14ac:dyDescent="0.2">
      <c r="A2663" s="139"/>
      <c r="B2663" s="139"/>
      <c r="C2663" s="211"/>
      <c r="D2663" s="139"/>
      <c r="E2663" s="213"/>
      <c r="F2663" s="139"/>
      <c r="G2663" s="139"/>
      <c r="H2663" s="139"/>
      <c r="I2663" s="141"/>
      <c r="J2663" s="139"/>
      <c r="K2663" s="139"/>
    </row>
    <row r="2664" spans="1:11" ht="12.75" x14ac:dyDescent="0.2">
      <c r="A2664" s="139"/>
      <c r="B2664" s="139"/>
      <c r="C2664" s="211"/>
      <c r="D2664" s="139"/>
      <c r="E2664" s="213"/>
      <c r="F2664" s="139"/>
      <c r="G2664" s="139"/>
      <c r="H2664" s="139"/>
      <c r="I2664" s="141"/>
      <c r="J2664" s="139"/>
      <c r="K2664" s="139"/>
    </row>
    <row r="2665" spans="1:11" ht="12.75" x14ac:dyDescent="0.2">
      <c r="A2665" s="139"/>
      <c r="B2665" s="139"/>
      <c r="C2665" s="211"/>
      <c r="D2665" s="139"/>
      <c r="E2665" s="213"/>
      <c r="F2665" s="139"/>
      <c r="G2665" s="139"/>
      <c r="H2665" s="139"/>
      <c r="I2665" s="141"/>
      <c r="J2665" s="139"/>
      <c r="K2665" s="139"/>
    </row>
    <row r="2666" spans="1:11" ht="12.75" x14ac:dyDescent="0.2">
      <c r="A2666" s="139"/>
      <c r="B2666" s="139"/>
      <c r="C2666" s="211"/>
      <c r="D2666" s="139"/>
      <c r="E2666" s="213"/>
      <c r="F2666" s="139"/>
      <c r="G2666" s="139"/>
      <c r="H2666" s="139"/>
      <c r="I2666" s="141"/>
      <c r="J2666" s="139"/>
      <c r="K2666" s="139"/>
    </row>
    <row r="2667" spans="1:11" ht="12.75" x14ac:dyDescent="0.2">
      <c r="A2667" s="139"/>
      <c r="B2667" s="139"/>
      <c r="C2667" s="211"/>
      <c r="D2667" s="139"/>
      <c r="E2667" s="213"/>
      <c r="F2667" s="139"/>
      <c r="G2667" s="139"/>
      <c r="H2667" s="139"/>
      <c r="I2667" s="141"/>
      <c r="J2667" s="139"/>
      <c r="K2667" s="139"/>
    </row>
    <row r="2668" spans="1:11" ht="12.75" x14ac:dyDescent="0.2">
      <c r="A2668" s="139"/>
      <c r="B2668" s="139"/>
      <c r="C2668" s="211"/>
      <c r="D2668" s="139"/>
      <c r="E2668" s="213"/>
      <c r="F2668" s="139"/>
      <c r="G2668" s="139"/>
      <c r="H2668" s="139"/>
      <c r="I2668" s="141"/>
      <c r="J2668" s="139"/>
      <c r="K2668" s="139"/>
    </row>
    <row r="2669" spans="1:11" ht="12.75" x14ac:dyDescent="0.2">
      <c r="A2669" s="139"/>
      <c r="B2669" s="139"/>
      <c r="C2669" s="211"/>
      <c r="D2669" s="139"/>
      <c r="E2669" s="213"/>
      <c r="F2669" s="139"/>
      <c r="G2669" s="139"/>
      <c r="H2669" s="139"/>
      <c r="I2669" s="141"/>
      <c r="J2669" s="139"/>
      <c r="K2669" s="139"/>
    </row>
    <row r="2670" spans="1:11" ht="12.75" x14ac:dyDescent="0.2">
      <c r="A2670" s="139"/>
      <c r="B2670" s="139"/>
      <c r="C2670" s="211"/>
      <c r="D2670" s="139"/>
      <c r="E2670" s="213"/>
      <c r="F2670" s="139"/>
      <c r="G2670" s="139"/>
      <c r="H2670" s="139"/>
      <c r="I2670" s="141"/>
      <c r="J2670" s="139"/>
      <c r="K2670" s="139"/>
    </row>
    <row r="2671" spans="1:11" ht="12.75" x14ac:dyDescent="0.2">
      <c r="A2671" s="139"/>
      <c r="B2671" s="139"/>
      <c r="C2671" s="211"/>
      <c r="D2671" s="139"/>
      <c r="E2671" s="213"/>
      <c r="F2671" s="139"/>
      <c r="G2671" s="139"/>
      <c r="H2671" s="139"/>
      <c r="I2671" s="141"/>
      <c r="J2671" s="139"/>
      <c r="K2671" s="139"/>
    </row>
    <row r="2672" spans="1:11" ht="12.75" x14ac:dyDescent="0.2">
      <c r="A2672" s="139"/>
      <c r="B2672" s="139"/>
      <c r="C2672" s="211"/>
      <c r="D2672" s="139"/>
      <c r="E2672" s="213"/>
      <c r="F2672" s="139"/>
      <c r="G2672" s="139"/>
      <c r="H2672" s="139"/>
      <c r="I2672" s="141"/>
      <c r="J2672" s="139"/>
      <c r="K2672" s="139"/>
    </row>
    <row r="2673" spans="1:11" ht="12.75" x14ac:dyDescent="0.2">
      <c r="A2673" s="139"/>
      <c r="B2673" s="139"/>
      <c r="C2673" s="211"/>
      <c r="D2673" s="139"/>
      <c r="E2673" s="213"/>
      <c r="F2673" s="139"/>
      <c r="G2673" s="139"/>
      <c r="H2673" s="139"/>
      <c r="I2673" s="141"/>
      <c r="J2673" s="139"/>
      <c r="K2673" s="139"/>
    </row>
    <row r="2674" spans="1:11" ht="12.75" x14ac:dyDescent="0.2">
      <c r="A2674" s="139"/>
      <c r="B2674" s="139"/>
      <c r="C2674" s="211"/>
      <c r="D2674" s="139"/>
      <c r="E2674" s="213"/>
      <c r="F2674" s="139"/>
      <c r="G2674" s="139"/>
      <c r="H2674" s="139"/>
      <c r="I2674" s="141"/>
      <c r="J2674" s="139"/>
      <c r="K2674" s="139"/>
    </row>
    <row r="2675" spans="1:11" ht="12.75" x14ac:dyDescent="0.2">
      <c r="A2675" s="139"/>
      <c r="B2675" s="139"/>
      <c r="C2675" s="211"/>
      <c r="D2675" s="139"/>
      <c r="E2675" s="213"/>
      <c r="F2675" s="139"/>
      <c r="G2675" s="139"/>
      <c r="H2675" s="139"/>
      <c r="I2675" s="141"/>
      <c r="J2675" s="139"/>
      <c r="K2675" s="139"/>
    </row>
    <row r="2676" spans="1:11" ht="12.75" x14ac:dyDescent="0.2">
      <c r="A2676" s="139"/>
      <c r="B2676" s="139"/>
      <c r="C2676" s="211"/>
      <c r="D2676" s="139"/>
      <c r="E2676" s="213"/>
      <c r="F2676" s="139"/>
      <c r="G2676" s="139"/>
      <c r="H2676" s="139"/>
      <c r="I2676" s="141"/>
      <c r="J2676" s="139"/>
      <c r="K2676" s="139"/>
    </row>
    <row r="2677" spans="1:11" ht="12.75" x14ac:dyDescent="0.2">
      <c r="A2677" s="139"/>
      <c r="B2677" s="139"/>
      <c r="C2677" s="211"/>
      <c r="D2677" s="139"/>
      <c r="E2677" s="213"/>
      <c r="F2677" s="139"/>
      <c r="G2677" s="139"/>
      <c r="H2677" s="139"/>
      <c r="I2677" s="141"/>
      <c r="J2677" s="139"/>
      <c r="K2677" s="139"/>
    </row>
    <row r="2678" spans="1:11" ht="12.75" x14ac:dyDescent="0.2">
      <c r="A2678" s="139"/>
      <c r="B2678" s="139"/>
      <c r="C2678" s="211"/>
      <c r="D2678" s="139"/>
      <c r="E2678" s="213"/>
      <c r="F2678" s="139"/>
      <c r="G2678" s="139"/>
      <c r="H2678" s="139"/>
      <c r="I2678" s="141"/>
      <c r="J2678" s="139"/>
      <c r="K2678" s="139"/>
    </row>
    <row r="2679" spans="1:11" ht="12.75" x14ac:dyDescent="0.2">
      <c r="A2679" s="139"/>
      <c r="B2679" s="139"/>
      <c r="C2679" s="211"/>
      <c r="D2679" s="139"/>
      <c r="E2679" s="213"/>
      <c r="F2679" s="139"/>
      <c r="G2679" s="139"/>
      <c r="H2679" s="139"/>
      <c r="I2679" s="141"/>
      <c r="J2679" s="139"/>
      <c r="K2679" s="139"/>
    </row>
    <row r="2680" spans="1:11" ht="12.75" x14ac:dyDescent="0.2">
      <c r="A2680" s="139"/>
      <c r="B2680" s="139"/>
      <c r="C2680" s="211"/>
      <c r="D2680" s="139"/>
      <c r="E2680" s="213"/>
      <c r="F2680" s="139"/>
      <c r="G2680" s="139"/>
      <c r="H2680" s="139"/>
      <c r="I2680" s="141"/>
      <c r="J2680" s="139"/>
      <c r="K2680" s="139"/>
    </row>
    <row r="2681" spans="1:11" ht="12.75" x14ac:dyDescent="0.2">
      <c r="A2681" s="139"/>
      <c r="B2681" s="139"/>
      <c r="C2681" s="211"/>
      <c r="D2681" s="139"/>
      <c r="E2681" s="213"/>
      <c r="F2681" s="139"/>
      <c r="G2681" s="139"/>
      <c r="H2681" s="139"/>
      <c r="I2681" s="141"/>
      <c r="J2681" s="139"/>
      <c r="K2681" s="139"/>
    </row>
    <row r="2682" spans="1:11" ht="12.75" x14ac:dyDescent="0.2">
      <c r="A2682" s="139"/>
      <c r="B2682" s="139"/>
      <c r="C2682" s="211"/>
      <c r="D2682" s="139"/>
      <c r="E2682" s="213"/>
      <c r="F2682" s="139"/>
      <c r="G2682" s="139"/>
      <c r="H2682" s="139"/>
      <c r="I2682" s="141"/>
      <c r="J2682" s="139"/>
      <c r="K2682" s="139"/>
    </row>
    <row r="2683" spans="1:11" ht="12.75" x14ac:dyDescent="0.2">
      <c r="A2683" s="139"/>
      <c r="B2683" s="139"/>
      <c r="C2683" s="211"/>
      <c r="D2683" s="139"/>
      <c r="E2683" s="213"/>
      <c r="F2683" s="139"/>
      <c r="G2683" s="139"/>
      <c r="H2683" s="139"/>
      <c r="I2683" s="141"/>
      <c r="J2683" s="139"/>
      <c r="K2683" s="139"/>
    </row>
    <row r="2684" spans="1:11" ht="12.75" x14ac:dyDescent="0.2">
      <c r="A2684" s="139"/>
      <c r="B2684" s="139"/>
      <c r="C2684" s="211"/>
      <c r="D2684" s="139"/>
      <c r="E2684" s="213"/>
      <c r="F2684" s="139"/>
      <c r="G2684" s="139"/>
      <c r="H2684" s="139"/>
      <c r="I2684" s="141"/>
      <c r="J2684" s="139"/>
      <c r="K2684" s="139"/>
    </row>
    <row r="2685" spans="1:11" ht="12.75" x14ac:dyDescent="0.2">
      <c r="A2685" s="139"/>
      <c r="B2685" s="139"/>
      <c r="C2685" s="211"/>
      <c r="D2685" s="139"/>
      <c r="E2685" s="213"/>
      <c r="F2685" s="139"/>
      <c r="G2685" s="139"/>
      <c r="H2685" s="139"/>
      <c r="I2685" s="141"/>
      <c r="J2685" s="139"/>
      <c r="K2685" s="139"/>
    </row>
    <row r="2686" spans="1:11" ht="12.75" x14ac:dyDescent="0.2">
      <c r="A2686" s="139"/>
      <c r="B2686" s="139"/>
      <c r="C2686" s="211"/>
      <c r="D2686" s="139"/>
      <c r="E2686" s="213"/>
      <c r="F2686" s="139"/>
      <c r="G2686" s="139"/>
      <c r="H2686" s="139"/>
      <c r="I2686" s="141"/>
      <c r="J2686" s="139"/>
      <c r="K2686" s="139"/>
    </row>
    <row r="2687" spans="1:11" ht="12.75" x14ac:dyDescent="0.2">
      <c r="A2687" s="139"/>
      <c r="B2687" s="139"/>
      <c r="C2687" s="211"/>
      <c r="D2687" s="139"/>
      <c r="E2687" s="213"/>
      <c r="F2687" s="139"/>
      <c r="G2687" s="139"/>
      <c r="H2687" s="139"/>
      <c r="I2687" s="141"/>
      <c r="J2687" s="139"/>
      <c r="K2687" s="139"/>
    </row>
    <row r="2688" spans="1:11" ht="12.75" x14ac:dyDescent="0.2">
      <c r="A2688" s="139"/>
      <c r="B2688" s="139"/>
      <c r="C2688" s="211"/>
      <c r="D2688" s="139"/>
      <c r="E2688" s="213"/>
      <c r="F2688" s="139"/>
      <c r="G2688" s="139"/>
      <c r="H2688" s="139"/>
      <c r="I2688" s="141"/>
      <c r="J2688" s="139"/>
      <c r="K2688" s="139"/>
    </row>
    <row r="2689" spans="1:11" ht="12.75" x14ac:dyDescent="0.2">
      <c r="A2689" s="139"/>
      <c r="B2689" s="139"/>
      <c r="C2689" s="211"/>
      <c r="D2689" s="139"/>
      <c r="E2689" s="213"/>
      <c r="F2689" s="139"/>
      <c r="G2689" s="139"/>
      <c r="H2689" s="139"/>
      <c r="I2689" s="141"/>
      <c r="J2689" s="139"/>
      <c r="K2689" s="139"/>
    </row>
    <row r="2690" spans="1:11" ht="12.75" x14ac:dyDescent="0.2">
      <c r="A2690" s="139"/>
      <c r="B2690" s="139"/>
      <c r="C2690" s="211"/>
      <c r="D2690" s="139"/>
      <c r="E2690" s="213"/>
      <c r="F2690" s="139"/>
      <c r="G2690" s="139"/>
      <c r="H2690" s="139"/>
      <c r="I2690" s="141"/>
      <c r="J2690" s="139"/>
      <c r="K2690" s="139"/>
    </row>
    <row r="2691" spans="1:11" ht="12.75" x14ac:dyDescent="0.2">
      <c r="A2691" s="139"/>
      <c r="B2691" s="139"/>
      <c r="C2691" s="211"/>
      <c r="D2691" s="139"/>
      <c r="E2691" s="213"/>
      <c r="F2691" s="139"/>
      <c r="G2691" s="139"/>
      <c r="H2691" s="139"/>
      <c r="I2691" s="141"/>
      <c r="J2691" s="139"/>
      <c r="K2691" s="139"/>
    </row>
    <row r="2692" spans="1:11" ht="12.75" x14ac:dyDescent="0.2">
      <c r="A2692" s="139"/>
      <c r="B2692" s="139"/>
      <c r="C2692" s="211"/>
      <c r="D2692" s="139"/>
      <c r="E2692" s="213"/>
      <c r="F2692" s="139"/>
      <c r="G2692" s="139"/>
      <c r="H2692" s="139"/>
      <c r="I2692" s="141"/>
      <c r="J2692" s="139"/>
      <c r="K2692" s="139"/>
    </row>
    <row r="2693" spans="1:11" ht="12.75" x14ac:dyDescent="0.2">
      <c r="A2693" s="139"/>
      <c r="B2693" s="139"/>
      <c r="C2693" s="211"/>
      <c r="D2693" s="139"/>
      <c r="E2693" s="213"/>
      <c r="F2693" s="139"/>
      <c r="G2693" s="139"/>
      <c r="H2693" s="139"/>
      <c r="I2693" s="141"/>
      <c r="J2693" s="139"/>
      <c r="K2693" s="139"/>
    </row>
    <row r="2694" spans="1:11" ht="12.75" x14ac:dyDescent="0.2">
      <c r="A2694" s="139"/>
      <c r="B2694" s="139"/>
      <c r="C2694" s="211"/>
      <c r="D2694" s="139"/>
      <c r="E2694" s="213"/>
      <c r="F2694" s="139"/>
      <c r="G2694" s="139"/>
      <c r="H2694" s="139"/>
      <c r="I2694" s="141"/>
      <c r="J2694" s="139"/>
      <c r="K2694" s="139"/>
    </row>
    <row r="2695" spans="1:11" ht="12.75" x14ac:dyDescent="0.2">
      <c r="A2695" s="139"/>
      <c r="B2695" s="139"/>
      <c r="C2695" s="211"/>
      <c r="D2695" s="139"/>
      <c r="E2695" s="213"/>
      <c r="F2695" s="139"/>
      <c r="G2695" s="139"/>
      <c r="H2695" s="139"/>
      <c r="I2695" s="141"/>
      <c r="J2695" s="139"/>
      <c r="K2695" s="139"/>
    </row>
    <row r="2696" spans="1:11" ht="12.75" x14ac:dyDescent="0.2">
      <c r="A2696" s="139"/>
      <c r="B2696" s="139"/>
      <c r="C2696" s="211"/>
      <c r="D2696" s="139"/>
      <c r="E2696" s="213"/>
      <c r="F2696" s="139"/>
      <c r="G2696" s="139"/>
      <c r="H2696" s="139"/>
      <c r="I2696" s="141"/>
      <c r="J2696" s="139"/>
      <c r="K2696" s="139"/>
    </row>
    <row r="2697" spans="1:11" ht="12.75" x14ac:dyDescent="0.2">
      <c r="A2697" s="139"/>
      <c r="B2697" s="139"/>
      <c r="C2697" s="211"/>
      <c r="D2697" s="139"/>
      <c r="E2697" s="213"/>
      <c r="F2697" s="139"/>
      <c r="G2697" s="139"/>
      <c r="H2697" s="139"/>
      <c r="I2697" s="141"/>
      <c r="J2697" s="139"/>
      <c r="K2697" s="139"/>
    </row>
    <row r="2698" spans="1:11" ht="12.75" x14ac:dyDescent="0.2">
      <c r="A2698" s="139"/>
      <c r="B2698" s="139"/>
      <c r="C2698" s="211"/>
      <c r="D2698" s="139"/>
      <c r="E2698" s="213"/>
      <c r="F2698" s="139"/>
      <c r="G2698" s="139"/>
      <c r="H2698" s="139"/>
      <c r="I2698" s="141"/>
      <c r="J2698" s="139"/>
      <c r="K2698" s="139"/>
    </row>
    <row r="2699" spans="1:11" ht="12.75" x14ac:dyDescent="0.2">
      <c r="A2699" s="139"/>
      <c r="B2699" s="139"/>
      <c r="C2699" s="211"/>
      <c r="D2699" s="139"/>
      <c r="E2699" s="213"/>
      <c r="F2699" s="139"/>
      <c r="G2699" s="139"/>
      <c r="H2699" s="139"/>
      <c r="I2699" s="141"/>
      <c r="J2699" s="139"/>
      <c r="K2699" s="139"/>
    </row>
    <row r="2700" spans="1:11" ht="12.75" x14ac:dyDescent="0.2">
      <c r="A2700" s="139"/>
      <c r="B2700" s="139"/>
      <c r="C2700" s="211"/>
      <c r="D2700" s="139"/>
      <c r="E2700" s="213"/>
      <c r="F2700" s="139"/>
      <c r="G2700" s="139"/>
      <c r="H2700" s="139"/>
      <c r="I2700" s="141"/>
      <c r="J2700" s="139"/>
      <c r="K2700" s="139"/>
    </row>
    <row r="2701" spans="1:11" ht="12.75" x14ac:dyDescent="0.2">
      <c r="A2701" s="139"/>
      <c r="B2701" s="139"/>
      <c r="C2701" s="211"/>
      <c r="D2701" s="139"/>
      <c r="E2701" s="213"/>
      <c r="F2701" s="139"/>
      <c r="G2701" s="139"/>
      <c r="H2701" s="139"/>
      <c r="I2701" s="141"/>
      <c r="J2701" s="139"/>
      <c r="K2701" s="139"/>
    </row>
    <row r="2702" spans="1:11" ht="12.75" x14ac:dyDescent="0.2">
      <c r="A2702" s="139"/>
      <c r="B2702" s="139"/>
      <c r="C2702" s="211"/>
      <c r="D2702" s="139"/>
      <c r="E2702" s="213"/>
      <c r="F2702" s="139"/>
      <c r="G2702" s="139"/>
      <c r="H2702" s="139"/>
      <c r="I2702" s="141"/>
      <c r="J2702" s="139"/>
      <c r="K2702" s="139"/>
    </row>
    <row r="2703" spans="1:11" ht="12.75" x14ac:dyDescent="0.2">
      <c r="A2703" s="139"/>
      <c r="B2703" s="139"/>
      <c r="C2703" s="211"/>
      <c r="D2703" s="139"/>
      <c r="E2703" s="213"/>
      <c r="F2703" s="139"/>
      <c r="G2703" s="139"/>
      <c r="H2703" s="139"/>
      <c r="I2703" s="141"/>
      <c r="J2703" s="139"/>
      <c r="K2703" s="139"/>
    </row>
    <row r="2704" spans="1:11" ht="12.75" x14ac:dyDescent="0.2">
      <c r="A2704" s="139"/>
      <c r="B2704" s="139"/>
      <c r="C2704" s="211"/>
      <c r="D2704" s="139"/>
      <c r="E2704" s="213"/>
      <c r="F2704" s="139"/>
      <c r="G2704" s="139"/>
      <c r="H2704" s="139"/>
      <c r="I2704" s="141"/>
      <c r="J2704" s="139"/>
      <c r="K2704" s="139"/>
    </row>
    <row r="2705" spans="1:11" ht="12.75" x14ac:dyDescent="0.2">
      <c r="A2705" s="139"/>
      <c r="B2705" s="139"/>
      <c r="C2705" s="211"/>
      <c r="D2705" s="139"/>
      <c r="E2705" s="213"/>
      <c r="F2705" s="139"/>
      <c r="G2705" s="139"/>
      <c r="H2705" s="139"/>
      <c r="I2705" s="141"/>
      <c r="J2705" s="139"/>
      <c r="K2705" s="139"/>
    </row>
    <row r="2706" spans="1:11" ht="12.75" x14ac:dyDescent="0.2">
      <c r="A2706" s="139"/>
      <c r="B2706" s="139"/>
      <c r="C2706" s="211"/>
      <c r="D2706" s="139"/>
      <c r="E2706" s="213"/>
      <c r="F2706" s="139"/>
      <c r="G2706" s="139"/>
      <c r="H2706" s="139"/>
      <c r="I2706" s="141"/>
      <c r="J2706" s="139"/>
      <c r="K2706" s="139"/>
    </row>
    <row r="2707" spans="1:11" ht="12.75" x14ac:dyDescent="0.2">
      <c r="A2707" s="139"/>
      <c r="B2707" s="139"/>
      <c r="C2707" s="211"/>
      <c r="D2707" s="139"/>
      <c r="E2707" s="213"/>
      <c r="F2707" s="139"/>
      <c r="G2707" s="139"/>
      <c r="H2707" s="139"/>
      <c r="I2707" s="141"/>
      <c r="J2707" s="139"/>
      <c r="K2707" s="139"/>
    </row>
    <row r="2708" spans="1:11" ht="12.75" x14ac:dyDescent="0.2">
      <c r="A2708" s="139"/>
      <c r="B2708" s="139"/>
      <c r="C2708" s="211"/>
      <c r="D2708" s="139"/>
      <c r="E2708" s="213"/>
      <c r="F2708" s="139"/>
      <c r="G2708" s="139"/>
      <c r="H2708" s="139"/>
      <c r="I2708" s="141"/>
      <c r="J2708" s="139"/>
      <c r="K2708" s="139"/>
    </row>
    <row r="2709" spans="1:11" ht="12.75" x14ac:dyDescent="0.2">
      <c r="A2709" s="139"/>
      <c r="B2709" s="139"/>
      <c r="C2709" s="211"/>
      <c r="D2709" s="139"/>
      <c r="E2709" s="213"/>
      <c r="F2709" s="139"/>
      <c r="G2709" s="139"/>
      <c r="H2709" s="139"/>
      <c r="I2709" s="141"/>
      <c r="J2709" s="139"/>
      <c r="K2709" s="139"/>
    </row>
    <row r="2710" spans="1:11" ht="12.75" x14ac:dyDescent="0.2">
      <c r="A2710" s="139"/>
      <c r="B2710" s="139"/>
      <c r="C2710" s="211"/>
      <c r="D2710" s="139"/>
      <c r="E2710" s="213"/>
      <c r="F2710" s="139"/>
      <c r="G2710" s="139"/>
      <c r="H2710" s="139"/>
      <c r="I2710" s="141"/>
      <c r="J2710" s="139"/>
      <c r="K2710" s="139"/>
    </row>
    <row r="2711" spans="1:11" ht="12.75" x14ac:dyDescent="0.2">
      <c r="A2711" s="139"/>
      <c r="B2711" s="139"/>
      <c r="C2711" s="211"/>
      <c r="D2711" s="139"/>
      <c r="E2711" s="213"/>
      <c r="F2711" s="139"/>
      <c r="G2711" s="139"/>
      <c r="H2711" s="139"/>
      <c r="I2711" s="141"/>
      <c r="J2711" s="139"/>
      <c r="K2711" s="139"/>
    </row>
    <row r="2712" spans="1:11" ht="12.75" x14ac:dyDescent="0.2">
      <c r="A2712" s="139"/>
      <c r="B2712" s="139"/>
      <c r="C2712" s="211"/>
      <c r="D2712" s="139"/>
      <c r="E2712" s="213"/>
      <c r="F2712" s="139"/>
      <c r="G2712" s="139"/>
      <c r="H2712" s="139"/>
      <c r="I2712" s="141"/>
      <c r="J2712" s="139"/>
      <c r="K2712" s="139"/>
    </row>
    <row r="2713" spans="1:11" ht="12.75" x14ac:dyDescent="0.2">
      <c r="A2713" s="139"/>
      <c r="B2713" s="139"/>
      <c r="C2713" s="211"/>
      <c r="D2713" s="139"/>
      <c r="E2713" s="213"/>
      <c r="F2713" s="139"/>
      <c r="G2713" s="139"/>
      <c r="H2713" s="139"/>
      <c r="I2713" s="141"/>
      <c r="J2713" s="139"/>
      <c r="K2713" s="139"/>
    </row>
    <row r="2714" spans="1:11" ht="12.75" x14ac:dyDescent="0.2">
      <c r="A2714" s="139"/>
      <c r="B2714" s="139"/>
      <c r="C2714" s="211"/>
      <c r="D2714" s="139"/>
      <c r="E2714" s="213"/>
      <c r="F2714" s="139"/>
      <c r="G2714" s="139"/>
      <c r="H2714" s="139"/>
      <c r="I2714" s="141"/>
      <c r="J2714" s="139"/>
      <c r="K2714" s="139"/>
    </row>
    <row r="2715" spans="1:11" ht="12.75" x14ac:dyDescent="0.2">
      <c r="A2715" s="139"/>
      <c r="B2715" s="139"/>
      <c r="C2715" s="211"/>
      <c r="D2715" s="139"/>
      <c r="E2715" s="213"/>
      <c r="F2715" s="139"/>
      <c r="G2715" s="139"/>
      <c r="H2715" s="139"/>
      <c r="I2715" s="141"/>
      <c r="J2715" s="139"/>
      <c r="K2715" s="139"/>
    </row>
    <row r="2716" spans="1:11" ht="12.75" x14ac:dyDescent="0.2">
      <c r="A2716" s="139"/>
      <c r="B2716" s="139"/>
      <c r="C2716" s="211"/>
      <c r="D2716" s="139"/>
      <c r="E2716" s="213"/>
      <c r="F2716" s="139"/>
      <c r="G2716" s="139"/>
      <c r="H2716" s="139"/>
      <c r="I2716" s="141"/>
      <c r="J2716" s="139"/>
      <c r="K2716" s="139"/>
    </row>
    <row r="2717" spans="1:11" ht="12.75" x14ac:dyDescent="0.2">
      <c r="A2717" s="139"/>
      <c r="B2717" s="139"/>
      <c r="C2717" s="211"/>
      <c r="D2717" s="139"/>
      <c r="E2717" s="213"/>
      <c r="F2717" s="139"/>
      <c r="G2717" s="139"/>
      <c r="H2717" s="139"/>
      <c r="I2717" s="141"/>
      <c r="J2717" s="139"/>
      <c r="K2717" s="139"/>
    </row>
    <row r="2718" spans="1:11" ht="12.75" x14ac:dyDescent="0.2">
      <c r="A2718" s="139"/>
      <c r="B2718" s="139"/>
      <c r="C2718" s="211"/>
      <c r="D2718" s="139"/>
      <c r="E2718" s="213"/>
      <c r="F2718" s="139"/>
      <c r="G2718" s="139"/>
      <c r="H2718" s="139"/>
      <c r="I2718" s="141"/>
      <c r="J2718" s="139"/>
      <c r="K2718" s="139"/>
    </row>
    <row r="2719" spans="1:11" ht="12.75" x14ac:dyDescent="0.2">
      <c r="A2719" s="139"/>
      <c r="B2719" s="139"/>
      <c r="C2719" s="211"/>
      <c r="D2719" s="139"/>
      <c r="E2719" s="213"/>
      <c r="F2719" s="139"/>
      <c r="G2719" s="139"/>
      <c r="H2719" s="139"/>
      <c r="I2719" s="141"/>
      <c r="J2719" s="139"/>
      <c r="K2719" s="139"/>
    </row>
    <row r="2720" spans="1:11" ht="12.75" x14ac:dyDescent="0.2">
      <c r="A2720" s="139"/>
      <c r="B2720" s="139"/>
      <c r="C2720" s="211"/>
      <c r="D2720" s="139"/>
      <c r="E2720" s="213"/>
      <c r="F2720" s="139"/>
      <c r="G2720" s="139"/>
      <c r="H2720" s="139"/>
      <c r="I2720" s="141"/>
      <c r="J2720" s="139"/>
      <c r="K2720" s="139"/>
    </row>
    <row r="2721" spans="1:11" ht="12.75" x14ac:dyDescent="0.2">
      <c r="A2721" s="139"/>
      <c r="B2721" s="139"/>
      <c r="C2721" s="211"/>
      <c r="D2721" s="139"/>
      <c r="E2721" s="213"/>
      <c r="F2721" s="139"/>
      <c r="G2721" s="139"/>
      <c r="H2721" s="139"/>
      <c r="I2721" s="141"/>
      <c r="J2721" s="139"/>
      <c r="K2721" s="139"/>
    </row>
    <row r="2722" spans="1:11" ht="12.75" x14ac:dyDescent="0.2">
      <c r="A2722" s="139"/>
      <c r="B2722" s="139"/>
      <c r="C2722" s="211"/>
      <c r="D2722" s="139"/>
      <c r="E2722" s="213"/>
      <c r="F2722" s="139"/>
      <c r="G2722" s="139"/>
      <c r="H2722" s="139"/>
      <c r="I2722" s="141"/>
      <c r="J2722" s="139"/>
      <c r="K2722" s="139"/>
    </row>
    <row r="2723" spans="1:11" ht="12.75" x14ac:dyDescent="0.2">
      <c r="A2723" s="139"/>
      <c r="B2723" s="139"/>
      <c r="C2723" s="211"/>
      <c r="D2723" s="139"/>
      <c r="E2723" s="213"/>
      <c r="F2723" s="139"/>
      <c r="G2723" s="139"/>
      <c r="H2723" s="139"/>
      <c r="I2723" s="141"/>
      <c r="J2723" s="139"/>
      <c r="K2723" s="139"/>
    </row>
    <row r="2724" spans="1:11" ht="12.75" x14ac:dyDescent="0.2">
      <c r="A2724" s="139"/>
      <c r="B2724" s="139"/>
      <c r="C2724" s="211"/>
      <c r="D2724" s="139"/>
      <c r="E2724" s="213"/>
      <c r="F2724" s="139"/>
      <c r="G2724" s="139"/>
      <c r="H2724" s="139"/>
      <c r="I2724" s="141"/>
      <c r="J2724" s="139"/>
      <c r="K2724" s="139"/>
    </row>
    <row r="2725" spans="1:11" ht="12.75" x14ac:dyDescent="0.2">
      <c r="A2725" s="139"/>
      <c r="B2725" s="139"/>
      <c r="C2725" s="211"/>
      <c r="D2725" s="139"/>
      <c r="E2725" s="213"/>
      <c r="F2725" s="139"/>
      <c r="G2725" s="139"/>
      <c r="H2725" s="139"/>
      <c r="I2725" s="141"/>
      <c r="J2725" s="139"/>
      <c r="K2725" s="139"/>
    </row>
    <row r="2726" spans="1:11" ht="12.75" x14ac:dyDescent="0.2">
      <c r="A2726" s="139"/>
      <c r="B2726" s="139"/>
      <c r="C2726" s="211"/>
      <c r="D2726" s="139"/>
      <c r="E2726" s="213"/>
      <c r="F2726" s="139"/>
      <c r="G2726" s="139"/>
      <c r="H2726" s="139"/>
      <c r="I2726" s="141"/>
      <c r="J2726" s="139"/>
      <c r="K2726" s="139"/>
    </row>
    <row r="2727" spans="1:11" ht="12.75" x14ac:dyDescent="0.2">
      <c r="A2727" s="139"/>
      <c r="B2727" s="139"/>
      <c r="C2727" s="211"/>
      <c r="D2727" s="139"/>
      <c r="E2727" s="213"/>
      <c r="F2727" s="139"/>
      <c r="G2727" s="139"/>
      <c r="H2727" s="139"/>
      <c r="I2727" s="141"/>
      <c r="J2727" s="139"/>
      <c r="K2727" s="139"/>
    </row>
    <row r="2728" spans="1:11" ht="12.75" x14ac:dyDescent="0.2">
      <c r="A2728" s="139"/>
      <c r="B2728" s="139"/>
      <c r="C2728" s="211"/>
      <c r="D2728" s="139"/>
      <c r="E2728" s="213"/>
      <c r="F2728" s="139"/>
      <c r="G2728" s="139"/>
      <c r="H2728" s="139"/>
      <c r="I2728" s="141"/>
      <c r="J2728" s="139"/>
      <c r="K2728" s="139"/>
    </row>
    <row r="2729" spans="1:11" ht="12.75" x14ac:dyDescent="0.2">
      <c r="A2729" s="139"/>
      <c r="B2729" s="139"/>
      <c r="C2729" s="211"/>
      <c r="D2729" s="139"/>
      <c r="E2729" s="213"/>
      <c r="F2729" s="139"/>
      <c r="G2729" s="139"/>
      <c r="H2729" s="139"/>
      <c r="I2729" s="141"/>
      <c r="J2729" s="139"/>
      <c r="K2729" s="139"/>
    </row>
    <row r="2730" spans="1:11" ht="12.75" x14ac:dyDescent="0.2">
      <c r="A2730" s="139"/>
      <c r="B2730" s="139"/>
      <c r="C2730" s="211"/>
      <c r="D2730" s="139"/>
      <c r="E2730" s="213"/>
      <c r="F2730" s="139"/>
      <c r="G2730" s="139"/>
      <c r="H2730" s="139"/>
      <c r="I2730" s="141"/>
      <c r="J2730" s="139"/>
      <c r="K2730" s="139"/>
    </row>
    <row r="2731" spans="1:11" ht="12.75" x14ac:dyDescent="0.2">
      <c r="A2731" s="139"/>
      <c r="B2731" s="139"/>
      <c r="C2731" s="211"/>
      <c r="D2731" s="139"/>
      <c r="E2731" s="213"/>
      <c r="F2731" s="139"/>
      <c r="G2731" s="139"/>
      <c r="H2731" s="139"/>
      <c r="I2731" s="141"/>
      <c r="J2731" s="139"/>
      <c r="K2731" s="139"/>
    </row>
    <row r="2732" spans="1:11" ht="12.75" x14ac:dyDescent="0.2">
      <c r="A2732" s="139"/>
      <c r="B2732" s="139"/>
      <c r="C2732" s="211"/>
      <c r="D2732" s="139"/>
      <c r="E2732" s="213"/>
      <c r="F2732" s="139"/>
      <c r="G2732" s="139"/>
      <c r="H2732" s="139"/>
      <c r="I2732" s="141"/>
      <c r="J2732" s="139"/>
      <c r="K2732" s="139"/>
    </row>
    <row r="2733" spans="1:11" ht="12.75" x14ac:dyDescent="0.2">
      <c r="A2733" s="139"/>
      <c r="B2733" s="139"/>
      <c r="C2733" s="211"/>
      <c r="D2733" s="139"/>
      <c r="E2733" s="213"/>
      <c r="F2733" s="139"/>
      <c r="G2733" s="139"/>
      <c r="H2733" s="139"/>
      <c r="I2733" s="141"/>
      <c r="J2733" s="139"/>
      <c r="K2733" s="139"/>
    </row>
    <row r="2734" spans="1:11" ht="12.75" x14ac:dyDescent="0.2">
      <c r="A2734" s="139"/>
      <c r="B2734" s="139"/>
      <c r="C2734" s="211"/>
      <c r="D2734" s="139"/>
      <c r="E2734" s="213"/>
      <c r="F2734" s="139"/>
      <c r="G2734" s="139"/>
      <c r="H2734" s="139"/>
      <c r="I2734" s="141"/>
      <c r="J2734" s="139"/>
      <c r="K2734" s="139"/>
    </row>
    <row r="2735" spans="1:11" ht="12.75" x14ac:dyDescent="0.2">
      <c r="A2735" s="139"/>
      <c r="B2735" s="139"/>
      <c r="C2735" s="211"/>
      <c r="D2735" s="139"/>
      <c r="E2735" s="213"/>
      <c r="F2735" s="139"/>
      <c r="G2735" s="139"/>
      <c r="H2735" s="139"/>
      <c r="I2735" s="141"/>
      <c r="J2735" s="139"/>
      <c r="K2735" s="139"/>
    </row>
    <row r="2736" spans="1:11" ht="12.75" x14ac:dyDescent="0.2">
      <c r="A2736" s="139"/>
      <c r="B2736" s="139"/>
      <c r="C2736" s="211"/>
      <c r="D2736" s="139"/>
      <c r="E2736" s="213"/>
      <c r="F2736" s="139"/>
      <c r="G2736" s="139"/>
      <c r="H2736" s="139"/>
      <c r="I2736" s="141"/>
      <c r="J2736" s="139"/>
      <c r="K2736" s="139"/>
    </row>
    <row r="2737" spans="1:11" ht="12.75" x14ac:dyDescent="0.2">
      <c r="A2737" s="139"/>
      <c r="B2737" s="139"/>
      <c r="C2737" s="211"/>
      <c r="D2737" s="139"/>
      <c r="E2737" s="213"/>
      <c r="F2737" s="139"/>
      <c r="G2737" s="139"/>
      <c r="H2737" s="139"/>
      <c r="I2737" s="141"/>
      <c r="J2737" s="139"/>
      <c r="K2737" s="139"/>
    </row>
    <row r="2738" spans="1:11" ht="12.75" x14ac:dyDescent="0.2">
      <c r="A2738" s="139"/>
      <c r="B2738" s="139"/>
      <c r="C2738" s="211"/>
      <c r="D2738" s="139"/>
      <c r="E2738" s="213"/>
      <c r="F2738" s="139"/>
      <c r="G2738" s="139"/>
      <c r="H2738" s="139"/>
      <c r="I2738" s="141"/>
      <c r="J2738" s="139"/>
      <c r="K2738" s="139"/>
    </row>
    <row r="2739" spans="1:11" ht="12.75" x14ac:dyDescent="0.2">
      <c r="A2739" s="139"/>
      <c r="B2739" s="139"/>
      <c r="C2739" s="211"/>
      <c r="D2739" s="139"/>
      <c r="E2739" s="213"/>
      <c r="F2739" s="139"/>
      <c r="G2739" s="139"/>
      <c r="H2739" s="139"/>
      <c r="I2739" s="141"/>
      <c r="J2739" s="139"/>
      <c r="K2739" s="139"/>
    </row>
    <row r="2740" spans="1:11" ht="12.75" x14ac:dyDescent="0.2">
      <c r="A2740" s="139"/>
      <c r="B2740" s="139"/>
      <c r="C2740" s="211"/>
      <c r="D2740" s="139"/>
      <c r="E2740" s="213"/>
      <c r="F2740" s="139"/>
      <c r="G2740" s="139"/>
      <c r="H2740" s="139"/>
      <c r="I2740" s="141"/>
      <c r="J2740" s="139"/>
      <c r="K2740" s="139"/>
    </row>
    <row r="2741" spans="1:11" ht="12.75" x14ac:dyDescent="0.2">
      <c r="A2741" s="139"/>
      <c r="B2741" s="139"/>
      <c r="C2741" s="211"/>
      <c r="D2741" s="139"/>
      <c r="E2741" s="213"/>
      <c r="F2741" s="139"/>
      <c r="G2741" s="139"/>
      <c r="H2741" s="139"/>
      <c r="I2741" s="141"/>
      <c r="J2741" s="139"/>
      <c r="K2741" s="139"/>
    </row>
    <row r="2742" spans="1:11" ht="12.75" x14ac:dyDescent="0.2">
      <c r="A2742" s="139"/>
      <c r="B2742" s="139"/>
      <c r="C2742" s="211"/>
      <c r="D2742" s="139"/>
      <c r="E2742" s="213"/>
      <c r="F2742" s="139"/>
      <c r="G2742" s="139"/>
      <c r="H2742" s="139"/>
      <c r="I2742" s="141"/>
      <c r="J2742" s="139"/>
      <c r="K2742" s="139"/>
    </row>
    <row r="2743" spans="1:11" ht="12.75" x14ac:dyDescent="0.2">
      <c r="A2743" s="139"/>
      <c r="B2743" s="139"/>
      <c r="C2743" s="211"/>
      <c r="D2743" s="139"/>
      <c r="E2743" s="213"/>
      <c r="F2743" s="139"/>
      <c r="G2743" s="139"/>
      <c r="H2743" s="139"/>
      <c r="I2743" s="141"/>
      <c r="J2743" s="139"/>
      <c r="K2743" s="139"/>
    </row>
    <row r="2744" spans="1:11" ht="12.75" x14ac:dyDescent="0.2">
      <c r="A2744" s="139"/>
      <c r="B2744" s="139"/>
      <c r="C2744" s="211"/>
      <c r="D2744" s="139"/>
      <c r="E2744" s="213"/>
      <c r="F2744" s="139"/>
      <c r="G2744" s="139"/>
      <c r="H2744" s="139"/>
      <c r="I2744" s="141"/>
      <c r="J2744" s="139"/>
      <c r="K2744" s="139"/>
    </row>
    <row r="2745" spans="1:11" ht="12.75" x14ac:dyDescent="0.2">
      <c r="A2745" s="139"/>
      <c r="B2745" s="139"/>
      <c r="C2745" s="211"/>
      <c r="D2745" s="139"/>
      <c r="E2745" s="213"/>
      <c r="F2745" s="139"/>
      <c r="G2745" s="139"/>
      <c r="H2745" s="139"/>
      <c r="I2745" s="141"/>
      <c r="J2745" s="139"/>
      <c r="K2745" s="139"/>
    </row>
    <row r="2746" spans="1:11" ht="12.75" x14ac:dyDescent="0.2">
      <c r="A2746" s="139"/>
      <c r="B2746" s="139"/>
      <c r="C2746" s="211"/>
      <c r="D2746" s="139"/>
      <c r="E2746" s="213"/>
      <c r="F2746" s="139"/>
      <c r="G2746" s="139"/>
      <c r="H2746" s="139"/>
      <c r="I2746" s="141"/>
      <c r="J2746" s="139"/>
      <c r="K2746" s="139"/>
    </row>
    <row r="2747" spans="1:11" ht="12.75" x14ac:dyDescent="0.2">
      <c r="A2747" s="139"/>
      <c r="B2747" s="139"/>
      <c r="C2747" s="211"/>
      <c r="D2747" s="139"/>
      <c r="E2747" s="213"/>
      <c r="F2747" s="139"/>
      <c r="G2747" s="139"/>
      <c r="H2747" s="139"/>
      <c r="I2747" s="141"/>
      <c r="J2747" s="139"/>
      <c r="K2747" s="139"/>
    </row>
    <row r="2748" spans="1:11" ht="12.75" x14ac:dyDescent="0.2">
      <c r="A2748" s="139"/>
      <c r="B2748" s="139"/>
      <c r="C2748" s="211"/>
      <c r="D2748" s="139"/>
      <c r="E2748" s="213"/>
      <c r="F2748" s="139"/>
      <c r="G2748" s="139"/>
      <c r="H2748" s="139"/>
      <c r="I2748" s="141"/>
      <c r="J2748" s="139"/>
      <c r="K2748" s="139"/>
    </row>
    <row r="2749" spans="1:11" ht="12.75" x14ac:dyDescent="0.2">
      <c r="A2749" s="139"/>
      <c r="B2749" s="139"/>
      <c r="C2749" s="211"/>
      <c r="D2749" s="139"/>
      <c r="E2749" s="213"/>
      <c r="F2749" s="139"/>
      <c r="G2749" s="139"/>
      <c r="H2749" s="139"/>
      <c r="I2749" s="141"/>
      <c r="J2749" s="139"/>
      <c r="K2749" s="139"/>
    </row>
    <row r="2750" spans="1:11" ht="12.75" x14ac:dyDescent="0.2">
      <c r="A2750" s="139"/>
      <c r="B2750" s="139"/>
      <c r="C2750" s="211"/>
      <c r="D2750" s="139"/>
      <c r="E2750" s="213"/>
      <c r="F2750" s="139"/>
      <c r="G2750" s="139"/>
      <c r="H2750" s="139"/>
      <c r="I2750" s="141"/>
      <c r="J2750" s="139"/>
      <c r="K2750" s="139"/>
    </row>
    <row r="2751" spans="1:11" ht="12.75" x14ac:dyDescent="0.2">
      <c r="A2751" s="139"/>
      <c r="B2751" s="139"/>
      <c r="C2751" s="211"/>
      <c r="D2751" s="139"/>
      <c r="E2751" s="213"/>
      <c r="F2751" s="139"/>
      <c r="G2751" s="139"/>
      <c r="H2751" s="139"/>
      <c r="I2751" s="141"/>
      <c r="J2751" s="139"/>
      <c r="K2751" s="139"/>
    </row>
    <row r="2752" spans="1:11" ht="12.75" x14ac:dyDescent="0.2">
      <c r="A2752" s="139"/>
      <c r="B2752" s="139"/>
      <c r="C2752" s="211"/>
      <c r="D2752" s="139"/>
      <c r="E2752" s="213"/>
      <c r="F2752" s="139"/>
      <c r="G2752" s="139"/>
      <c r="H2752" s="139"/>
      <c r="I2752" s="141"/>
      <c r="J2752" s="139"/>
      <c r="K2752" s="139"/>
    </row>
    <row r="2753" spans="1:11" ht="12.75" x14ac:dyDescent="0.2">
      <c r="A2753" s="139"/>
      <c r="B2753" s="139"/>
      <c r="C2753" s="211"/>
      <c r="D2753" s="139"/>
      <c r="E2753" s="213"/>
      <c r="F2753" s="139"/>
      <c r="G2753" s="139"/>
      <c r="H2753" s="139"/>
      <c r="I2753" s="141"/>
      <c r="J2753" s="139"/>
      <c r="K2753" s="139"/>
    </row>
    <row r="2754" spans="1:11" ht="12.75" x14ac:dyDescent="0.2">
      <c r="A2754" s="139"/>
      <c r="B2754" s="139"/>
      <c r="C2754" s="211"/>
      <c r="D2754" s="139"/>
      <c r="E2754" s="213"/>
      <c r="F2754" s="139"/>
      <c r="G2754" s="139"/>
      <c r="H2754" s="139"/>
      <c r="I2754" s="141"/>
      <c r="J2754" s="139"/>
      <c r="K2754" s="139"/>
    </row>
    <row r="2755" spans="1:11" ht="12.75" x14ac:dyDescent="0.2">
      <c r="A2755" s="139"/>
      <c r="B2755" s="139"/>
      <c r="C2755" s="211"/>
      <c r="D2755" s="139"/>
      <c r="E2755" s="213"/>
      <c r="F2755" s="139"/>
      <c r="G2755" s="139"/>
      <c r="H2755" s="139"/>
      <c r="I2755" s="141"/>
      <c r="J2755" s="139"/>
      <c r="K2755" s="139"/>
    </row>
    <row r="2756" spans="1:11" ht="12.75" x14ac:dyDescent="0.2">
      <c r="A2756" s="139"/>
      <c r="B2756" s="139"/>
      <c r="C2756" s="211"/>
      <c r="D2756" s="139"/>
      <c r="E2756" s="213"/>
      <c r="F2756" s="139"/>
      <c r="G2756" s="139"/>
      <c r="H2756" s="139"/>
      <c r="I2756" s="141"/>
      <c r="J2756" s="139"/>
      <c r="K2756" s="139"/>
    </row>
    <row r="2757" spans="1:11" ht="12.75" x14ac:dyDescent="0.2">
      <c r="A2757" s="139"/>
      <c r="B2757" s="139"/>
      <c r="C2757" s="211"/>
      <c r="D2757" s="139"/>
      <c r="E2757" s="213"/>
      <c r="F2757" s="139"/>
      <c r="G2757" s="139"/>
      <c r="H2757" s="139"/>
      <c r="I2757" s="141"/>
      <c r="J2757" s="139"/>
      <c r="K2757" s="139"/>
    </row>
    <row r="2758" spans="1:11" ht="12.75" x14ac:dyDescent="0.2">
      <c r="A2758" s="139"/>
      <c r="B2758" s="139"/>
      <c r="C2758" s="211"/>
      <c r="D2758" s="139"/>
      <c r="E2758" s="213"/>
      <c r="F2758" s="139"/>
      <c r="G2758" s="139"/>
      <c r="H2758" s="139"/>
      <c r="I2758" s="141"/>
      <c r="J2758" s="139"/>
      <c r="K2758" s="139"/>
    </row>
    <row r="2759" spans="1:11" ht="12.75" x14ac:dyDescent="0.2">
      <c r="A2759" s="139"/>
      <c r="B2759" s="139"/>
      <c r="C2759" s="211"/>
      <c r="D2759" s="139"/>
      <c r="E2759" s="213"/>
      <c r="F2759" s="139"/>
      <c r="G2759" s="139"/>
      <c r="H2759" s="139"/>
      <c r="I2759" s="141"/>
      <c r="J2759" s="139"/>
      <c r="K2759" s="139"/>
    </row>
    <row r="2760" spans="1:11" ht="12.75" x14ac:dyDescent="0.2">
      <c r="A2760" s="139"/>
      <c r="B2760" s="139"/>
      <c r="C2760" s="211"/>
      <c r="D2760" s="139"/>
      <c r="E2760" s="213"/>
      <c r="F2760" s="139"/>
      <c r="G2760" s="139"/>
      <c r="H2760" s="139"/>
      <c r="I2760" s="141"/>
      <c r="J2760" s="139"/>
      <c r="K2760" s="139"/>
    </row>
    <row r="2761" spans="1:11" ht="12.75" x14ac:dyDescent="0.2">
      <c r="A2761" s="139"/>
      <c r="B2761" s="139"/>
      <c r="C2761" s="211"/>
      <c r="D2761" s="139"/>
      <c r="E2761" s="213"/>
      <c r="F2761" s="139"/>
      <c r="G2761" s="139"/>
      <c r="H2761" s="139"/>
      <c r="I2761" s="141"/>
      <c r="J2761" s="139"/>
      <c r="K2761" s="139"/>
    </row>
    <row r="2762" spans="1:11" ht="12.75" x14ac:dyDescent="0.2">
      <c r="A2762" s="139"/>
      <c r="B2762" s="139"/>
      <c r="C2762" s="211"/>
      <c r="D2762" s="139"/>
      <c r="E2762" s="213"/>
      <c r="F2762" s="139"/>
      <c r="G2762" s="139"/>
      <c r="H2762" s="139"/>
      <c r="I2762" s="141"/>
      <c r="J2762" s="139"/>
      <c r="K2762" s="139"/>
    </row>
    <row r="2763" spans="1:11" ht="12.75" x14ac:dyDescent="0.2">
      <c r="A2763" s="139"/>
      <c r="B2763" s="139"/>
      <c r="C2763" s="211"/>
      <c r="D2763" s="139"/>
      <c r="E2763" s="213"/>
      <c r="F2763" s="139"/>
      <c r="G2763" s="139"/>
      <c r="H2763" s="139"/>
      <c r="I2763" s="141"/>
      <c r="J2763" s="139"/>
      <c r="K2763" s="139"/>
    </row>
    <row r="2764" spans="1:11" ht="12.75" x14ac:dyDescent="0.2">
      <c r="A2764" s="139"/>
      <c r="B2764" s="139"/>
      <c r="C2764" s="211"/>
      <c r="D2764" s="139"/>
      <c r="E2764" s="213"/>
      <c r="F2764" s="139"/>
      <c r="G2764" s="139"/>
      <c r="H2764" s="139"/>
      <c r="I2764" s="141"/>
      <c r="J2764" s="139"/>
      <c r="K2764" s="139"/>
    </row>
    <row r="2765" spans="1:11" ht="12.75" x14ac:dyDescent="0.2">
      <c r="A2765" s="139"/>
      <c r="B2765" s="139"/>
      <c r="C2765" s="211"/>
      <c r="D2765" s="139"/>
      <c r="E2765" s="213"/>
      <c r="F2765" s="139"/>
      <c r="G2765" s="139"/>
      <c r="H2765" s="139"/>
      <c r="I2765" s="141"/>
      <c r="J2765" s="139"/>
      <c r="K2765" s="139"/>
    </row>
    <row r="2766" spans="1:11" ht="12.75" x14ac:dyDescent="0.2">
      <c r="A2766" s="139"/>
      <c r="B2766" s="139"/>
      <c r="C2766" s="211"/>
      <c r="D2766" s="139"/>
      <c r="E2766" s="213"/>
      <c r="F2766" s="139"/>
      <c r="G2766" s="139"/>
      <c r="H2766" s="139"/>
      <c r="I2766" s="141"/>
      <c r="J2766" s="139"/>
      <c r="K2766" s="139"/>
    </row>
    <row r="2767" spans="1:11" ht="12.75" x14ac:dyDescent="0.2">
      <c r="A2767" s="139"/>
      <c r="B2767" s="139"/>
      <c r="C2767" s="211"/>
      <c r="D2767" s="139"/>
      <c r="E2767" s="213"/>
      <c r="F2767" s="139"/>
      <c r="G2767" s="139"/>
      <c r="H2767" s="139"/>
      <c r="I2767" s="141"/>
      <c r="J2767" s="139"/>
      <c r="K2767" s="139"/>
    </row>
    <row r="2768" spans="1:11" ht="12.75" x14ac:dyDescent="0.2">
      <c r="A2768" s="139"/>
      <c r="B2768" s="139"/>
      <c r="C2768" s="211"/>
      <c r="D2768" s="139"/>
      <c r="E2768" s="213"/>
      <c r="F2768" s="139"/>
      <c r="G2768" s="139"/>
      <c r="H2768" s="139"/>
      <c r="I2768" s="141"/>
      <c r="J2768" s="139"/>
      <c r="K2768" s="139"/>
    </row>
    <row r="2769" spans="1:11" ht="12.75" x14ac:dyDescent="0.2">
      <c r="A2769" s="139"/>
      <c r="B2769" s="139"/>
      <c r="C2769" s="211"/>
      <c r="D2769" s="139"/>
      <c r="E2769" s="213"/>
      <c r="F2769" s="139"/>
      <c r="G2769" s="139"/>
      <c r="H2769" s="139"/>
      <c r="I2769" s="141"/>
      <c r="J2769" s="139"/>
      <c r="K2769" s="139"/>
    </row>
    <row r="2770" spans="1:11" ht="12.75" x14ac:dyDescent="0.2">
      <c r="A2770" s="139"/>
      <c r="B2770" s="139"/>
      <c r="C2770" s="211"/>
      <c r="D2770" s="139"/>
      <c r="E2770" s="213"/>
      <c r="F2770" s="139"/>
      <c r="G2770" s="139"/>
      <c r="H2770" s="139"/>
      <c r="I2770" s="141"/>
      <c r="J2770" s="139"/>
      <c r="K2770" s="139"/>
    </row>
    <row r="2771" spans="1:11" ht="12.75" x14ac:dyDescent="0.2">
      <c r="A2771" s="139"/>
      <c r="B2771" s="139"/>
      <c r="C2771" s="211"/>
      <c r="D2771" s="139"/>
      <c r="E2771" s="213"/>
      <c r="F2771" s="139"/>
      <c r="G2771" s="139"/>
      <c r="H2771" s="139"/>
      <c r="I2771" s="141"/>
      <c r="J2771" s="139"/>
      <c r="K2771" s="139"/>
    </row>
    <row r="2772" spans="1:11" ht="12.75" x14ac:dyDescent="0.2">
      <c r="A2772" s="139"/>
      <c r="B2772" s="139"/>
      <c r="C2772" s="211"/>
      <c r="D2772" s="139"/>
      <c r="E2772" s="213"/>
      <c r="F2772" s="139"/>
      <c r="G2772" s="139"/>
      <c r="H2772" s="139"/>
      <c r="I2772" s="141"/>
      <c r="J2772" s="139"/>
      <c r="K2772" s="139"/>
    </row>
    <row r="2773" spans="1:11" ht="12.75" x14ac:dyDescent="0.2">
      <c r="A2773" s="139"/>
      <c r="B2773" s="139"/>
      <c r="C2773" s="211"/>
      <c r="D2773" s="139"/>
      <c r="E2773" s="213"/>
      <c r="F2773" s="139"/>
      <c r="G2773" s="139"/>
      <c r="H2773" s="139"/>
      <c r="I2773" s="141"/>
      <c r="J2773" s="139"/>
      <c r="K2773" s="139"/>
    </row>
    <row r="2774" spans="1:11" ht="12.75" x14ac:dyDescent="0.2">
      <c r="A2774" s="139"/>
      <c r="B2774" s="139"/>
      <c r="C2774" s="211"/>
      <c r="D2774" s="139"/>
      <c r="E2774" s="213"/>
      <c r="F2774" s="139"/>
      <c r="G2774" s="139"/>
      <c r="H2774" s="139"/>
      <c r="I2774" s="141"/>
      <c r="J2774" s="139"/>
      <c r="K2774" s="139"/>
    </row>
    <row r="2775" spans="1:11" ht="12.75" x14ac:dyDescent="0.2">
      <c r="A2775" s="139"/>
      <c r="B2775" s="139"/>
      <c r="C2775" s="211"/>
      <c r="D2775" s="139"/>
      <c r="E2775" s="213"/>
      <c r="F2775" s="139"/>
      <c r="G2775" s="139"/>
      <c r="H2775" s="139"/>
      <c r="I2775" s="141"/>
      <c r="J2775" s="139"/>
      <c r="K2775" s="139"/>
    </row>
    <row r="2776" spans="1:11" ht="12.75" x14ac:dyDescent="0.2">
      <c r="A2776" s="139"/>
      <c r="B2776" s="139"/>
      <c r="C2776" s="211"/>
      <c r="D2776" s="139"/>
      <c r="E2776" s="213"/>
      <c r="F2776" s="139"/>
      <c r="G2776" s="139"/>
      <c r="H2776" s="139"/>
      <c r="I2776" s="141"/>
      <c r="J2776" s="139"/>
      <c r="K2776" s="139"/>
    </row>
    <row r="2777" spans="1:11" ht="12.75" x14ac:dyDescent="0.2">
      <c r="A2777" s="139"/>
      <c r="B2777" s="139"/>
      <c r="C2777" s="211"/>
      <c r="D2777" s="139"/>
      <c r="E2777" s="213"/>
      <c r="F2777" s="139"/>
      <c r="G2777" s="139"/>
      <c r="H2777" s="139"/>
      <c r="I2777" s="141"/>
      <c r="J2777" s="139"/>
      <c r="K2777" s="139"/>
    </row>
    <row r="2778" spans="1:11" ht="12.75" x14ac:dyDescent="0.2">
      <c r="A2778" s="139"/>
      <c r="B2778" s="139"/>
      <c r="C2778" s="211"/>
      <c r="D2778" s="139"/>
      <c r="E2778" s="213"/>
      <c r="F2778" s="139"/>
      <c r="G2778" s="139"/>
      <c r="H2778" s="139"/>
      <c r="I2778" s="141"/>
      <c r="J2778" s="139"/>
      <c r="K2778" s="139"/>
    </row>
    <row r="2779" spans="1:11" ht="12.75" x14ac:dyDescent="0.2">
      <c r="A2779" s="139"/>
      <c r="B2779" s="139"/>
      <c r="C2779" s="211"/>
      <c r="D2779" s="139"/>
      <c r="E2779" s="213"/>
      <c r="F2779" s="139"/>
      <c r="G2779" s="139"/>
      <c r="H2779" s="139"/>
      <c r="I2779" s="141"/>
      <c r="J2779" s="139"/>
      <c r="K2779" s="139"/>
    </row>
    <row r="2780" spans="1:11" ht="12.75" x14ac:dyDescent="0.2">
      <c r="A2780" s="139"/>
      <c r="B2780" s="139"/>
      <c r="C2780" s="211"/>
      <c r="D2780" s="139"/>
      <c r="E2780" s="213"/>
      <c r="F2780" s="139"/>
      <c r="G2780" s="139"/>
      <c r="H2780" s="139"/>
      <c r="I2780" s="141"/>
      <c r="J2780" s="139"/>
      <c r="K2780" s="139"/>
    </row>
    <row r="2781" spans="1:11" ht="12.75" x14ac:dyDescent="0.2">
      <c r="A2781" s="139"/>
      <c r="B2781" s="139"/>
      <c r="C2781" s="211"/>
      <c r="D2781" s="139"/>
      <c r="E2781" s="213"/>
      <c r="F2781" s="139"/>
      <c r="G2781" s="139"/>
      <c r="H2781" s="139"/>
      <c r="I2781" s="141"/>
      <c r="J2781" s="139"/>
      <c r="K2781" s="139"/>
    </row>
    <row r="2782" spans="1:11" ht="12.75" x14ac:dyDescent="0.2">
      <c r="A2782" s="139"/>
      <c r="B2782" s="139"/>
      <c r="C2782" s="211"/>
      <c r="D2782" s="139"/>
      <c r="E2782" s="213"/>
      <c r="F2782" s="139"/>
      <c r="G2782" s="139"/>
      <c r="H2782" s="139"/>
      <c r="I2782" s="141"/>
      <c r="J2782" s="139"/>
      <c r="K2782" s="139"/>
    </row>
    <row r="2783" spans="1:11" ht="12.75" x14ac:dyDescent="0.2">
      <c r="A2783" s="139"/>
      <c r="B2783" s="139"/>
      <c r="C2783" s="211"/>
      <c r="D2783" s="139"/>
      <c r="E2783" s="213"/>
      <c r="F2783" s="139"/>
      <c r="G2783" s="139"/>
      <c r="H2783" s="139"/>
      <c r="I2783" s="141"/>
      <c r="J2783" s="139"/>
      <c r="K2783" s="139"/>
    </row>
    <row r="2784" spans="1:11" ht="12.75" x14ac:dyDescent="0.2">
      <c r="A2784" s="139"/>
      <c r="B2784" s="139"/>
      <c r="C2784" s="211"/>
      <c r="D2784" s="139"/>
      <c r="E2784" s="213"/>
      <c r="F2784" s="139"/>
      <c r="G2784" s="139"/>
      <c r="H2784" s="139"/>
      <c r="I2784" s="141"/>
      <c r="J2784" s="139"/>
      <c r="K2784" s="139"/>
    </row>
    <row r="2785" spans="1:11" ht="12.75" x14ac:dyDescent="0.2">
      <c r="A2785" s="139"/>
      <c r="B2785" s="139"/>
      <c r="C2785" s="211"/>
      <c r="D2785" s="139"/>
      <c r="E2785" s="213"/>
      <c r="F2785" s="139"/>
      <c r="G2785" s="139"/>
      <c r="H2785" s="139"/>
      <c r="I2785" s="141"/>
      <c r="J2785" s="139"/>
      <c r="K2785" s="139"/>
    </row>
    <row r="2786" spans="1:11" ht="12.75" x14ac:dyDescent="0.2">
      <c r="A2786" s="139"/>
      <c r="B2786" s="139"/>
      <c r="C2786" s="211"/>
      <c r="D2786" s="139"/>
      <c r="E2786" s="213"/>
      <c r="F2786" s="139"/>
      <c r="G2786" s="139"/>
      <c r="H2786" s="139"/>
      <c r="I2786" s="141"/>
      <c r="J2786" s="139"/>
      <c r="K2786" s="139"/>
    </row>
    <row r="2787" spans="1:11" ht="12.75" x14ac:dyDescent="0.2">
      <c r="A2787" s="139"/>
      <c r="B2787" s="139"/>
      <c r="C2787" s="211"/>
      <c r="D2787" s="139"/>
      <c r="E2787" s="213"/>
      <c r="F2787" s="139"/>
      <c r="G2787" s="139"/>
      <c r="H2787" s="139"/>
      <c r="I2787" s="141"/>
      <c r="J2787" s="139"/>
      <c r="K2787" s="139"/>
    </row>
    <row r="2788" spans="1:11" ht="12.75" x14ac:dyDescent="0.2">
      <c r="A2788" s="139"/>
      <c r="B2788" s="139"/>
      <c r="C2788" s="211"/>
      <c r="D2788" s="139"/>
      <c r="E2788" s="213"/>
      <c r="F2788" s="139"/>
      <c r="G2788" s="139"/>
      <c r="H2788" s="139"/>
      <c r="I2788" s="141"/>
      <c r="J2788" s="139"/>
      <c r="K2788" s="139"/>
    </row>
    <row r="2789" spans="1:11" ht="12.75" x14ac:dyDescent="0.2">
      <c r="A2789" s="139"/>
      <c r="B2789" s="139"/>
      <c r="C2789" s="211"/>
      <c r="D2789" s="139"/>
      <c r="E2789" s="213"/>
      <c r="F2789" s="139"/>
      <c r="G2789" s="139"/>
      <c r="H2789" s="139"/>
      <c r="I2789" s="141"/>
      <c r="J2789" s="139"/>
      <c r="K2789" s="139"/>
    </row>
    <row r="2790" spans="1:11" ht="12.75" x14ac:dyDescent="0.2">
      <c r="A2790" s="139"/>
      <c r="B2790" s="139"/>
      <c r="C2790" s="211"/>
      <c r="D2790" s="139"/>
      <c r="E2790" s="213"/>
      <c r="F2790" s="139"/>
      <c r="G2790" s="139"/>
      <c r="H2790" s="139"/>
      <c r="I2790" s="141"/>
      <c r="J2790" s="139"/>
      <c r="K2790" s="139"/>
    </row>
    <row r="2791" spans="1:11" ht="12.75" x14ac:dyDescent="0.2">
      <c r="A2791" s="139"/>
      <c r="B2791" s="139"/>
      <c r="C2791" s="211"/>
      <c r="D2791" s="139"/>
      <c r="E2791" s="213"/>
      <c r="F2791" s="139"/>
      <c r="G2791" s="139"/>
      <c r="H2791" s="139"/>
      <c r="I2791" s="141"/>
      <c r="J2791" s="139"/>
      <c r="K2791" s="139"/>
    </row>
    <row r="2792" spans="1:11" ht="12.75" x14ac:dyDescent="0.2">
      <c r="A2792" s="139"/>
      <c r="B2792" s="139"/>
      <c r="C2792" s="211"/>
      <c r="D2792" s="139"/>
      <c r="E2792" s="213"/>
      <c r="F2792" s="139"/>
      <c r="G2792" s="139"/>
      <c r="H2792" s="139"/>
      <c r="I2792" s="141"/>
      <c r="J2792" s="139"/>
      <c r="K2792" s="139"/>
    </row>
    <row r="2793" spans="1:11" ht="12.75" x14ac:dyDescent="0.2">
      <c r="A2793" s="139"/>
      <c r="B2793" s="139"/>
      <c r="C2793" s="211"/>
      <c r="D2793" s="139"/>
      <c r="E2793" s="213"/>
      <c r="F2793" s="139"/>
      <c r="G2793" s="139"/>
      <c r="H2793" s="139"/>
      <c r="I2793" s="141"/>
      <c r="J2793" s="139"/>
      <c r="K2793" s="139"/>
    </row>
    <row r="2794" spans="1:11" ht="12.75" x14ac:dyDescent="0.2">
      <c r="A2794" s="139"/>
      <c r="B2794" s="139"/>
      <c r="C2794" s="211"/>
      <c r="D2794" s="139"/>
      <c r="E2794" s="213"/>
      <c r="F2794" s="139"/>
      <c r="G2794" s="139"/>
      <c r="H2794" s="139"/>
      <c r="I2794" s="141"/>
      <c r="J2794" s="139"/>
      <c r="K2794" s="139"/>
    </row>
    <row r="2795" spans="1:11" ht="12.75" x14ac:dyDescent="0.2">
      <c r="A2795" s="139"/>
      <c r="B2795" s="139"/>
      <c r="C2795" s="211"/>
      <c r="D2795" s="139"/>
      <c r="E2795" s="213"/>
      <c r="F2795" s="139"/>
      <c r="G2795" s="139"/>
      <c r="H2795" s="139"/>
      <c r="I2795" s="141"/>
      <c r="J2795" s="139"/>
      <c r="K2795" s="139"/>
    </row>
    <row r="2796" spans="1:11" ht="12.75" x14ac:dyDescent="0.2">
      <c r="A2796" s="139"/>
      <c r="B2796" s="139"/>
      <c r="C2796" s="211"/>
      <c r="D2796" s="139"/>
      <c r="E2796" s="213"/>
      <c r="F2796" s="139"/>
      <c r="G2796" s="139"/>
      <c r="H2796" s="139"/>
      <c r="I2796" s="141"/>
      <c r="J2796" s="139"/>
      <c r="K2796" s="139"/>
    </row>
    <row r="2797" spans="1:11" ht="12.75" x14ac:dyDescent="0.2">
      <c r="A2797" s="139"/>
      <c r="B2797" s="139"/>
      <c r="C2797" s="211"/>
      <c r="D2797" s="139"/>
      <c r="E2797" s="213"/>
      <c r="F2797" s="139"/>
      <c r="G2797" s="139"/>
      <c r="H2797" s="139"/>
      <c r="I2797" s="141"/>
      <c r="J2797" s="139"/>
      <c r="K2797" s="139"/>
    </row>
    <row r="2798" spans="1:11" ht="12.75" x14ac:dyDescent="0.2">
      <c r="A2798" s="139"/>
      <c r="B2798" s="139"/>
      <c r="C2798" s="211"/>
      <c r="D2798" s="139"/>
      <c r="E2798" s="213"/>
      <c r="F2798" s="139"/>
      <c r="G2798" s="139"/>
      <c r="H2798" s="139"/>
      <c r="I2798" s="141"/>
      <c r="J2798" s="139"/>
      <c r="K2798" s="139"/>
    </row>
    <row r="2799" spans="1:11" ht="12.75" x14ac:dyDescent="0.2">
      <c r="A2799" s="139"/>
      <c r="B2799" s="139"/>
      <c r="C2799" s="211"/>
      <c r="D2799" s="139"/>
      <c r="E2799" s="213"/>
      <c r="F2799" s="139"/>
      <c r="G2799" s="139"/>
      <c r="H2799" s="139"/>
      <c r="I2799" s="141"/>
      <c r="J2799" s="139"/>
      <c r="K2799" s="139"/>
    </row>
    <row r="2800" spans="1:11" ht="12.75" x14ac:dyDescent="0.2">
      <c r="A2800" s="139"/>
      <c r="B2800" s="139"/>
      <c r="C2800" s="211"/>
      <c r="D2800" s="139"/>
      <c r="E2800" s="213"/>
      <c r="F2800" s="139"/>
      <c r="G2800" s="139"/>
      <c r="H2800" s="139"/>
      <c r="I2800" s="141"/>
      <c r="J2800" s="139"/>
      <c r="K2800" s="139"/>
    </row>
    <row r="2801" spans="1:11" ht="12.75" x14ac:dyDescent="0.2">
      <c r="A2801" s="139"/>
      <c r="B2801" s="139"/>
      <c r="C2801" s="211"/>
      <c r="D2801" s="139"/>
      <c r="E2801" s="213"/>
      <c r="F2801" s="139"/>
      <c r="G2801" s="139"/>
      <c r="H2801" s="139"/>
      <c r="I2801" s="141"/>
      <c r="J2801" s="139"/>
      <c r="K2801" s="139"/>
    </row>
    <row r="2802" spans="1:11" ht="12.75" x14ac:dyDescent="0.2">
      <c r="A2802" s="139"/>
      <c r="B2802" s="139"/>
      <c r="C2802" s="211"/>
      <c r="D2802" s="139"/>
      <c r="E2802" s="213"/>
      <c r="F2802" s="139"/>
      <c r="G2802" s="139"/>
      <c r="H2802" s="139"/>
      <c r="I2802" s="141"/>
      <c r="J2802" s="139"/>
      <c r="K2802" s="139"/>
    </row>
    <row r="2803" spans="1:11" ht="12.75" x14ac:dyDescent="0.2">
      <c r="A2803" s="139"/>
      <c r="B2803" s="139"/>
      <c r="C2803" s="211"/>
      <c r="D2803" s="139"/>
      <c r="E2803" s="213"/>
      <c r="F2803" s="139"/>
      <c r="G2803" s="139"/>
      <c r="H2803" s="139"/>
      <c r="I2803" s="141"/>
      <c r="J2803" s="139"/>
      <c r="K2803" s="139"/>
    </row>
    <row r="2804" spans="1:11" ht="12.75" x14ac:dyDescent="0.2">
      <c r="A2804" s="139"/>
      <c r="B2804" s="139"/>
      <c r="C2804" s="211"/>
      <c r="D2804" s="139"/>
      <c r="E2804" s="213"/>
      <c r="F2804" s="139"/>
      <c r="G2804" s="139"/>
      <c r="H2804" s="139"/>
      <c r="I2804" s="141"/>
      <c r="J2804" s="139"/>
      <c r="K2804" s="139"/>
    </row>
    <row r="2805" spans="1:11" ht="12.75" x14ac:dyDescent="0.2">
      <c r="A2805" s="139"/>
      <c r="B2805" s="139"/>
      <c r="C2805" s="211"/>
      <c r="D2805" s="139"/>
      <c r="E2805" s="213"/>
      <c r="F2805" s="139"/>
      <c r="G2805" s="139"/>
      <c r="H2805" s="139"/>
      <c r="I2805" s="141"/>
      <c r="J2805" s="139"/>
      <c r="K2805" s="139"/>
    </row>
    <row r="2806" spans="1:11" ht="12.75" x14ac:dyDescent="0.2">
      <c r="A2806" s="139"/>
      <c r="B2806" s="139"/>
      <c r="C2806" s="211"/>
      <c r="D2806" s="139"/>
      <c r="E2806" s="213"/>
      <c r="F2806" s="139"/>
      <c r="G2806" s="139"/>
      <c r="H2806" s="139"/>
      <c r="I2806" s="141"/>
      <c r="J2806" s="139"/>
      <c r="K2806" s="139"/>
    </row>
    <row r="2807" spans="1:11" ht="12.75" x14ac:dyDescent="0.2">
      <c r="A2807" s="139"/>
      <c r="B2807" s="139"/>
      <c r="C2807" s="211"/>
      <c r="D2807" s="139"/>
      <c r="E2807" s="213"/>
      <c r="F2807" s="139"/>
      <c r="G2807" s="139"/>
      <c r="H2807" s="139"/>
      <c r="I2807" s="141"/>
      <c r="J2807" s="139"/>
      <c r="K2807" s="139"/>
    </row>
    <row r="2808" spans="1:11" ht="12.75" x14ac:dyDescent="0.2">
      <c r="A2808" s="139"/>
      <c r="B2808" s="139"/>
      <c r="C2808" s="211"/>
      <c r="D2808" s="139"/>
      <c r="E2808" s="213"/>
      <c r="F2808" s="139"/>
      <c r="G2808" s="139"/>
      <c r="H2808" s="139"/>
      <c r="I2808" s="141"/>
      <c r="J2808" s="139"/>
      <c r="K2808" s="139"/>
    </row>
    <row r="2809" spans="1:11" ht="12.75" x14ac:dyDescent="0.2">
      <c r="A2809" s="139"/>
      <c r="B2809" s="139"/>
      <c r="C2809" s="211"/>
      <c r="D2809" s="139"/>
      <c r="E2809" s="213"/>
      <c r="F2809" s="139"/>
      <c r="G2809" s="139"/>
      <c r="H2809" s="139"/>
      <c r="I2809" s="141"/>
      <c r="J2809" s="139"/>
      <c r="K2809" s="139"/>
    </row>
    <row r="2810" spans="1:11" ht="12.75" x14ac:dyDescent="0.2">
      <c r="A2810" s="139"/>
      <c r="B2810" s="139"/>
      <c r="C2810" s="211"/>
      <c r="D2810" s="139"/>
      <c r="E2810" s="213"/>
      <c r="F2810" s="139"/>
      <c r="G2810" s="139"/>
      <c r="H2810" s="139"/>
      <c r="I2810" s="141"/>
      <c r="J2810" s="139"/>
      <c r="K2810" s="139"/>
    </row>
    <row r="2811" spans="1:11" ht="12.75" x14ac:dyDescent="0.2">
      <c r="A2811" s="139"/>
      <c r="B2811" s="139"/>
      <c r="C2811" s="211"/>
      <c r="D2811" s="139"/>
      <c r="E2811" s="213"/>
      <c r="F2811" s="139"/>
      <c r="G2811" s="139"/>
      <c r="H2811" s="139"/>
      <c r="I2811" s="141"/>
      <c r="J2811" s="139"/>
      <c r="K2811" s="139"/>
    </row>
    <row r="2812" spans="1:11" ht="12.75" x14ac:dyDescent="0.2">
      <c r="A2812" s="139"/>
      <c r="B2812" s="139"/>
      <c r="C2812" s="211"/>
      <c r="D2812" s="139"/>
      <c r="E2812" s="213"/>
      <c r="F2812" s="139"/>
      <c r="G2812" s="139"/>
      <c r="H2812" s="139"/>
      <c r="I2812" s="141"/>
      <c r="J2812" s="139"/>
      <c r="K2812" s="139"/>
    </row>
    <row r="2813" spans="1:11" ht="12.75" x14ac:dyDescent="0.2">
      <c r="A2813" s="139"/>
      <c r="B2813" s="139"/>
      <c r="C2813" s="211"/>
      <c r="D2813" s="139"/>
      <c r="E2813" s="213"/>
      <c r="F2813" s="139"/>
      <c r="G2813" s="139"/>
      <c r="H2813" s="139"/>
      <c r="I2813" s="141"/>
      <c r="J2813" s="139"/>
      <c r="K2813" s="139"/>
    </row>
    <row r="2814" spans="1:11" ht="12.75" x14ac:dyDescent="0.2">
      <c r="A2814" s="139"/>
      <c r="B2814" s="139"/>
      <c r="C2814" s="211"/>
      <c r="D2814" s="139"/>
      <c r="E2814" s="213"/>
      <c r="F2814" s="139"/>
      <c r="G2814" s="139"/>
      <c r="H2814" s="139"/>
      <c r="I2814" s="141"/>
      <c r="J2814" s="139"/>
      <c r="K2814" s="139"/>
    </row>
    <row r="2815" spans="1:11" ht="12.75" x14ac:dyDescent="0.2">
      <c r="A2815" s="139"/>
      <c r="B2815" s="139"/>
      <c r="C2815" s="211"/>
      <c r="D2815" s="139"/>
      <c r="E2815" s="213"/>
      <c r="F2815" s="139"/>
      <c r="G2815" s="139"/>
      <c r="H2815" s="139"/>
      <c r="I2815" s="141"/>
      <c r="J2815" s="139"/>
      <c r="K2815" s="139"/>
    </row>
    <row r="2816" spans="1:11" ht="12.75" x14ac:dyDescent="0.2">
      <c r="A2816" s="139"/>
      <c r="B2816" s="139"/>
      <c r="C2816" s="211"/>
      <c r="D2816" s="139"/>
      <c r="E2816" s="213"/>
      <c r="F2816" s="139"/>
      <c r="G2816" s="139"/>
      <c r="H2816" s="139"/>
      <c r="I2816" s="141"/>
      <c r="J2816" s="139"/>
      <c r="K2816" s="139"/>
    </row>
    <row r="2817" spans="1:11" ht="12.75" x14ac:dyDescent="0.2">
      <c r="A2817" s="139"/>
      <c r="B2817" s="139"/>
      <c r="C2817" s="211"/>
      <c r="D2817" s="139"/>
      <c r="E2817" s="213"/>
      <c r="F2817" s="139"/>
      <c r="G2817" s="139"/>
      <c r="H2817" s="139"/>
      <c r="I2817" s="141"/>
      <c r="J2817" s="139"/>
      <c r="K2817" s="139"/>
    </row>
    <row r="2818" spans="1:11" ht="12.75" x14ac:dyDescent="0.2">
      <c r="A2818" s="139"/>
      <c r="B2818" s="139"/>
      <c r="C2818" s="211"/>
      <c r="D2818" s="139"/>
      <c r="E2818" s="213"/>
      <c r="F2818" s="139"/>
      <c r="G2818" s="139"/>
      <c r="H2818" s="139"/>
      <c r="I2818" s="141"/>
      <c r="J2818" s="139"/>
      <c r="K2818" s="139"/>
    </row>
    <row r="2819" spans="1:11" ht="12.75" x14ac:dyDescent="0.2">
      <c r="A2819" s="139"/>
      <c r="B2819" s="139"/>
      <c r="C2819" s="211"/>
      <c r="D2819" s="139"/>
      <c r="E2819" s="213"/>
      <c r="F2819" s="139"/>
      <c r="G2819" s="139"/>
      <c r="H2819" s="139"/>
      <c r="I2819" s="141"/>
      <c r="J2819" s="139"/>
      <c r="K2819" s="139"/>
    </row>
    <row r="2820" spans="1:11" ht="12.75" x14ac:dyDescent="0.2">
      <c r="A2820" s="139"/>
      <c r="B2820" s="139"/>
      <c r="C2820" s="211"/>
      <c r="D2820" s="139"/>
      <c r="E2820" s="213"/>
      <c r="F2820" s="139"/>
      <c r="G2820" s="139"/>
      <c r="H2820" s="139"/>
      <c r="I2820" s="141"/>
      <c r="J2820" s="139"/>
      <c r="K2820" s="139"/>
    </row>
    <row r="2821" spans="1:11" ht="12.75" x14ac:dyDescent="0.2">
      <c r="A2821" s="139"/>
      <c r="B2821" s="139"/>
      <c r="C2821" s="211"/>
      <c r="D2821" s="139"/>
      <c r="E2821" s="213"/>
      <c r="F2821" s="139"/>
      <c r="G2821" s="139"/>
      <c r="H2821" s="139"/>
      <c r="I2821" s="141"/>
      <c r="J2821" s="139"/>
      <c r="K2821" s="139"/>
    </row>
    <row r="2822" spans="1:11" ht="12.75" x14ac:dyDescent="0.2">
      <c r="A2822" s="139"/>
      <c r="B2822" s="139"/>
      <c r="C2822" s="211"/>
      <c r="D2822" s="139"/>
      <c r="E2822" s="213"/>
      <c r="F2822" s="139"/>
      <c r="G2822" s="139"/>
      <c r="H2822" s="139"/>
      <c r="I2822" s="141"/>
      <c r="J2822" s="139"/>
      <c r="K2822" s="139"/>
    </row>
    <row r="2823" spans="1:11" ht="12.75" x14ac:dyDescent="0.2">
      <c r="A2823" s="139"/>
      <c r="B2823" s="139"/>
      <c r="C2823" s="211"/>
      <c r="D2823" s="139"/>
      <c r="E2823" s="213"/>
      <c r="F2823" s="139"/>
      <c r="G2823" s="139"/>
      <c r="H2823" s="139"/>
      <c r="I2823" s="141"/>
      <c r="J2823" s="139"/>
      <c r="K2823" s="139"/>
    </row>
    <row r="2824" spans="1:11" ht="12.75" x14ac:dyDescent="0.2">
      <c r="A2824" s="139"/>
      <c r="B2824" s="139"/>
      <c r="C2824" s="211"/>
      <c r="D2824" s="139"/>
      <c r="E2824" s="213"/>
      <c r="F2824" s="139"/>
      <c r="G2824" s="139"/>
      <c r="H2824" s="139"/>
      <c r="I2824" s="141"/>
      <c r="J2824" s="139"/>
      <c r="K2824" s="139"/>
    </row>
    <row r="2825" spans="1:11" ht="12.75" x14ac:dyDescent="0.2">
      <c r="A2825" s="139"/>
      <c r="B2825" s="139"/>
      <c r="C2825" s="211"/>
      <c r="D2825" s="139"/>
      <c r="E2825" s="213"/>
      <c r="F2825" s="139"/>
      <c r="G2825" s="139"/>
      <c r="H2825" s="139"/>
      <c r="I2825" s="141"/>
      <c r="J2825" s="139"/>
      <c r="K2825" s="139"/>
    </row>
    <row r="2826" spans="1:11" ht="12.75" x14ac:dyDescent="0.2">
      <c r="A2826" s="139"/>
      <c r="B2826" s="139"/>
      <c r="C2826" s="211"/>
      <c r="D2826" s="139"/>
      <c r="E2826" s="213"/>
      <c r="F2826" s="139"/>
      <c r="G2826" s="139"/>
      <c r="H2826" s="139"/>
      <c r="I2826" s="141"/>
      <c r="J2826" s="139"/>
      <c r="K2826" s="139"/>
    </row>
    <row r="2827" spans="1:11" ht="12.75" x14ac:dyDescent="0.2">
      <c r="A2827" s="139"/>
      <c r="B2827" s="139"/>
      <c r="C2827" s="211"/>
      <c r="D2827" s="139"/>
      <c r="E2827" s="213"/>
      <c r="F2827" s="139"/>
      <c r="G2827" s="139"/>
      <c r="H2827" s="139"/>
      <c r="I2827" s="141"/>
      <c r="J2827" s="139"/>
      <c r="K2827" s="139"/>
    </row>
    <row r="2828" spans="1:11" ht="12.75" x14ac:dyDescent="0.2">
      <c r="A2828" s="139"/>
      <c r="B2828" s="139"/>
      <c r="C2828" s="211"/>
      <c r="D2828" s="139"/>
      <c r="E2828" s="213"/>
      <c r="F2828" s="139"/>
      <c r="G2828" s="139"/>
      <c r="H2828" s="139"/>
      <c r="I2828" s="141"/>
      <c r="J2828" s="139"/>
      <c r="K2828" s="139"/>
    </row>
    <row r="2829" spans="1:11" ht="12.75" x14ac:dyDescent="0.2">
      <c r="A2829" s="139"/>
      <c r="B2829" s="139"/>
      <c r="C2829" s="211"/>
      <c r="D2829" s="139"/>
      <c r="E2829" s="213"/>
      <c r="F2829" s="139"/>
      <c r="G2829" s="139"/>
      <c r="H2829" s="139"/>
      <c r="I2829" s="141"/>
      <c r="J2829" s="139"/>
      <c r="K2829" s="139"/>
    </row>
    <row r="2830" spans="1:11" ht="12.75" x14ac:dyDescent="0.2">
      <c r="A2830" s="139"/>
      <c r="B2830" s="139"/>
      <c r="C2830" s="211"/>
      <c r="D2830" s="139"/>
      <c r="E2830" s="213"/>
      <c r="F2830" s="139"/>
      <c r="G2830" s="139"/>
      <c r="H2830" s="139"/>
      <c r="I2830" s="141"/>
      <c r="J2830" s="139"/>
      <c r="K2830" s="139"/>
    </row>
    <row r="2831" spans="1:11" ht="12.75" x14ac:dyDescent="0.2">
      <c r="A2831" s="139"/>
      <c r="B2831" s="139"/>
      <c r="C2831" s="211"/>
      <c r="D2831" s="139"/>
      <c r="E2831" s="213"/>
      <c r="F2831" s="139"/>
      <c r="G2831" s="139"/>
      <c r="H2831" s="139"/>
      <c r="I2831" s="141"/>
      <c r="J2831" s="139"/>
      <c r="K2831" s="139"/>
    </row>
    <row r="2832" spans="1:11" ht="12.75" x14ac:dyDescent="0.2">
      <c r="A2832" s="139"/>
      <c r="B2832" s="139"/>
      <c r="C2832" s="211"/>
      <c r="D2832" s="139"/>
      <c r="E2832" s="213"/>
      <c r="F2832" s="139"/>
      <c r="G2832" s="139"/>
      <c r="H2832" s="139"/>
      <c r="I2832" s="141"/>
      <c r="J2832" s="139"/>
      <c r="K2832" s="139"/>
    </row>
    <row r="2833" spans="1:11" ht="12.75" x14ac:dyDescent="0.2">
      <c r="A2833" s="139"/>
      <c r="B2833" s="139"/>
      <c r="C2833" s="211"/>
      <c r="D2833" s="139"/>
      <c r="E2833" s="213"/>
      <c r="F2833" s="139"/>
      <c r="G2833" s="139"/>
      <c r="H2833" s="139"/>
      <c r="I2833" s="141"/>
      <c r="J2833" s="139"/>
      <c r="K2833" s="139"/>
    </row>
    <row r="2834" spans="1:11" ht="12.75" x14ac:dyDescent="0.2">
      <c r="A2834" s="139"/>
      <c r="B2834" s="139"/>
      <c r="C2834" s="211"/>
      <c r="D2834" s="139"/>
      <c r="E2834" s="213"/>
      <c r="F2834" s="139"/>
      <c r="G2834" s="139"/>
      <c r="H2834" s="139"/>
      <c r="I2834" s="141"/>
      <c r="J2834" s="139"/>
      <c r="K2834" s="139"/>
    </row>
    <row r="2835" spans="1:11" ht="12.75" x14ac:dyDescent="0.2">
      <c r="A2835" s="139"/>
      <c r="B2835" s="139"/>
      <c r="C2835" s="211"/>
      <c r="D2835" s="139"/>
      <c r="E2835" s="213"/>
      <c r="F2835" s="139"/>
      <c r="G2835" s="139"/>
      <c r="H2835" s="139"/>
      <c r="I2835" s="141"/>
      <c r="J2835" s="139"/>
      <c r="K2835" s="139"/>
    </row>
    <row r="2836" spans="1:11" ht="12.75" x14ac:dyDescent="0.2">
      <c r="A2836" s="139"/>
      <c r="B2836" s="139"/>
      <c r="C2836" s="211"/>
      <c r="D2836" s="139"/>
      <c r="E2836" s="213"/>
      <c r="F2836" s="139"/>
      <c r="G2836" s="139"/>
      <c r="H2836" s="139"/>
      <c r="I2836" s="141"/>
      <c r="J2836" s="139"/>
      <c r="K2836" s="139"/>
    </row>
    <row r="2837" spans="1:11" ht="12.75" x14ac:dyDescent="0.2">
      <c r="A2837" s="139"/>
      <c r="B2837" s="139"/>
      <c r="C2837" s="211"/>
      <c r="D2837" s="139"/>
      <c r="E2837" s="213"/>
      <c r="F2837" s="139"/>
      <c r="G2837" s="139"/>
      <c r="H2837" s="139"/>
      <c r="I2837" s="141"/>
      <c r="J2837" s="139"/>
      <c r="K2837" s="139"/>
    </row>
    <row r="2838" spans="1:11" ht="12.75" x14ac:dyDescent="0.2">
      <c r="A2838" s="139"/>
      <c r="B2838" s="139"/>
      <c r="C2838" s="211"/>
      <c r="D2838" s="139"/>
      <c r="E2838" s="213"/>
      <c r="F2838" s="139"/>
      <c r="G2838" s="139"/>
      <c r="H2838" s="139"/>
      <c r="I2838" s="141"/>
      <c r="J2838" s="139"/>
      <c r="K2838" s="139"/>
    </row>
    <row r="2839" spans="1:11" ht="12.75" x14ac:dyDescent="0.2">
      <c r="A2839" s="139"/>
      <c r="B2839" s="139"/>
      <c r="C2839" s="211"/>
      <c r="D2839" s="139"/>
      <c r="E2839" s="213"/>
      <c r="F2839" s="139"/>
      <c r="G2839" s="139"/>
      <c r="H2839" s="139"/>
      <c r="I2839" s="141"/>
      <c r="J2839" s="139"/>
      <c r="K2839" s="139"/>
    </row>
    <row r="2840" spans="1:11" ht="12.75" x14ac:dyDescent="0.2">
      <c r="A2840" s="139"/>
      <c r="B2840" s="139"/>
      <c r="C2840" s="211"/>
      <c r="D2840" s="139"/>
      <c r="E2840" s="213"/>
      <c r="F2840" s="139"/>
      <c r="G2840" s="139"/>
      <c r="H2840" s="139"/>
      <c r="I2840" s="141"/>
      <c r="J2840" s="139"/>
      <c r="K2840" s="139"/>
    </row>
    <row r="2841" spans="1:11" ht="12.75" x14ac:dyDescent="0.2">
      <c r="A2841" s="139"/>
      <c r="B2841" s="139"/>
      <c r="C2841" s="211"/>
      <c r="D2841" s="139"/>
      <c r="E2841" s="213"/>
      <c r="F2841" s="139"/>
      <c r="G2841" s="139"/>
      <c r="H2841" s="139"/>
      <c r="I2841" s="141"/>
      <c r="J2841" s="139"/>
      <c r="K2841" s="139"/>
    </row>
    <row r="2842" spans="1:11" ht="12.75" x14ac:dyDescent="0.2">
      <c r="A2842" s="139"/>
      <c r="B2842" s="139"/>
      <c r="C2842" s="211"/>
      <c r="D2842" s="139"/>
      <c r="E2842" s="213"/>
      <c r="F2842" s="139"/>
      <c r="G2842" s="139"/>
      <c r="H2842" s="139"/>
      <c r="I2842" s="141"/>
      <c r="J2842" s="139"/>
      <c r="K2842" s="139"/>
    </row>
    <row r="2843" spans="1:11" ht="12.75" x14ac:dyDescent="0.2">
      <c r="A2843" s="139"/>
      <c r="B2843" s="139"/>
      <c r="C2843" s="211"/>
      <c r="D2843" s="139"/>
      <c r="E2843" s="213"/>
      <c r="F2843" s="139"/>
      <c r="G2843" s="139"/>
      <c r="H2843" s="139"/>
      <c r="I2843" s="141"/>
      <c r="J2843" s="139"/>
      <c r="K2843" s="139"/>
    </row>
    <row r="2844" spans="1:11" ht="12.75" x14ac:dyDescent="0.2">
      <c r="A2844" s="139"/>
      <c r="B2844" s="139"/>
      <c r="C2844" s="211"/>
      <c r="D2844" s="139"/>
      <c r="E2844" s="213"/>
      <c r="F2844" s="139"/>
      <c r="G2844" s="139"/>
      <c r="H2844" s="139"/>
      <c r="I2844" s="141"/>
      <c r="J2844" s="139"/>
      <c r="K2844" s="139"/>
    </row>
    <row r="2845" spans="1:11" ht="12.75" x14ac:dyDescent="0.2">
      <c r="A2845" s="139"/>
      <c r="B2845" s="139"/>
      <c r="C2845" s="211"/>
      <c r="D2845" s="139"/>
      <c r="E2845" s="213"/>
      <c r="F2845" s="139"/>
      <c r="G2845" s="139"/>
      <c r="H2845" s="139"/>
      <c r="I2845" s="141"/>
      <c r="J2845" s="139"/>
      <c r="K2845" s="139"/>
    </row>
    <row r="2846" spans="1:11" ht="12.75" x14ac:dyDescent="0.2">
      <c r="A2846" s="139"/>
      <c r="B2846" s="139"/>
      <c r="C2846" s="211"/>
      <c r="D2846" s="139"/>
      <c r="E2846" s="213"/>
      <c r="F2846" s="139"/>
      <c r="G2846" s="139"/>
      <c r="H2846" s="139"/>
      <c r="I2846" s="141"/>
      <c r="J2846" s="139"/>
      <c r="K2846" s="139"/>
    </row>
    <row r="2847" spans="1:11" ht="12.75" x14ac:dyDescent="0.2">
      <c r="A2847" s="139"/>
      <c r="B2847" s="139"/>
      <c r="C2847" s="211"/>
      <c r="D2847" s="139"/>
      <c r="E2847" s="213"/>
      <c r="F2847" s="139"/>
      <c r="G2847" s="139"/>
      <c r="H2847" s="139"/>
      <c r="I2847" s="141"/>
      <c r="J2847" s="139"/>
      <c r="K2847" s="139"/>
    </row>
    <row r="2848" spans="1:11" ht="12.75" x14ac:dyDescent="0.2">
      <c r="A2848" s="139"/>
      <c r="B2848" s="139"/>
      <c r="C2848" s="211"/>
      <c r="D2848" s="139"/>
      <c r="E2848" s="213"/>
      <c r="F2848" s="139"/>
      <c r="G2848" s="139"/>
      <c r="H2848" s="139"/>
      <c r="I2848" s="141"/>
      <c r="J2848" s="139"/>
      <c r="K2848" s="139"/>
    </row>
    <row r="2849" spans="1:11" ht="12.75" x14ac:dyDescent="0.2">
      <c r="A2849" s="139"/>
      <c r="B2849" s="139"/>
      <c r="C2849" s="211"/>
      <c r="D2849" s="139"/>
      <c r="E2849" s="213"/>
      <c r="F2849" s="139"/>
      <c r="G2849" s="139"/>
      <c r="H2849" s="139"/>
      <c r="I2849" s="141"/>
      <c r="J2849" s="139"/>
      <c r="K2849" s="139"/>
    </row>
    <row r="2850" spans="1:11" ht="12.75" x14ac:dyDescent="0.2">
      <c r="A2850" s="139"/>
      <c r="B2850" s="139"/>
      <c r="C2850" s="211"/>
      <c r="D2850" s="139"/>
      <c r="E2850" s="213"/>
      <c r="F2850" s="139"/>
      <c r="G2850" s="139"/>
      <c r="H2850" s="139"/>
      <c r="I2850" s="141"/>
      <c r="J2850" s="139"/>
      <c r="K2850" s="139"/>
    </row>
    <row r="2851" spans="1:11" ht="12.75" x14ac:dyDescent="0.2">
      <c r="A2851" s="139"/>
      <c r="B2851" s="139"/>
      <c r="C2851" s="211"/>
      <c r="D2851" s="139"/>
      <c r="E2851" s="213"/>
      <c r="F2851" s="139"/>
      <c r="G2851" s="139"/>
      <c r="H2851" s="139"/>
      <c r="I2851" s="141"/>
      <c r="J2851" s="139"/>
      <c r="K2851" s="139"/>
    </row>
    <row r="2852" spans="1:11" ht="12.75" x14ac:dyDescent="0.2">
      <c r="A2852" s="139"/>
      <c r="B2852" s="139"/>
      <c r="C2852" s="211"/>
      <c r="D2852" s="139"/>
      <c r="E2852" s="213"/>
      <c r="F2852" s="139"/>
      <c r="G2852" s="139"/>
      <c r="H2852" s="139"/>
      <c r="I2852" s="141"/>
      <c r="J2852" s="139"/>
      <c r="K2852" s="139"/>
    </row>
    <row r="2853" spans="1:11" ht="12.75" x14ac:dyDescent="0.2">
      <c r="A2853" s="139"/>
      <c r="B2853" s="139"/>
      <c r="C2853" s="211"/>
      <c r="D2853" s="139"/>
      <c r="E2853" s="213"/>
      <c r="F2853" s="139"/>
      <c r="G2853" s="139"/>
      <c r="H2853" s="139"/>
      <c r="I2853" s="141"/>
      <c r="J2853" s="139"/>
      <c r="K2853" s="139"/>
    </row>
    <row r="2854" spans="1:11" ht="12.75" x14ac:dyDescent="0.2">
      <c r="A2854" s="139"/>
      <c r="B2854" s="139"/>
      <c r="C2854" s="211"/>
      <c r="D2854" s="139"/>
      <c r="E2854" s="213"/>
      <c r="F2854" s="139"/>
      <c r="G2854" s="139"/>
      <c r="H2854" s="139"/>
      <c r="I2854" s="141"/>
      <c r="J2854" s="139"/>
      <c r="K2854" s="139"/>
    </row>
    <row r="2855" spans="1:11" ht="12.75" x14ac:dyDescent="0.2">
      <c r="A2855" s="139"/>
      <c r="B2855" s="139"/>
      <c r="C2855" s="211"/>
      <c r="D2855" s="139"/>
      <c r="E2855" s="213"/>
      <c r="F2855" s="139"/>
      <c r="G2855" s="139"/>
      <c r="H2855" s="139"/>
      <c r="I2855" s="141"/>
      <c r="J2855" s="139"/>
      <c r="K2855" s="139"/>
    </row>
    <row r="2856" spans="1:11" ht="12.75" x14ac:dyDescent="0.2">
      <c r="A2856" s="139"/>
      <c r="B2856" s="139"/>
      <c r="C2856" s="211"/>
      <c r="D2856" s="139"/>
      <c r="E2856" s="213"/>
      <c r="F2856" s="139"/>
      <c r="G2856" s="139"/>
      <c r="H2856" s="139"/>
      <c r="I2856" s="141"/>
      <c r="J2856" s="139"/>
      <c r="K2856" s="139"/>
    </row>
    <row r="2857" spans="1:11" ht="12.75" x14ac:dyDescent="0.2">
      <c r="A2857" s="139"/>
      <c r="B2857" s="139"/>
      <c r="C2857" s="211"/>
      <c r="D2857" s="139"/>
      <c r="E2857" s="213"/>
      <c r="F2857" s="139"/>
      <c r="G2857" s="139"/>
      <c r="H2857" s="139"/>
      <c r="I2857" s="141"/>
      <c r="J2857" s="139"/>
      <c r="K2857" s="139"/>
    </row>
    <row r="2858" spans="1:11" ht="12.75" x14ac:dyDescent="0.2">
      <c r="A2858" s="139"/>
      <c r="B2858" s="139"/>
      <c r="C2858" s="211"/>
      <c r="D2858" s="139"/>
      <c r="E2858" s="213"/>
      <c r="F2858" s="139"/>
      <c r="G2858" s="139"/>
      <c r="H2858" s="139"/>
      <c r="I2858" s="141"/>
      <c r="J2858" s="139"/>
      <c r="K2858" s="139"/>
    </row>
    <row r="2859" spans="1:11" ht="12.75" x14ac:dyDescent="0.2">
      <c r="A2859" s="139"/>
      <c r="B2859" s="139"/>
      <c r="C2859" s="211"/>
      <c r="D2859" s="139"/>
      <c r="E2859" s="213"/>
      <c r="F2859" s="139"/>
      <c r="G2859" s="139"/>
      <c r="H2859" s="139"/>
      <c r="I2859" s="141"/>
      <c r="J2859" s="139"/>
      <c r="K2859" s="139"/>
    </row>
    <row r="2860" spans="1:11" ht="12.75" x14ac:dyDescent="0.2">
      <c r="A2860" s="139"/>
      <c r="B2860" s="139"/>
      <c r="C2860" s="211"/>
      <c r="D2860" s="139"/>
      <c r="E2860" s="213"/>
      <c r="F2860" s="139"/>
      <c r="G2860" s="139"/>
      <c r="H2860" s="139"/>
      <c r="I2860" s="141"/>
      <c r="J2860" s="139"/>
      <c r="K2860" s="139"/>
    </row>
    <row r="2861" spans="1:11" ht="12.75" x14ac:dyDescent="0.2">
      <c r="A2861" s="139"/>
      <c r="B2861" s="139"/>
      <c r="C2861" s="211"/>
      <c r="D2861" s="139"/>
      <c r="E2861" s="213"/>
      <c r="F2861" s="139"/>
      <c r="G2861" s="139"/>
      <c r="H2861" s="139"/>
      <c r="I2861" s="141"/>
      <c r="J2861" s="139"/>
      <c r="K2861" s="139"/>
    </row>
    <row r="2862" spans="1:11" ht="12.75" x14ac:dyDescent="0.2">
      <c r="A2862" s="139"/>
      <c r="B2862" s="139"/>
      <c r="C2862" s="211"/>
      <c r="D2862" s="139"/>
      <c r="E2862" s="213"/>
      <c r="F2862" s="139"/>
      <c r="G2862" s="139"/>
      <c r="H2862" s="139"/>
      <c r="I2862" s="141"/>
      <c r="J2862" s="139"/>
      <c r="K2862" s="139"/>
    </row>
    <row r="2863" spans="1:11" ht="12.75" x14ac:dyDescent="0.2">
      <c r="A2863" s="139"/>
      <c r="B2863" s="139"/>
      <c r="C2863" s="211"/>
      <c r="D2863" s="139"/>
      <c r="E2863" s="213"/>
      <c r="F2863" s="139"/>
      <c r="G2863" s="139"/>
      <c r="H2863" s="139"/>
      <c r="I2863" s="141"/>
      <c r="J2863" s="139"/>
      <c r="K2863" s="139"/>
    </row>
    <row r="2864" spans="1:11" ht="12.75" x14ac:dyDescent="0.2">
      <c r="A2864" s="139"/>
      <c r="B2864" s="139"/>
      <c r="C2864" s="211"/>
      <c r="D2864" s="139"/>
      <c r="E2864" s="213"/>
      <c r="F2864" s="139"/>
      <c r="G2864" s="139"/>
      <c r="H2864" s="139"/>
      <c r="I2864" s="141"/>
      <c r="J2864" s="139"/>
      <c r="K2864" s="139"/>
    </row>
    <row r="2865" spans="1:11" ht="12.75" x14ac:dyDescent="0.2">
      <c r="A2865" s="139"/>
      <c r="B2865" s="139"/>
      <c r="C2865" s="211"/>
      <c r="D2865" s="139"/>
      <c r="E2865" s="213"/>
      <c r="F2865" s="139"/>
      <c r="G2865" s="139"/>
      <c r="H2865" s="139"/>
      <c r="I2865" s="141"/>
      <c r="J2865" s="139"/>
      <c r="K2865" s="139"/>
    </row>
    <row r="2866" spans="1:11" ht="12.75" x14ac:dyDescent="0.2">
      <c r="A2866" s="139"/>
      <c r="B2866" s="139"/>
      <c r="C2866" s="211"/>
      <c r="D2866" s="139"/>
      <c r="E2866" s="213"/>
      <c r="F2866" s="139"/>
      <c r="G2866" s="139"/>
      <c r="H2866" s="139"/>
      <c r="I2866" s="141"/>
      <c r="J2866" s="139"/>
      <c r="K2866" s="139"/>
    </row>
    <row r="2867" spans="1:11" ht="12.75" x14ac:dyDescent="0.2">
      <c r="A2867" s="139"/>
      <c r="B2867" s="139"/>
      <c r="C2867" s="211"/>
      <c r="D2867" s="139"/>
      <c r="E2867" s="213"/>
      <c r="F2867" s="139"/>
      <c r="G2867" s="139"/>
      <c r="H2867" s="139"/>
      <c r="I2867" s="141"/>
      <c r="J2867" s="139"/>
      <c r="K2867" s="139"/>
    </row>
    <row r="2868" spans="1:11" ht="12.75" x14ac:dyDescent="0.2">
      <c r="A2868" s="139"/>
      <c r="B2868" s="139"/>
      <c r="C2868" s="211"/>
      <c r="D2868" s="139"/>
      <c r="E2868" s="213"/>
      <c r="F2868" s="139"/>
      <c r="G2868" s="139"/>
      <c r="H2868" s="139"/>
      <c r="I2868" s="141"/>
      <c r="J2868" s="139"/>
      <c r="K2868" s="139"/>
    </row>
    <row r="2869" spans="1:11" ht="12.75" x14ac:dyDescent="0.2">
      <c r="A2869" s="139"/>
      <c r="B2869" s="139"/>
      <c r="C2869" s="211"/>
      <c r="D2869" s="139"/>
      <c r="E2869" s="213"/>
      <c r="F2869" s="139"/>
      <c r="G2869" s="139"/>
      <c r="H2869" s="139"/>
      <c r="I2869" s="141"/>
      <c r="J2869" s="139"/>
      <c r="K2869" s="139"/>
    </row>
    <row r="2870" spans="1:11" ht="12.75" x14ac:dyDescent="0.2">
      <c r="A2870" s="139"/>
      <c r="B2870" s="139"/>
      <c r="C2870" s="211"/>
      <c r="D2870" s="139"/>
      <c r="E2870" s="213"/>
      <c r="F2870" s="139"/>
      <c r="G2870" s="139"/>
      <c r="H2870" s="139"/>
      <c r="I2870" s="141"/>
      <c r="J2870" s="139"/>
      <c r="K2870" s="139"/>
    </row>
    <row r="2871" spans="1:11" ht="12.75" x14ac:dyDescent="0.2">
      <c r="A2871" s="139"/>
      <c r="B2871" s="139"/>
      <c r="C2871" s="211"/>
      <c r="D2871" s="139"/>
      <c r="E2871" s="213"/>
      <c r="F2871" s="139"/>
      <c r="G2871" s="139"/>
      <c r="H2871" s="139"/>
      <c r="I2871" s="141"/>
      <c r="J2871" s="139"/>
      <c r="K2871" s="139"/>
    </row>
    <row r="2872" spans="1:11" ht="12.75" x14ac:dyDescent="0.2">
      <c r="A2872" s="139"/>
      <c r="B2872" s="139"/>
      <c r="C2872" s="211"/>
      <c r="D2872" s="139"/>
      <c r="E2872" s="213"/>
      <c r="F2872" s="139"/>
      <c r="G2872" s="139"/>
      <c r="H2872" s="139"/>
      <c r="I2872" s="141"/>
      <c r="J2872" s="139"/>
      <c r="K2872" s="139"/>
    </row>
    <row r="2873" spans="1:11" ht="12.75" x14ac:dyDescent="0.2">
      <c r="A2873" s="139"/>
      <c r="B2873" s="139"/>
      <c r="C2873" s="211"/>
      <c r="D2873" s="139"/>
      <c r="E2873" s="213"/>
      <c r="F2873" s="139"/>
      <c r="G2873" s="139"/>
      <c r="H2873" s="139"/>
      <c r="I2873" s="141"/>
      <c r="J2873" s="139"/>
      <c r="K2873" s="139"/>
    </row>
    <row r="2874" spans="1:11" ht="12.75" x14ac:dyDescent="0.2">
      <c r="A2874" s="139"/>
      <c r="B2874" s="139"/>
      <c r="C2874" s="211"/>
      <c r="D2874" s="139"/>
      <c r="E2874" s="213"/>
      <c r="F2874" s="139"/>
      <c r="G2874" s="139"/>
      <c r="H2874" s="139"/>
      <c r="I2874" s="141"/>
      <c r="J2874" s="139"/>
      <c r="K2874" s="139"/>
    </row>
    <row r="2875" spans="1:11" ht="12.75" x14ac:dyDescent="0.2">
      <c r="A2875" s="139"/>
      <c r="B2875" s="139"/>
      <c r="C2875" s="211"/>
      <c r="D2875" s="139"/>
      <c r="E2875" s="213"/>
      <c r="F2875" s="139"/>
      <c r="G2875" s="139"/>
      <c r="H2875" s="139"/>
      <c r="I2875" s="141"/>
      <c r="J2875" s="139"/>
      <c r="K2875" s="139"/>
    </row>
    <row r="2876" spans="1:11" ht="12.75" x14ac:dyDescent="0.2">
      <c r="A2876" s="139"/>
      <c r="B2876" s="139"/>
      <c r="C2876" s="211"/>
      <c r="D2876" s="139"/>
      <c r="E2876" s="213"/>
      <c r="F2876" s="139"/>
      <c r="G2876" s="139"/>
      <c r="H2876" s="139"/>
      <c r="I2876" s="141"/>
      <c r="J2876" s="139"/>
      <c r="K2876" s="139"/>
    </row>
    <row r="2877" spans="1:11" ht="12.75" x14ac:dyDescent="0.2">
      <c r="A2877" s="139"/>
      <c r="B2877" s="139"/>
      <c r="C2877" s="211"/>
      <c r="D2877" s="139"/>
      <c r="E2877" s="213"/>
      <c r="F2877" s="139"/>
      <c r="G2877" s="139"/>
      <c r="H2877" s="139"/>
      <c r="I2877" s="141"/>
      <c r="J2877" s="139"/>
      <c r="K2877" s="139"/>
    </row>
    <row r="2878" spans="1:11" ht="12.75" x14ac:dyDescent="0.2">
      <c r="A2878" s="139"/>
      <c r="B2878" s="139"/>
      <c r="C2878" s="211"/>
      <c r="D2878" s="139"/>
      <c r="E2878" s="213"/>
      <c r="F2878" s="139"/>
      <c r="G2878" s="139"/>
      <c r="H2878" s="139"/>
      <c r="I2878" s="141"/>
      <c r="J2878" s="139"/>
      <c r="K2878" s="139"/>
    </row>
    <row r="2879" spans="1:11" ht="12.75" x14ac:dyDescent="0.2">
      <c r="A2879" s="139"/>
      <c r="B2879" s="139"/>
      <c r="C2879" s="211"/>
      <c r="D2879" s="139"/>
      <c r="E2879" s="213"/>
      <c r="F2879" s="139"/>
      <c r="G2879" s="139"/>
      <c r="H2879" s="139"/>
      <c r="I2879" s="141"/>
      <c r="J2879" s="139"/>
      <c r="K2879" s="139"/>
    </row>
    <row r="2880" spans="1:11" ht="12.75" x14ac:dyDescent="0.2">
      <c r="A2880" s="139"/>
      <c r="B2880" s="139"/>
      <c r="C2880" s="211"/>
      <c r="D2880" s="139"/>
      <c r="E2880" s="213"/>
      <c r="F2880" s="139"/>
      <c r="G2880" s="139"/>
      <c r="H2880" s="139"/>
      <c r="I2880" s="141"/>
      <c r="J2880" s="139"/>
      <c r="K2880" s="139"/>
    </row>
    <row r="2881" spans="1:11" ht="12.75" x14ac:dyDescent="0.2">
      <c r="A2881" s="139"/>
      <c r="B2881" s="139"/>
      <c r="C2881" s="211"/>
      <c r="D2881" s="139"/>
      <c r="E2881" s="213"/>
      <c r="F2881" s="139"/>
      <c r="G2881" s="139"/>
      <c r="H2881" s="139"/>
      <c r="I2881" s="141"/>
      <c r="J2881" s="139"/>
      <c r="K2881" s="139"/>
    </row>
    <row r="2882" spans="1:11" ht="12.75" x14ac:dyDescent="0.2">
      <c r="A2882" s="139"/>
      <c r="B2882" s="139"/>
      <c r="C2882" s="211"/>
      <c r="D2882" s="139"/>
      <c r="E2882" s="213"/>
      <c r="F2882" s="139"/>
      <c r="G2882" s="139"/>
      <c r="H2882" s="139"/>
      <c r="I2882" s="141"/>
      <c r="J2882" s="139"/>
      <c r="K2882" s="139"/>
    </row>
    <row r="2883" spans="1:11" ht="12.75" x14ac:dyDescent="0.2">
      <c r="A2883" s="139"/>
      <c r="B2883" s="139"/>
      <c r="C2883" s="211"/>
      <c r="D2883" s="139"/>
      <c r="E2883" s="213"/>
      <c r="F2883" s="139"/>
      <c r="G2883" s="139"/>
      <c r="H2883" s="139"/>
      <c r="I2883" s="141"/>
      <c r="J2883" s="139"/>
      <c r="K2883" s="139"/>
    </row>
    <row r="2884" spans="1:11" ht="12.75" x14ac:dyDescent="0.2">
      <c r="A2884" s="139"/>
      <c r="B2884" s="139"/>
      <c r="C2884" s="211"/>
      <c r="D2884" s="139"/>
      <c r="E2884" s="213"/>
      <c r="F2884" s="139"/>
      <c r="G2884" s="139"/>
      <c r="H2884" s="139"/>
      <c r="I2884" s="141"/>
      <c r="J2884" s="139"/>
      <c r="K2884" s="139"/>
    </row>
    <row r="2885" spans="1:11" ht="12.75" x14ac:dyDescent="0.2">
      <c r="A2885" s="139"/>
      <c r="B2885" s="139"/>
      <c r="C2885" s="211"/>
      <c r="D2885" s="139"/>
      <c r="E2885" s="213"/>
      <c r="F2885" s="139"/>
      <c r="G2885" s="139"/>
      <c r="H2885" s="139"/>
      <c r="I2885" s="141"/>
      <c r="J2885" s="139"/>
      <c r="K2885" s="139"/>
    </row>
    <row r="2886" spans="1:11" ht="12.75" x14ac:dyDescent="0.2">
      <c r="A2886" s="139"/>
      <c r="B2886" s="139"/>
      <c r="C2886" s="211"/>
      <c r="D2886" s="139"/>
      <c r="E2886" s="213"/>
      <c r="F2886" s="139"/>
      <c r="G2886" s="139"/>
      <c r="H2886" s="139"/>
      <c r="I2886" s="141"/>
      <c r="J2886" s="139"/>
      <c r="K2886" s="139"/>
    </row>
    <row r="2887" spans="1:11" ht="12.75" x14ac:dyDescent="0.2">
      <c r="A2887" s="139"/>
      <c r="B2887" s="139"/>
      <c r="C2887" s="211"/>
      <c r="D2887" s="139"/>
      <c r="E2887" s="213"/>
      <c r="F2887" s="139"/>
      <c r="G2887" s="139"/>
      <c r="H2887" s="139"/>
      <c r="I2887" s="141"/>
      <c r="J2887" s="139"/>
      <c r="K2887" s="139"/>
    </row>
    <row r="2888" spans="1:11" ht="12.75" x14ac:dyDescent="0.2">
      <c r="A2888" s="139"/>
      <c r="B2888" s="139"/>
      <c r="C2888" s="211"/>
      <c r="D2888" s="139"/>
      <c r="E2888" s="213"/>
      <c r="F2888" s="139"/>
      <c r="G2888" s="139"/>
      <c r="H2888" s="139"/>
      <c r="I2888" s="141"/>
      <c r="J2888" s="139"/>
      <c r="K2888" s="139"/>
    </row>
    <row r="2889" spans="1:11" ht="12.75" x14ac:dyDescent="0.2">
      <c r="A2889" s="139"/>
      <c r="B2889" s="139"/>
      <c r="C2889" s="211"/>
      <c r="D2889" s="139"/>
      <c r="E2889" s="213"/>
      <c r="F2889" s="139"/>
      <c r="G2889" s="139"/>
      <c r="H2889" s="139"/>
      <c r="I2889" s="141"/>
      <c r="J2889" s="139"/>
      <c r="K2889" s="139"/>
    </row>
    <row r="2890" spans="1:11" ht="12.75" x14ac:dyDescent="0.2">
      <c r="A2890" s="139"/>
      <c r="B2890" s="139"/>
      <c r="C2890" s="211"/>
      <c r="D2890" s="139"/>
      <c r="E2890" s="213"/>
      <c r="F2890" s="139"/>
      <c r="G2890" s="139"/>
      <c r="H2890" s="139"/>
      <c r="I2890" s="141"/>
      <c r="J2890" s="139"/>
      <c r="K2890" s="139"/>
    </row>
    <row r="2891" spans="1:11" ht="12.75" x14ac:dyDescent="0.2">
      <c r="A2891" s="139"/>
      <c r="B2891" s="139"/>
      <c r="C2891" s="211"/>
      <c r="D2891" s="139"/>
      <c r="E2891" s="213"/>
      <c r="F2891" s="139"/>
      <c r="G2891" s="139"/>
      <c r="H2891" s="139"/>
      <c r="I2891" s="141"/>
      <c r="J2891" s="139"/>
      <c r="K2891" s="139"/>
    </row>
    <row r="2892" spans="1:11" ht="12.75" x14ac:dyDescent="0.2">
      <c r="A2892" s="139"/>
      <c r="B2892" s="139"/>
      <c r="C2892" s="211"/>
      <c r="D2892" s="139"/>
      <c r="E2892" s="213"/>
      <c r="F2892" s="139"/>
      <c r="G2892" s="139"/>
      <c r="H2892" s="139"/>
      <c r="I2892" s="141"/>
      <c r="J2892" s="139"/>
      <c r="K2892" s="139"/>
    </row>
    <row r="2893" spans="1:11" ht="12.75" x14ac:dyDescent="0.2">
      <c r="A2893" s="139"/>
      <c r="B2893" s="139"/>
      <c r="C2893" s="211"/>
      <c r="D2893" s="139"/>
      <c r="E2893" s="213"/>
      <c r="F2893" s="139"/>
      <c r="G2893" s="139"/>
      <c r="H2893" s="139"/>
      <c r="I2893" s="141"/>
      <c r="J2893" s="139"/>
      <c r="K2893" s="139"/>
    </row>
    <row r="2894" spans="1:11" ht="12.75" x14ac:dyDescent="0.2">
      <c r="A2894" s="139"/>
      <c r="B2894" s="139"/>
      <c r="C2894" s="211"/>
      <c r="D2894" s="139"/>
      <c r="E2894" s="213"/>
      <c r="F2894" s="139"/>
      <c r="G2894" s="139"/>
      <c r="H2894" s="139"/>
      <c r="I2894" s="141"/>
      <c r="J2894" s="139"/>
      <c r="K2894" s="139"/>
    </row>
    <row r="2895" spans="1:11" ht="12.75" x14ac:dyDescent="0.2">
      <c r="A2895" s="139"/>
      <c r="B2895" s="139"/>
      <c r="C2895" s="211"/>
      <c r="D2895" s="139"/>
      <c r="E2895" s="213"/>
      <c r="F2895" s="139"/>
      <c r="G2895" s="139"/>
      <c r="H2895" s="139"/>
      <c r="I2895" s="141"/>
      <c r="J2895" s="139"/>
      <c r="K2895" s="139"/>
    </row>
    <row r="2896" spans="1:11" ht="12.75" x14ac:dyDescent="0.2">
      <c r="A2896" s="139"/>
      <c r="B2896" s="139"/>
      <c r="C2896" s="211"/>
      <c r="D2896" s="139"/>
      <c r="E2896" s="213"/>
      <c r="F2896" s="139"/>
      <c r="G2896" s="139"/>
      <c r="H2896" s="139"/>
      <c r="I2896" s="141"/>
      <c r="J2896" s="139"/>
      <c r="K2896" s="139"/>
    </row>
    <row r="2897" spans="1:11" ht="12.75" x14ac:dyDescent="0.2">
      <c r="A2897" s="139"/>
      <c r="B2897" s="139"/>
      <c r="C2897" s="211"/>
      <c r="D2897" s="139"/>
      <c r="E2897" s="213"/>
      <c r="F2897" s="139"/>
      <c r="G2897" s="139"/>
      <c r="H2897" s="139"/>
      <c r="I2897" s="141"/>
      <c r="J2897" s="139"/>
      <c r="K2897" s="139"/>
    </row>
    <row r="2898" spans="1:11" ht="12.75" x14ac:dyDescent="0.2">
      <c r="A2898" s="139"/>
      <c r="B2898" s="139"/>
      <c r="C2898" s="211"/>
      <c r="D2898" s="139"/>
      <c r="E2898" s="213"/>
      <c r="F2898" s="139"/>
      <c r="G2898" s="139"/>
      <c r="H2898" s="139"/>
      <c r="I2898" s="141"/>
      <c r="J2898" s="139"/>
      <c r="K2898" s="139"/>
    </row>
    <row r="2899" spans="1:11" ht="12.75" x14ac:dyDescent="0.2">
      <c r="A2899" s="139"/>
      <c r="B2899" s="139"/>
      <c r="C2899" s="211"/>
      <c r="D2899" s="139"/>
      <c r="E2899" s="213"/>
      <c r="F2899" s="139"/>
      <c r="G2899" s="139"/>
      <c r="H2899" s="139"/>
      <c r="I2899" s="141"/>
      <c r="J2899" s="139"/>
      <c r="K2899" s="139"/>
    </row>
    <row r="2900" spans="1:11" ht="12.75" x14ac:dyDescent="0.2">
      <c r="A2900" s="139"/>
      <c r="B2900" s="139"/>
      <c r="C2900" s="211"/>
      <c r="D2900" s="139"/>
      <c r="E2900" s="213"/>
      <c r="F2900" s="139"/>
      <c r="G2900" s="139"/>
      <c r="H2900" s="139"/>
      <c r="I2900" s="141"/>
      <c r="J2900" s="139"/>
      <c r="K2900" s="139"/>
    </row>
    <row r="2901" spans="1:11" ht="12.75" x14ac:dyDescent="0.2">
      <c r="A2901" s="139"/>
      <c r="B2901" s="139"/>
      <c r="C2901" s="211"/>
      <c r="D2901" s="139"/>
      <c r="E2901" s="213"/>
      <c r="F2901" s="139"/>
      <c r="G2901" s="139"/>
      <c r="H2901" s="139"/>
      <c r="I2901" s="141"/>
      <c r="J2901" s="139"/>
      <c r="K2901" s="139"/>
    </row>
    <row r="2902" spans="1:11" ht="12.75" x14ac:dyDescent="0.2">
      <c r="A2902" s="139"/>
      <c r="B2902" s="139"/>
      <c r="C2902" s="211"/>
      <c r="D2902" s="139"/>
      <c r="E2902" s="213"/>
      <c r="F2902" s="139"/>
      <c r="G2902" s="139"/>
      <c r="H2902" s="139"/>
      <c r="I2902" s="141"/>
      <c r="J2902" s="139"/>
      <c r="K2902" s="139"/>
    </row>
    <row r="2903" spans="1:11" ht="12.75" x14ac:dyDescent="0.2">
      <c r="A2903" s="139"/>
      <c r="B2903" s="139"/>
      <c r="C2903" s="211"/>
      <c r="D2903" s="139"/>
      <c r="E2903" s="213"/>
      <c r="F2903" s="139"/>
      <c r="G2903" s="139"/>
      <c r="H2903" s="139"/>
      <c r="I2903" s="141"/>
      <c r="J2903" s="139"/>
      <c r="K2903" s="139"/>
    </row>
    <row r="2904" spans="1:11" ht="12.75" x14ac:dyDescent="0.2">
      <c r="A2904" s="139"/>
      <c r="B2904" s="139"/>
      <c r="C2904" s="211"/>
      <c r="D2904" s="139"/>
      <c r="E2904" s="213"/>
      <c r="F2904" s="139"/>
      <c r="G2904" s="139"/>
      <c r="H2904" s="139"/>
      <c r="I2904" s="141"/>
      <c r="J2904" s="139"/>
      <c r="K2904" s="139"/>
    </row>
    <row r="2905" spans="1:11" ht="12.75" x14ac:dyDescent="0.2">
      <c r="A2905" s="139"/>
      <c r="B2905" s="139"/>
      <c r="C2905" s="211"/>
      <c r="D2905" s="139"/>
      <c r="E2905" s="213"/>
      <c r="F2905" s="139"/>
      <c r="G2905" s="139"/>
      <c r="H2905" s="139"/>
      <c r="I2905" s="141"/>
      <c r="J2905" s="139"/>
      <c r="K2905" s="139"/>
    </row>
    <row r="2906" spans="1:11" ht="12.75" x14ac:dyDescent="0.2">
      <c r="A2906" s="139"/>
      <c r="B2906" s="139"/>
      <c r="C2906" s="211"/>
      <c r="D2906" s="139"/>
      <c r="E2906" s="213"/>
      <c r="F2906" s="139"/>
      <c r="G2906" s="139"/>
      <c r="H2906" s="139"/>
      <c r="I2906" s="141"/>
      <c r="J2906" s="139"/>
      <c r="K2906" s="139"/>
    </row>
    <row r="2907" spans="1:11" ht="12.75" x14ac:dyDescent="0.2">
      <c r="A2907" s="139"/>
      <c r="B2907" s="139"/>
      <c r="C2907" s="211"/>
      <c r="D2907" s="139"/>
      <c r="E2907" s="213"/>
      <c r="F2907" s="139"/>
      <c r="G2907" s="139"/>
      <c r="H2907" s="139"/>
      <c r="I2907" s="141"/>
      <c r="J2907" s="139"/>
      <c r="K2907" s="139"/>
    </row>
    <row r="2908" spans="1:11" ht="12.75" x14ac:dyDescent="0.2">
      <c r="A2908" s="139"/>
      <c r="B2908" s="139"/>
      <c r="C2908" s="211"/>
      <c r="D2908" s="139"/>
      <c r="E2908" s="213"/>
      <c r="F2908" s="139"/>
      <c r="G2908" s="139"/>
      <c r="H2908" s="139"/>
      <c r="I2908" s="141"/>
      <c r="J2908" s="139"/>
      <c r="K2908" s="139"/>
    </row>
    <row r="2909" spans="1:11" ht="12.75" x14ac:dyDescent="0.2">
      <c r="A2909" s="139"/>
      <c r="B2909" s="139"/>
      <c r="C2909" s="211"/>
      <c r="D2909" s="139"/>
      <c r="E2909" s="213"/>
      <c r="F2909" s="139"/>
      <c r="G2909" s="139"/>
      <c r="H2909" s="139"/>
      <c r="I2909" s="141"/>
      <c r="J2909" s="139"/>
      <c r="K2909" s="139"/>
    </row>
    <row r="2910" spans="1:11" ht="12.75" x14ac:dyDescent="0.2">
      <c r="A2910" s="139"/>
      <c r="B2910" s="139"/>
      <c r="C2910" s="211"/>
      <c r="D2910" s="139"/>
      <c r="E2910" s="213"/>
      <c r="F2910" s="139"/>
      <c r="G2910" s="139"/>
      <c r="H2910" s="139"/>
      <c r="I2910" s="141"/>
      <c r="J2910" s="139"/>
      <c r="K2910" s="139"/>
    </row>
    <row r="2911" spans="1:11" ht="12.75" x14ac:dyDescent="0.2">
      <c r="A2911" s="139"/>
      <c r="B2911" s="139"/>
      <c r="C2911" s="211"/>
      <c r="D2911" s="139"/>
      <c r="E2911" s="213"/>
      <c r="F2911" s="139"/>
      <c r="G2911" s="139"/>
      <c r="H2911" s="139"/>
      <c r="I2911" s="141"/>
      <c r="J2911" s="139"/>
      <c r="K2911" s="139"/>
    </row>
    <row r="2912" spans="1:11" ht="12.75" x14ac:dyDescent="0.2">
      <c r="A2912" s="139"/>
      <c r="B2912" s="139"/>
      <c r="C2912" s="211"/>
      <c r="D2912" s="139"/>
      <c r="E2912" s="213"/>
      <c r="F2912" s="139"/>
      <c r="G2912" s="139"/>
      <c r="H2912" s="139"/>
      <c r="I2912" s="141"/>
      <c r="J2912" s="139"/>
      <c r="K2912" s="139"/>
    </row>
    <row r="2913" spans="1:11" ht="12.75" x14ac:dyDescent="0.2">
      <c r="A2913" s="139"/>
      <c r="B2913" s="139"/>
      <c r="C2913" s="211"/>
      <c r="D2913" s="139"/>
      <c r="E2913" s="213"/>
      <c r="F2913" s="139"/>
      <c r="G2913" s="139"/>
      <c r="H2913" s="139"/>
      <c r="I2913" s="141"/>
      <c r="J2913" s="139"/>
      <c r="K2913" s="139"/>
    </row>
    <row r="2914" spans="1:11" ht="12.75" x14ac:dyDescent="0.2">
      <c r="A2914" s="139"/>
      <c r="B2914" s="139"/>
      <c r="C2914" s="211"/>
      <c r="D2914" s="139"/>
      <c r="E2914" s="213"/>
      <c r="F2914" s="139"/>
      <c r="G2914" s="139"/>
      <c r="H2914" s="139"/>
      <c r="I2914" s="141"/>
      <c r="J2914" s="139"/>
      <c r="K2914" s="139"/>
    </row>
    <row r="2915" spans="1:11" ht="12.75" x14ac:dyDescent="0.2">
      <c r="A2915" s="139"/>
      <c r="B2915" s="139"/>
      <c r="C2915" s="211"/>
      <c r="D2915" s="139"/>
      <c r="E2915" s="213"/>
      <c r="F2915" s="139"/>
      <c r="G2915" s="139"/>
      <c r="H2915" s="139"/>
      <c r="I2915" s="141"/>
      <c r="J2915" s="139"/>
      <c r="K2915" s="139"/>
    </row>
    <row r="2916" spans="1:11" ht="12.75" x14ac:dyDescent="0.2">
      <c r="A2916" s="139"/>
      <c r="B2916" s="139"/>
      <c r="C2916" s="211"/>
      <c r="D2916" s="139"/>
      <c r="E2916" s="213"/>
      <c r="F2916" s="139"/>
      <c r="G2916" s="139"/>
      <c r="H2916" s="139"/>
      <c r="I2916" s="141"/>
      <c r="J2916" s="139"/>
      <c r="K2916" s="139"/>
    </row>
    <row r="2917" spans="1:11" ht="12.75" x14ac:dyDescent="0.2">
      <c r="A2917" s="139"/>
      <c r="B2917" s="139"/>
      <c r="C2917" s="211"/>
      <c r="D2917" s="139"/>
      <c r="E2917" s="213"/>
      <c r="F2917" s="139"/>
      <c r="G2917" s="139"/>
      <c r="H2917" s="139"/>
      <c r="I2917" s="141"/>
      <c r="J2917" s="139"/>
      <c r="K2917" s="139"/>
    </row>
    <row r="2918" spans="1:11" ht="12.75" x14ac:dyDescent="0.2">
      <c r="A2918" s="139"/>
      <c r="B2918" s="139"/>
      <c r="C2918" s="211"/>
      <c r="D2918" s="139"/>
      <c r="E2918" s="213"/>
      <c r="F2918" s="139"/>
      <c r="G2918" s="139"/>
      <c r="H2918" s="139"/>
      <c r="I2918" s="141"/>
      <c r="J2918" s="139"/>
      <c r="K2918" s="139"/>
    </row>
    <row r="2919" spans="1:11" ht="12.75" x14ac:dyDescent="0.2">
      <c r="A2919" s="139"/>
      <c r="B2919" s="139"/>
      <c r="C2919" s="211"/>
      <c r="D2919" s="139"/>
      <c r="E2919" s="213"/>
      <c r="F2919" s="139"/>
      <c r="G2919" s="139"/>
      <c r="H2919" s="139"/>
      <c r="I2919" s="141"/>
      <c r="J2919" s="139"/>
      <c r="K2919" s="139"/>
    </row>
    <row r="2920" spans="1:11" ht="12.75" x14ac:dyDescent="0.2">
      <c r="A2920" s="139"/>
      <c r="B2920" s="139"/>
      <c r="C2920" s="211"/>
      <c r="D2920" s="139"/>
      <c r="E2920" s="213"/>
      <c r="F2920" s="139"/>
      <c r="G2920" s="139"/>
      <c r="H2920" s="139"/>
      <c r="I2920" s="141"/>
      <c r="J2920" s="139"/>
      <c r="K2920" s="139"/>
    </row>
    <row r="2921" spans="1:11" ht="12.75" x14ac:dyDescent="0.2">
      <c r="A2921" s="139"/>
      <c r="B2921" s="139"/>
      <c r="C2921" s="211"/>
      <c r="D2921" s="139"/>
      <c r="E2921" s="213"/>
      <c r="F2921" s="139"/>
      <c r="G2921" s="139"/>
      <c r="H2921" s="139"/>
      <c r="I2921" s="141"/>
      <c r="J2921" s="139"/>
      <c r="K2921" s="139"/>
    </row>
    <row r="2922" spans="1:11" ht="12.75" x14ac:dyDescent="0.2">
      <c r="A2922" s="139"/>
      <c r="B2922" s="139"/>
      <c r="C2922" s="211"/>
      <c r="D2922" s="139"/>
      <c r="E2922" s="213"/>
      <c r="F2922" s="139"/>
      <c r="G2922" s="139"/>
      <c r="H2922" s="139"/>
      <c r="I2922" s="141"/>
      <c r="J2922" s="139"/>
      <c r="K2922" s="139"/>
    </row>
    <row r="2923" spans="1:11" ht="12.75" x14ac:dyDescent="0.2">
      <c r="A2923" s="139"/>
      <c r="B2923" s="139"/>
      <c r="C2923" s="211"/>
      <c r="D2923" s="139"/>
      <c r="E2923" s="213"/>
      <c r="F2923" s="139"/>
      <c r="G2923" s="139"/>
      <c r="H2923" s="139"/>
      <c r="I2923" s="141"/>
      <c r="J2923" s="139"/>
      <c r="K2923" s="139"/>
    </row>
    <row r="2924" spans="1:11" ht="12.75" x14ac:dyDescent="0.2">
      <c r="A2924" s="139"/>
      <c r="B2924" s="139"/>
      <c r="C2924" s="211"/>
      <c r="D2924" s="139"/>
      <c r="E2924" s="213"/>
      <c r="F2924" s="139"/>
      <c r="G2924" s="139"/>
      <c r="H2924" s="139"/>
      <c r="I2924" s="141"/>
      <c r="J2924" s="139"/>
      <c r="K2924" s="139"/>
    </row>
    <row r="2925" spans="1:11" ht="12.75" x14ac:dyDescent="0.2">
      <c r="A2925" s="139"/>
      <c r="B2925" s="139"/>
      <c r="C2925" s="211"/>
      <c r="D2925" s="139"/>
      <c r="E2925" s="213"/>
      <c r="F2925" s="139"/>
      <c r="G2925" s="139"/>
      <c r="H2925" s="139"/>
      <c r="I2925" s="141"/>
      <c r="J2925" s="139"/>
      <c r="K2925" s="139"/>
    </row>
    <row r="2926" spans="1:11" ht="12.75" x14ac:dyDescent="0.2">
      <c r="A2926" s="139"/>
      <c r="B2926" s="139"/>
      <c r="C2926" s="211"/>
      <c r="D2926" s="139"/>
      <c r="E2926" s="213"/>
      <c r="F2926" s="139"/>
      <c r="G2926" s="139"/>
      <c r="H2926" s="139"/>
      <c r="I2926" s="141"/>
      <c r="J2926" s="139"/>
      <c r="K2926" s="139"/>
    </row>
    <row r="2927" spans="1:11" ht="12.75" x14ac:dyDescent="0.2">
      <c r="A2927" s="139"/>
      <c r="B2927" s="139"/>
      <c r="C2927" s="211"/>
      <c r="D2927" s="139"/>
      <c r="E2927" s="213"/>
      <c r="F2927" s="139"/>
      <c r="G2927" s="139"/>
      <c r="H2927" s="139"/>
      <c r="I2927" s="141"/>
      <c r="J2927" s="139"/>
      <c r="K2927" s="139"/>
    </row>
    <row r="2928" spans="1:11" ht="12.75" x14ac:dyDescent="0.2">
      <c r="A2928" s="139"/>
      <c r="B2928" s="139"/>
      <c r="C2928" s="211"/>
      <c r="D2928" s="139"/>
      <c r="E2928" s="213"/>
      <c r="F2928" s="139"/>
      <c r="G2928" s="139"/>
      <c r="H2928" s="139"/>
      <c r="I2928" s="141"/>
      <c r="J2928" s="139"/>
      <c r="K2928" s="139"/>
    </row>
    <row r="2929" spans="1:11" ht="12.75" x14ac:dyDescent="0.2">
      <c r="A2929" s="139"/>
      <c r="B2929" s="139"/>
      <c r="C2929" s="211"/>
      <c r="D2929" s="139"/>
      <c r="E2929" s="213"/>
      <c r="F2929" s="139"/>
      <c r="G2929" s="139"/>
      <c r="H2929" s="139"/>
      <c r="I2929" s="141"/>
      <c r="J2929" s="139"/>
      <c r="K2929" s="139"/>
    </row>
    <row r="2930" spans="1:11" ht="12.75" x14ac:dyDescent="0.2">
      <c r="A2930" s="139"/>
      <c r="B2930" s="139"/>
      <c r="C2930" s="211"/>
      <c r="D2930" s="139"/>
      <c r="E2930" s="213"/>
      <c r="F2930" s="139"/>
      <c r="G2930" s="139"/>
      <c r="H2930" s="139"/>
      <c r="I2930" s="141"/>
      <c r="J2930" s="139"/>
      <c r="K2930" s="139"/>
    </row>
    <row r="2931" spans="1:11" ht="12.75" x14ac:dyDescent="0.2">
      <c r="A2931" s="139"/>
      <c r="B2931" s="139"/>
      <c r="C2931" s="211"/>
      <c r="D2931" s="139"/>
      <c r="E2931" s="213"/>
      <c r="F2931" s="139"/>
      <c r="G2931" s="139"/>
      <c r="H2931" s="139"/>
      <c r="I2931" s="141"/>
      <c r="J2931" s="139"/>
      <c r="K2931" s="139"/>
    </row>
    <row r="2932" spans="1:11" ht="12.75" x14ac:dyDescent="0.2">
      <c r="A2932" s="139"/>
      <c r="B2932" s="139"/>
      <c r="C2932" s="211"/>
      <c r="D2932" s="139"/>
      <c r="E2932" s="213"/>
      <c r="F2932" s="139"/>
      <c r="G2932" s="139"/>
      <c r="H2932" s="139"/>
      <c r="I2932" s="141"/>
      <c r="J2932" s="139"/>
      <c r="K2932" s="139"/>
    </row>
    <row r="2933" spans="1:11" ht="12.75" x14ac:dyDescent="0.2">
      <c r="A2933" s="139"/>
      <c r="B2933" s="139"/>
      <c r="C2933" s="211"/>
      <c r="D2933" s="139"/>
      <c r="E2933" s="213"/>
      <c r="F2933" s="139"/>
      <c r="G2933" s="139"/>
      <c r="H2933" s="139"/>
      <c r="I2933" s="141"/>
      <c r="J2933" s="139"/>
      <c r="K2933" s="139"/>
    </row>
    <row r="2934" spans="1:11" ht="12.75" x14ac:dyDescent="0.2">
      <c r="A2934" s="139"/>
      <c r="B2934" s="139"/>
      <c r="C2934" s="211"/>
      <c r="D2934" s="139"/>
      <c r="E2934" s="213"/>
      <c r="F2934" s="139"/>
      <c r="G2934" s="139"/>
      <c r="H2934" s="139"/>
      <c r="I2934" s="141"/>
      <c r="J2934" s="139"/>
      <c r="K2934" s="139"/>
    </row>
    <row r="2935" spans="1:11" ht="12.75" x14ac:dyDescent="0.2">
      <c r="A2935" s="139"/>
      <c r="B2935" s="139"/>
      <c r="C2935" s="211"/>
      <c r="D2935" s="139"/>
      <c r="E2935" s="213"/>
      <c r="F2935" s="139"/>
      <c r="G2935" s="139"/>
      <c r="H2935" s="139"/>
      <c r="I2935" s="141"/>
      <c r="J2935" s="139"/>
      <c r="K2935" s="139"/>
    </row>
    <row r="2936" spans="1:11" ht="12.75" x14ac:dyDescent="0.2">
      <c r="A2936" s="139"/>
      <c r="B2936" s="139"/>
      <c r="C2936" s="211"/>
      <c r="D2936" s="139"/>
      <c r="E2936" s="213"/>
      <c r="F2936" s="139"/>
      <c r="G2936" s="139"/>
      <c r="H2936" s="139"/>
      <c r="I2936" s="141"/>
      <c r="J2936" s="139"/>
      <c r="K2936" s="139"/>
    </row>
    <row r="2937" spans="1:11" ht="12.75" x14ac:dyDescent="0.2">
      <c r="A2937" s="139"/>
      <c r="B2937" s="139"/>
      <c r="C2937" s="211"/>
      <c r="D2937" s="139"/>
      <c r="E2937" s="213"/>
      <c r="F2937" s="139"/>
      <c r="G2937" s="139"/>
      <c r="H2937" s="139"/>
      <c r="I2937" s="141"/>
      <c r="J2937" s="139"/>
      <c r="K2937" s="139"/>
    </row>
    <row r="2938" spans="1:11" ht="12.75" x14ac:dyDescent="0.2">
      <c r="A2938" s="139"/>
      <c r="B2938" s="139"/>
      <c r="C2938" s="211"/>
      <c r="D2938" s="139"/>
      <c r="E2938" s="213"/>
      <c r="F2938" s="139"/>
      <c r="G2938" s="139"/>
      <c r="H2938" s="139"/>
      <c r="I2938" s="141"/>
      <c r="J2938" s="139"/>
      <c r="K2938" s="139"/>
    </row>
    <row r="2939" spans="1:11" ht="12.75" x14ac:dyDescent="0.2">
      <c r="A2939" s="139"/>
      <c r="B2939" s="139"/>
      <c r="C2939" s="211"/>
      <c r="D2939" s="139"/>
      <c r="E2939" s="213"/>
      <c r="F2939" s="139"/>
      <c r="G2939" s="139"/>
      <c r="H2939" s="139"/>
      <c r="I2939" s="141"/>
      <c r="J2939" s="139"/>
      <c r="K2939" s="139"/>
    </row>
    <row r="2940" spans="1:11" ht="12.75" x14ac:dyDescent="0.2">
      <c r="A2940" s="139"/>
      <c r="B2940" s="139"/>
      <c r="C2940" s="211"/>
      <c r="D2940" s="139"/>
      <c r="E2940" s="213"/>
      <c r="F2940" s="139"/>
      <c r="G2940" s="139"/>
      <c r="H2940" s="139"/>
      <c r="I2940" s="141"/>
      <c r="J2940" s="139"/>
      <c r="K2940" s="139"/>
    </row>
    <row r="2941" spans="1:11" ht="12.75" x14ac:dyDescent="0.2">
      <c r="A2941" s="139"/>
      <c r="B2941" s="139"/>
      <c r="C2941" s="211"/>
      <c r="D2941" s="139"/>
      <c r="E2941" s="213"/>
      <c r="F2941" s="139"/>
      <c r="G2941" s="139"/>
      <c r="H2941" s="139"/>
      <c r="I2941" s="141"/>
      <c r="J2941" s="139"/>
      <c r="K2941" s="139"/>
    </row>
    <row r="2942" spans="1:11" ht="12.75" x14ac:dyDescent="0.2">
      <c r="A2942" s="139"/>
      <c r="B2942" s="139"/>
      <c r="C2942" s="211"/>
      <c r="D2942" s="139"/>
      <c r="E2942" s="213"/>
      <c r="F2942" s="139"/>
      <c r="G2942" s="139"/>
      <c r="H2942" s="139"/>
      <c r="I2942" s="141"/>
      <c r="J2942" s="139"/>
      <c r="K2942" s="139"/>
    </row>
    <row r="2943" spans="1:11" ht="12.75" x14ac:dyDescent="0.2">
      <c r="A2943" s="139"/>
      <c r="B2943" s="139"/>
      <c r="C2943" s="211"/>
      <c r="D2943" s="139"/>
      <c r="E2943" s="213"/>
      <c r="F2943" s="139"/>
      <c r="G2943" s="139"/>
      <c r="H2943" s="139"/>
      <c r="I2943" s="141"/>
      <c r="J2943" s="139"/>
      <c r="K2943" s="139"/>
    </row>
    <row r="2944" spans="1:11" ht="12.75" x14ac:dyDescent="0.2">
      <c r="A2944" s="139"/>
      <c r="B2944" s="139"/>
      <c r="C2944" s="211"/>
      <c r="D2944" s="139"/>
      <c r="E2944" s="213"/>
      <c r="F2944" s="139"/>
      <c r="G2944" s="139"/>
      <c r="H2944" s="139"/>
      <c r="I2944" s="141"/>
      <c r="J2944" s="139"/>
      <c r="K2944" s="139"/>
    </row>
    <row r="2945" spans="1:11" ht="12.75" x14ac:dyDescent="0.2">
      <c r="A2945" s="139"/>
      <c r="B2945" s="139"/>
      <c r="C2945" s="211"/>
      <c r="D2945" s="139"/>
      <c r="E2945" s="213"/>
      <c r="F2945" s="139"/>
      <c r="G2945" s="139"/>
      <c r="H2945" s="139"/>
      <c r="I2945" s="141"/>
      <c r="J2945" s="139"/>
      <c r="K2945" s="139"/>
    </row>
    <row r="2946" spans="1:11" ht="12.75" x14ac:dyDescent="0.2">
      <c r="A2946" s="139"/>
      <c r="B2946" s="139"/>
      <c r="C2946" s="211"/>
      <c r="D2946" s="139"/>
      <c r="E2946" s="213"/>
      <c r="F2946" s="139"/>
      <c r="G2946" s="139"/>
      <c r="H2946" s="139"/>
      <c r="I2946" s="141"/>
      <c r="J2946" s="139"/>
      <c r="K2946" s="139"/>
    </row>
    <row r="2947" spans="1:11" ht="12.75" x14ac:dyDescent="0.2">
      <c r="A2947" s="139"/>
      <c r="B2947" s="139"/>
      <c r="C2947" s="211"/>
      <c r="D2947" s="139"/>
      <c r="E2947" s="213"/>
      <c r="F2947" s="139"/>
      <c r="G2947" s="139"/>
      <c r="H2947" s="139"/>
      <c r="I2947" s="141"/>
      <c r="J2947" s="139"/>
      <c r="K2947" s="139"/>
    </row>
    <row r="2948" spans="1:11" ht="12.75" x14ac:dyDescent="0.2">
      <c r="A2948" s="139"/>
      <c r="B2948" s="139"/>
      <c r="C2948" s="211"/>
      <c r="D2948" s="139"/>
      <c r="E2948" s="213"/>
      <c r="F2948" s="139"/>
      <c r="G2948" s="139"/>
      <c r="H2948" s="139"/>
      <c r="I2948" s="141"/>
      <c r="J2948" s="139"/>
      <c r="K2948" s="139"/>
    </row>
    <row r="2949" spans="1:11" ht="12.75" x14ac:dyDescent="0.2">
      <c r="A2949" s="139"/>
      <c r="B2949" s="139"/>
      <c r="C2949" s="211"/>
      <c r="D2949" s="139"/>
      <c r="E2949" s="213"/>
      <c r="F2949" s="139"/>
      <c r="G2949" s="139"/>
      <c r="H2949" s="139"/>
      <c r="I2949" s="141"/>
      <c r="J2949" s="139"/>
      <c r="K2949" s="139"/>
    </row>
    <row r="2950" spans="1:11" ht="12.75" x14ac:dyDescent="0.2">
      <c r="A2950" s="139"/>
      <c r="B2950" s="139"/>
      <c r="C2950" s="211"/>
      <c r="D2950" s="139"/>
      <c r="E2950" s="213"/>
      <c r="F2950" s="139"/>
      <c r="G2950" s="139"/>
      <c r="H2950" s="139"/>
      <c r="I2950" s="141"/>
      <c r="J2950" s="139"/>
      <c r="K2950" s="139"/>
    </row>
    <row r="2951" spans="1:11" ht="12.75" x14ac:dyDescent="0.2">
      <c r="A2951" s="139"/>
      <c r="B2951" s="139"/>
      <c r="C2951" s="211"/>
      <c r="D2951" s="139"/>
      <c r="E2951" s="213"/>
      <c r="F2951" s="139"/>
      <c r="G2951" s="139"/>
      <c r="H2951" s="139"/>
      <c r="I2951" s="141"/>
      <c r="J2951" s="139"/>
      <c r="K2951" s="139"/>
    </row>
    <row r="2952" spans="1:11" ht="12.75" x14ac:dyDescent="0.2">
      <c r="A2952" s="139"/>
      <c r="B2952" s="139"/>
      <c r="C2952" s="211"/>
      <c r="D2952" s="139"/>
      <c r="E2952" s="213"/>
      <c r="F2952" s="139"/>
      <c r="G2952" s="139"/>
      <c r="H2952" s="139"/>
      <c r="I2952" s="141"/>
      <c r="J2952" s="139"/>
      <c r="K2952" s="139"/>
    </row>
    <row r="2953" spans="1:11" ht="12.75" x14ac:dyDescent="0.2">
      <c r="A2953" s="139"/>
      <c r="B2953" s="139"/>
      <c r="C2953" s="211"/>
      <c r="D2953" s="139"/>
      <c r="E2953" s="213"/>
      <c r="F2953" s="139"/>
      <c r="G2953" s="139"/>
      <c r="H2953" s="139"/>
      <c r="I2953" s="141"/>
      <c r="J2953" s="139"/>
      <c r="K2953" s="139"/>
    </row>
    <row r="2954" spans="1:11" ht="12.75" x14ac:dyDescent="0.2">
      <c r="A2954" s="139"/>
      <c r="B2954" s="139"/>
      <c r="C2954" s="211"/>
      <c r="D2954" s="139"/>
      <c r="E2954" s="213"/>
      <c r="F2954" s="139"/>
      <c r="G2954" s="139"/>
      <c r="H2954" s="139"/>
      <c r="I2954" s="141"/>
      <c r="J2954" s="139"/>
      <c r="K2954" s="139"/>
    </row>
    <row r="2955" spans="1:11" ht="12.75" x14ac:dyDescent="0.2">
      <c r="A2955" s="139"/>
      <c r="B2955" s="139"/>
      <c r="C2955" s="211"/>
      <c r="D2955" s="139"/>
      <c r="E2955" s="213"/>
      <c r="F2955" s="139"/>
      <c r="G2955" s="139"/>
      <c r="H2955" s="139"/>
      <c r="I2955" s="141"/>
      <c r="J2955" s="139"/>
      <c r="K2955" s="139"/>
    </row>
    <row r="2956" spans="1:11" ht="12.75" x14ac:dyDescent="0.2">
      <c r="A2956" s="139"/>
      <c r="B2956" s="139"/>
      <c r="C2956" s="211"/>
      <c r="D2956" s="139"/>
      <c r="E2956" s="213"/>
      <c r="F2956" s="139"/>
      <c r="G2956" s="139"/>
      <c r="H2956" s="139"/>
      <c r="I2956" s="141"/>
      <c r="J2956" s="139"/>
      <c r="K2956" s="139"/>
    </row>
    <row r="2957" spans="1:11" ht="12.75" x14ac:dyDescent="0.2">
      <c r="A2957" s="139"/>
      <c r="B2957" s="139"/>
      <c r="C2957" s="211"/>
      <c r="D2957" s="139"/>
      <c r="E2957" s="213"/>
      <c r="F2957" s="139"/>
      <c r="G2957" s="139"/>
      <c r="H2957" s="139"/>
      <c r="I2957" s="141"/>
      <c r="J2957" s="139"/>
      <c r="K2957" s="139"/>
    </row>
    <row r="2958" spans="1:11" ht="12.75" x14ac:dyDescent="0.2">
      <c r="A2958" s="139"/>
      <c r="B2958" s="139"/>
      <c r="C2958" s="211"/>
      <c r="D2958" s="139"/>
      <c r="E2958" s="213"/>
      <c r="F2958" s="139"/>
      <c r="G2958" s="139"/>
      <c r="H2958" s="139"/>
      <c r="I2958" s="141"/>
      <c r="J2958" s="139"/>
      <c r="K2958" s="139"/>
    </row>
    <row r="2959" spans="1:11" ht="12.75" x14ac:dyDescent="0.2">
      <c r="A2959" s="139"/>
      <c r="B2959" s="139"/>
      <c r="C2959" s="211"/>
      <c r="D2959" s="139"/>
      <c r="E2959" s="213"/>
      <c r="F2959" s="139"/>
      <c r="G2959" s="139"/>
      <c r="H2959" s="139"/>
      <c r="I2959" s="141"/>
      <c r="J2959" s="139"/>
      <c r="K2959" s="139"/>
    </row>
    <row r="2960" spans="1:11" ht="12.75" x14ac:dyDescent="0.2">
      <c r="A2960" s="139"/>
      <c r="B2960" s="139"/>
      <c r="C2960" s="211"/>
      <c r="D2960" s="139"/>
      <c r="E2960" s="213"/>
      <c r="F2960" s="139"/>
      <c r="G2960" s="139"/>
      <c r="H2960" s="139"/>
      <c r="I2960" s="141"/>
      <c r="J2960" s="139"/>
      <c r="K2960" s="139"/>
    </row>
    <row r="2961" spans="1:11" ht="12.75" x14ac:dyDescent="0.2">
      <c r="A2961" s="139"/>
      <c r="B2961" s="139"/>
      <c r="C2961" s="211"/>
      <c r="D2961" s="139"/>
      <c r="E2961" s="213"/>
      <c r="F2961" s="139"/>
      <c r="G2961" s="139"/>
      <c r="H2961" s="139"/>
      <c r="I2961" s="141"/>
      <c r="J2961" s="139"/>
      <c r="K2961" s="139"/>
    </row>
    <row r="2962" spans="1:11" ht="12.75" x14ac:dyDescent="0.2">
      <c r="A2962" s="139"/>
      <c r="B2962" s="139"/>
      <c r="C2962" s="211"/>
      <c r="D2962" s="139"/>
      <c r="E2962" s="213"/>
      <c r="F2962" s="139"/>
      <c r="G2962" s="139"/>
      <c r="H2962" s="139"/>
      <c r="I2962" s="141"/>
      <c r="J2962" s="139"/>
      <c r="K2962" s="139"/>
    </row>
    <row r="2963" spans="1:11" ht="12.75" x14ac:dyDescent="0.2">
      <c r="A2963" s="139"/>
      <c r="B2963" s="139"/>
      <c r="C2963" s="211"/>
      <c r="D2963" s="139"/>
      <c r="E2963" s="213"/>
      <c r="F2963" s="139"/>
      <c r="G2963" s="139"/>
      <c r="H2963" s="139"/>
      <c r="I2963" s="141"/>
      <c r="J2963" s="139"/>
      <c r="K2963" s="139"/>
    </row>
    <row r="2964" spans="1:11" ht="12.75" x14ac:dyDescent="0.2">
      <c r="A2964" s="139"/>
      <c r="B2964" s="139"/>
      <c r="C2964" s="211"/>
      <c r="D2964" s="139"/>
      <c r="E2964" s="213"/>
      <c r="F2964" s="139"/>
      <c r="G2964" s="139"/>
      <c r="H2964" s="139"/>
      <c r="I2964" s="141"/>
      <c r="J2964" s="139"/>
      <c r="K2964" s="139"/>
    </row>
    <row r="2965" spans="1:11" ht="12.75" x14ac:dyDescent="0.2">
      <c r="A2965" s="139"/>
      <c r="B2965" s="139"/>
      <c r="C2965" s="211"/>
      <c r="D2965" s="139"/>
      <c r="E2965" s="213"/>
      <c r="F2965" s="139"/>
      <c r="G2965" s="139"/>
      <c r="H2965" s="139"/>
      <c r="I2965" s="141"/>
      <c r="J2965" s="139"/>
      <c r="K2965" s="139"/>
    </row>
    <row r="2966" spans="1:11" ht="12.75" x14ac:dyDescent="0.2">
      <c r="A2966" s="139"/>
      <c r="B2966" s="139"/>
      <c r="C2966" s="211"/>
      <c r="D2966" s="139"/>
      <c r="E2966" s="213"/>
      <c r="F2966" s="139"/>
      <c r="G2966" s="139"/>
      <c r="H2966" s="139"/>
      <c r="I2966" s="141"/>
      <c r="J2966" s="139"/>
      <c r="K2966" s="139"/>
    </row>
    <row r="2967" spans="1:11" ht="12.75" x14ac:dyDescent="0.2">
      <c r="A2967" s="139"/>
      <c r="B2967" s="139"/>
      <c r="C2967" s="211"/>
      <c r="D2967" s="139"/>
      <c r="E2967" s="213"/>
      <c r="F2967" s="139"/>
      <c r="G2967" s="139"/>
      <c r="H2967" s="139"/>
      <c r="I2967" s="141"/>
      <c r="J2967" s="139"/>
      <c r="K2967" s="139"/>
    </row>
    <row r="2968" spans="1:11" ht="12.75" x14ac:dyDescent="0.2">
      <c r="A2968" s="139"/>
      <c r="B2968" s="139"/>
      <c r="C2968" s="211"/>
      <c r="D2968" s="139"/>
      <c r="E2968" s="213"/>
      <c r="F2968" s="139"/>
      <c r="G2968" s="139"/>
      <c r="H2968" s="139"/>
      <c r="I2968" s="141"/>
      <c r="J2968" s="139"/>
      <c r="K2968" s="139"/>
    </row>
    <row r="2969" spans="1:11" ht="12.75" x14ac:dyDescent="0.2">
      <c r="A2969" s="139"/>
      <c r="B2969" s="139"/>
      <c r="C2969" s="211"/>
      <c r="D2969" s="139"/>
      <c r="E2969" s="213"/>
      <c r="F2969" s="139"/>
      <c r="G2969" s="139"/>
      <c r="H2969" s="139"/>
      <c r="I2969" s="141"/>
      <c r="J2969" s="139"/>
      <c r="K2969" s="139"/>
    </row>
    <row r="2970" spans="1:11" ht="12.75" x14ac:dyDescent="0.2">
      <c r="A2970" s="139"/>
      <c r="B2970" s="139"/>
      <c r="C2970" s="211"/>
      <c r="D2970" s="139"/>
      <c r="E2970" s="213"/>
      <c r="F2970" s="139"/>
      <c r="G2970" s="139"/>
      <c r="H2970" s="139"/>
      <c r="I2970" s="141"/>
      <c r="J2970" s="139"/>
      <c r="K2970" s="139"/>
    </row>
    <row r="2971" spans="1:11" ht="12.75" x14ac:dyDescent="0.2">
      <c r="A2971" s="139"/>
      <c r="B2971" s="139"/>
      <c r="C2971" s="211"/>
      <c r="D2971" s="139"/>
      <c r="E2971" s="213"/>
      <c r="F2971" s="139"/>
      <c r="G2971" s="139"/>
      <c r="H2971" s="139"/>
      <c r="I2971" s="141"/>
      <c r="J2971" s="139"/>
      <c r="K2971" s="139"/>
    </row>
    <row r="2972" spans="1:11" ht="12.75" x14ac:dyDescent="0.2">
      <c r="A2972" s="139"/>
      <c r="B2972" s="139"/>
      <c r="C2972" s="211"/>
      <c r="D2972" s="139"/>
      <c r="E2972" s="213"/>
      <c r="F2972" s="139"/>
      <c r="G2972" s="139"/>
      <c r="H2972" s="139"/>
      <c r="I2972" s="141"/>
      <c r="J2972" s="139"/>
      <c r="K2972" s="139"/>
    </row>
    <row r="2973" spans="1:11" ht="12.75" x14ac:dyDescent="0.2">
      <c r="A2973" s="139"/>
      <c r="B2973" s="139"/>
      <c r="C2973" s="211"/>
      <c r="D2973" s="139"/>
      <c r="E2973" s="213"/>
      <c r="F2973" s="139"/>
      <c r="G2973" s="139"/>
      <c r="H2973" s="139"/>
      <c r="I2973" s="141"/>
      <c r="J2973" s="139"/>
      <c r="K2973" s="139"/>
    </row>
    <row r="2974" spans="1:11" ht="12.75" x14ac:dyDescent="0.2">
      <c r="A2974" s="139"/>
      <c r="B2974" s="139"/>
      <c r="C2974" s="211"/>
      <c r="D2974" s="139"/>
      <c r="E2974" s="213"/>
      <c r="F2974" s="139"/>
      <c r="G2974" s="139"/>
      <c r="H2974" s="139"/>
      <c r="I2974" s="141"/>
      <c r="J2974" s="139"/>
      <c r="K2974" s="139"/>
    </row>
    <row r="2975" spans="1:11" ht="12.75" x14ac:dyDescent="0.2">
      <c r="A2975" s="139"/>
      <c r="B2975" s="139"/>
      <c r="C2975" s="211"/>
      <c r="D2975" s="139"/>
      <c r="E2975" s="213"/>
      <c r="F2975" s="139"/>
      <c r="G2975" s="139"/>
      <c r="H2975" s="139"/>
      <c r="I2975" s="141"/>
      <c r="J2975" s="139"/>
      <c r="K2975" s="139"/>
    </row>
    <row r="2976" spans="1:11" ht="12.75" x14ac:dyDescent="0.2">
      <c r="A2976" s="139"/>
      <c r="B2976" s="139"/>
      <c r="C2976" s="211"/>
      <c r="D2976" s="139"/>
      <c r="E2976" s="213"/>
      <c r="F2976" s="139"/>
      <c r="G2976" s="139"/>
      <c r="H2976" s="139"/>
      <c r="I2976" s="141"/>
      <c r="J2976" s="139"/>
      <c r="K2976" s="139"/>
    </row>
    <row r="2977" spans="1:11" ht="12.75" x14ac:dyDescent="0.2">
      <c r="A2977" s="139"/>
      <c r="B2977" s="139"/>
      <c r="C2977" s="211"/>
      <c r="D2977" s="139"/>
      <c r="E2977" s="213"/>
      <c r="F2977" s="139"/>
      <c r="G2977" s="139"/>
      <c r="H2977" s="139"/>
      <c r="I2977" s="141"/>
      <c r="J2977" s="139"/>
      <c r="K2977" s="139"/>
    </row>
    <row r="2978" spans="1:11" ht="12.75" x14ac:dyDescent="0.2">
      <c r="A2978" s="139"/>
      <c r="B2978" s="139"/>
      <c r="C2978" s="211"/>
      <c r="D2978" s="139"/>
      <c r="E2978" s="213"/>
      <c r="F2978" s="139"/>
      <c r="G2978" s="139"/>
      <c r="H2978" s="139"/>
      <c r="I2978" s="141"/>
      <c r="J2978" s="139"/>
      <c r="K2978" s="139"/>
    </row>
    <row r="2979" spans="1:11" ht="12.75" x14ac:dyDescent="0.2">
      <c r="A2979" s="139"/>
      <c r="B2979" s="139"/>
      <c r="C2979" s="211"/>
      <c r="D2979" s="139"/>
      <c r="E2979" s="213"/>
      <c r="F2979" s="139"/>
      <c r="G2979" s="139"/>
      <c r="H2979" s="139"/>
      <c r="I2979" s="141"/>
      <c r="J2979" s="139"/>
      <c r="K2979" s="139"/>
    </row>
    <row r="2980" spans="1:11" ht="12.75" x14ac:dyDescent="0.2">
      <c r="A2980" s="139"/>
      <c r="B2980" s="139"/>
      <c r="C2980" s="211"/>
      <c r="D2980" s="139"/>
      <c r="E2980" s="213"/>
      <c r="F2980" s="139"/>
      <c r="G2980" s="139"/>
      <c r="H2980" s="139"/>
      <c r="I2980" s="141"/>
      <c r="J2980" s="139"/>
      <c r="K2980" s="139"/>
    </row>
    <row r="2981" spans="1:11" ht="12.75" x14ac:dyDescent="0.2">
      <c r="A2981" s="139"/>
      <c r="B2981" s="139"/>
      <c r="C2981" s="211"/>
      <c r="D2981" s="139"/>
      <c r="E2981" s="213"/>
      <c r="F2981" s="139"/>
      <c r="G2981" s="139"/>
      <c r="H2981" s="139"/>
      <c r="I2981" s="141"/>
      <c r="J2981" s="139"/>
      <c r="K2981" s="139"/>
    </row>
    <row r="2982" spans="1:11" ht="12.75" x14ac:dyDescent="0.2">
      <c r="A2982" s="139"/>
      <c r="B2982" s="139"/>
      <c r="C2982" s="211"/>
      <c r="D2982" s="139"/>
      <c r="E2982" s="213"/>
      <c r="F2982" s="139"/>
      <c r="G2982" s="139"/>
      <c r="H2982" s="139"/>
      <c r="I2982" s="141"/>
      <c r="J2982" s="139"/>
      <c r="K2982" s="139"/>
    </row>
    <row r="2983" spans="1:11" ht="12.75" x14ac:dyDescent="0.2">
      <c r="A2983" s="139"/>
      <c r="B2983" s="139"/>
      <c r="C2983" s="211"/>
      <c r="D2983" s="139"/>
      <c r="E2983" s="213"/>
      <c r="F2983" s="139"/>
      <c r="G2983" s="139"/>
      <c r="H2983" s="139"/>
      <c r="I2983" s="141"/>
      <c r="J2983" s="139"/>
      <c r="K2983" s="139"/>
    </row>
    <row r="2984" spans="1:11" ht="12.75" x14ac:dyDescent="0.2">
      <c r="A2984" s="139"/>
      <c r="B2984" s="139"/>
      <c r="C2984" s="211"/>
      <c r="D2984" s="139"/>
      <c r="E2984" s="213"/>
      <c r="F2984" s="139"/>
      <c r="G2984" s="139"/>
      <c r="H2984" s="139"/>
      <c r="I2984" s="141"/>
      <c r="J2984" s="139"/>
      <c r="K2984" s="139"/>
    </row>
    <row r="2985" spans="1:11" ht="12.75" x14ac:dyDescent="0.2">
      <c r="A2985" s="139"/>
      <c r="B2985" s="139"/>
      <c r="C2985" s="211"/>
      <c r="D2985" s="139"/>
      <c r="E2985" s="213"/>
      <c r="F2985" s="139"/>
      <c r="G2985" s="139"/>
      <c r="H2985" s="139"/>
      <c r="I2985" s="141"/>
      <c r="J2985" s="139"/>
      <c r="K2985" s="139"/>
    </row>
    <row r="2986" spans="1:11" ht="12.75" x14ac:dyDescent="0.2">
      <c r="A2986" s="139"/>
      <c r="B2986" s="139"/>
      <c r="C2986" s="211"/>
      <c r="D2986" s="139"/>
      <c r="E2986" s="213"/>
      <c r="F2986" s="139"/>
      <c r="G2986" s="139"/>
      <c r="H2986" s="139"/>
      <c r="I2986" s="141"/>
      <c r="J2986" s="139"/>
      <c r="K2986" s="139"/>
    </row>
    <row r="2987" spans="1:11" ht="12.75" x14ac:dyDescent="0.2">
      <c r="A2987" s="139"/>
      <c r="B2987" s="139"/>
      <c r="C2987" s="211"/>
      <c r="D2987" s="139"/>
      <c r="E2987" s="213"/>
      <c r="F2987" s="139"/>
      <c r="G2987" s="139"/>
      <c r="H2987" s="139"/>
      <c r="I2987" s="141"/>
      <c r="J2987" s="139"/>
      <c r="K2987" s="139"/>
    </row>
    <row r="2988" spans="1:11" ht="12.75" x14ac:dyDescent="0.2">
      <c r="A2988" s="139"/>
      <c r="B2988" s="139"/>
      <c r="C2988" s="211"/>
      <c r="D2988" s="139"/>
      <c r="E2988" s="213"/>
      <c r="F2988" s="139"/>
      <c r="G2988" s="139"/>
      <c r="H2988" s="139"/>
      <c r="I2988" s="141"/>
      <c r="J2988" s="139"/>
      <c r="K2988" s="139"/>
    </row>
    <row r="2989" spans="1:11" ht="12.75" x14ac:dyDescent="0.2">
      <c r="A2989" s="139"/>
      <c r="B2989" s="139"/>
      <c r="C2989" s="211"/>
      <c r="D2989" s="139"/>
      <c r="E2989" s="213"/>
      <c r="F2989" s="139"/>
      <c r="G2989" s="139"/>
      <c r="H2989" s="139"/>
      <c r="I2989" s="141"/>
      <c r="J2989" s="139"/>
      <c r="K2989" s="139"/>
    </row>
    <row r="2990" spans="1:11" ht="12.75" x14ac:dyDescent="0.2">
      <c r="A2990" s="139"/>
      <c r="B2990" s="139"/>
      <c r="C2990" s="211"/>
      <c r="D2990" s="139"/>
      <c r="E2990" s="213"/>
      <c r="F2990" s="139"/>
      <c r="G2990" s="139"/>
      <c r="H2990" s="139"/>
      <c r="I2990" s="141"/>
      <c r="J2990" s="139"/>
      <c r="K2990" s="139"/>
    </row>
    <row r="2991" spans="1:11" ht="12.75" x14ac:dyDescent="0.2">
      <c r="A2991" s="139"/>
      <c r="B2991" s="139"/>
      <c r="C2991" s="211"/>
      <c r="D2991" s="139"/>
      <c r="E2991" s="213"/>
      <c r="F2991" s="139"/>
      <c r="G2991" s="139"/>
      <c r="H2991" s="139"/>
      <c r="I2991" s="141"/>
      <c r="J2991" s="139"/>
      <c r="K2991" s="139"/>
    </row>
    <row r="2992" spans="1:11" ht="12.75" x14ac:dyDescent="0.2">
      <c r="A2992" s="139"/>
      <c r="B2992" s="139"/>
      <c r="C2992" s="211"/>
      <c r="D2992" s="139"/>
      <c r="E2992" s="213"/>
      <c r="F2992" s="139"/>
      <c r="G2992" s="139"/>
      <c r="H2992" s="139"/>
      <c r="I2992" s="141"/>
      <c r="J2992" s="139"/>
      <c r="K2992" s="139"/>
    </row>
    <row r="2993" spans="1:11" ht="12.75" x14ac:dyDescent="0.2">
      <c r="A2993" s="139"/>
      <c r="B2993" s="139"/>
      <c r="C2993" s="211"/>
      <c r="D2993" s="139"/>
      <c r="E2993" s="213"/>
      <c r="F2993" s="139"/>
      <c r="G2993" s="139"/>
      <c r="H2993" s="139"/>
      <c r="I2993" s="141"/>
      <c r="J2993" s="139"/>
      <c r="K2993" s="139"/>
    </row>
    <row r="2994" spans="1:11" ht="12.75" x14ac:dyDescent="0.2">
      <c r="A2994" s="139"/>
      <c r="B2994" s="139"/>
      <c r="C2994" s="211"/>
      <c r="D2994" s="139"/>
      <c r="E2994" s="213"/>
      <c r="F2994" s="139"/>
      <c r="G2994" s="139"/>
      <c r="H2994" s="139"/>
      <c r="I2994" s="141"/>
      <c r="J2994" s="139"/>
      <c r="K2994" s="139"/>
    </row>
    <row r="2995" spans="1:11" ht="12.75" x14ac:dyDescent="0.2">
      <c r="A2995" s="139"/>
      <c r="B2995" s="139"/>
      <c r="C2995" s="211"/>
      <c r="D2995" s="139"/>
      <c r="E2995" s="213"/>
      <c r="F2995" s="139"/>
      <c r="G2995" s="139"/>
      <c r="H2995" s="139"/>
      <c r="I2995" s="141"/>
      <c r="J2995" s="139"/>
      <c r="K2995" s="139"/>
    </row>
    <row r="2996" spans="1:11" ht="12.75" x14ac:dyDescent="0.2">
      <c r="A2996" s="139"/>
      <c r="B2996" s="139"/>
      <c r="C2996" s="211"/>
      <c r="D2996" s="139"/>
      <c r="E2996" s="213"/>
      <c r="F2996" s="139"/>
      <c r="G2996" s="139"/>
      <c r="H2996" s="139"/>
      <c r="I2996" s="141"/>
      <c r="J2996" s="139"/>
      <c r="K2996" s="139"/>
    </row>
    <row r="2997" spans="1:11" ht="12.75" x14ac:dyDescent="0.2">
      <c r="A2997" s="139"/>
      <c r="B2997" s="139"/>
      <c r="C2997" s="211"/>
      <c r="D2997" s="139"/>
      <c r="E2997" s="213"/>
      <c r="F2997" s="139"/>
      <c r="G2997" s="139"/>
      <c r="H2997" s="139"/>
      <c r="I2997" s="141"/>
      <c r="J2997" s="139"/>
      <c r="K2997" s="139"/>
    </row>
    <row r="2998" spans="1:11" ht="12.75" x14ac:dyDescent="0.2">
      <c r="A2998" s="139"/>
      <c r="B2998" s="139"/>
      <c r="C2998" s="211"/>
      <c r="D2998" s="139"/>
      <c r="E2998" s="213"/>
      <c r="F2998" s="139"/>
      <c r="G2998" s="139"/>
      <c r="H2998" s="139"/>
      <c r="I2998" s="141"/>
      <c r="J2998" s="139"/>
      <c r="K2998" s="139"/>
    </row>
    <row r="2999" spans="1:11" ht="12.75" x14ac:dyDescent="0.2">
      <c r="A2999" s="139"/>
      <c r="B2999" s="139"/>
      <c r="C2999" s="211"/>
      <c r="D2999" s="139"/>
      <c r="E2999" s="213"/>
      <c r="F2999" s="139"/>
      <c r="G2999" s="139"/>
      <c r="H2999" s="139"/>
      <c r="I2999" s="141"/>
      <c r="J2999" s="139"/>
      <c r="K2999" s="139"/>
    </row>
    <row r="3000" spans="1:11" ht="12.75" x14ac:dyDescent="0.2">
      <c r="A3000" s="139"/>
      <c r="B3000" s="139"/>
      <c r="C3000" s="211"/>
      <c r="D3000" s="139"/>
      <c r="E3000" s="213"/>
      <c r="F3000" s="139"/>
      <c r="G3000" s="139"/>
      <c r="H3000" s="139"/>
      <c r="I3000" s="141"/>
      <c r="J3000" s="139"/>
      <c r="K3000" s="139"/>
    </row>
    <row r="3001" spans="1:11" ht="12.75" x14ac:dyDescent="0.2">
      <c r="A3001" s="139"/>
      <c r="B3001" s="139"/>
      <c r="C3001" s="211"/>
      <c r="D3001" s="139"/>
      <c r="E3001" s="213"/>
      <c r="F3001" s="139"/>
      <c r="G3001" s="139"/>
      <c r="H3001" s="139"/>
      <c r="I3001" s="141"/>
      <c r="J3001" s="139"/>
      <c r="K3001" s="139"/>
    </row>
    <row r="3002" spans="1:11" ht="12.75" x14ac:dyDescent="0.2">
      <c r="A3002" s="139"/>
      <c r="B3002" s="139"/>
      <c r="C3002" s="211"/>
      <c r="D3002" s="139"/>
      <c r="E3002" s="213"/>
      <c r="F3002" s="139"/>
      <c r="G3002" s="139"/>
      <c r="H3002" s="139"/>
      <c r="I3002" s="141"/>
      <c r="J3002" s="139"/>
      <c r="K3002" s="139"/>
    </row>
    <row r="3003" spans="1:11" ht="12.75" x14ac:dyDescent="0.2">
      <c r="A3003" s="139"/>
      <c r="B3003" s="139"/>
      <c r="C3003" s="211"/>
      <c r="D3003" s="139"/>
      <c r="E3003" s="213"/>
      <c r="F3003" s="139"/>
      <c r="G3003" s="139"/>
      <c r="H3003" s="139"/>
      <c r="I3003" s="141"/>
      <c r="J3003" s="139"/>
      <c r="K3003" s="139"/>
    </row>
    <row r="3004" spans="1:11" ht="12.75" x14ac:dyDescent="0.2">
      <c r="A3004" s="139"/>
      <c r="B3004" s="139"/>
      <c r="C3004" s="211"/>
      <c r="D3004" s="139"/>
      <c r="E3004" s="213"/>
      <c r="F3004" s="139"/>
      <c r="G3004" s="139"/>
      <c r="H3004" s="139"/>
      <c r="I3004" s="141"/>
      <c r="J3004" s="139"/>
      <c r="K3004" s="139"/>
    </row>
    <row r="3005" spans="1:11" ht="12.75" x14ac:dyDescent="0.2">
      <c r="A3005" s="139"/>
      <c r="B3005" s="139"/>
      <c r="C3005" s="211"/>
      <c r="D3005" s="139"/>
      <c r="E3005" s="213"/>
      <c r="F3005" s="139"/>
      <c r="G3005" s="139"/>
      <c r="H3005" s="139"/>
      <c r="I3005" s="141"/>
      <c r="J3005" s="139"/>
      <c r="K3005" s="139"/>
    </row>
    <row r="3006" spans="1:11" ht="12.75" x14ac:dyDescent="0.2">
      <c r="A3006" s="139"/>
      <c r="B3006" s="139"/>
      <c r="C3006" s="211"/>
      <c r="D3006" s="139"/>
      <c r="E3006" s="213"/>
      <c r="F3006" s="139"/>
      <c r="G3006" s="139"/>
      <c r="H3006" s="139"/>
      <c r="I3006" s="141"/>
      <c r="J3006" s="139"/>
      <c r="K3006" s="139"/>
    </row>
    <row r="3007" spans="1:11" ht="12.75" x14ac:dyDescent="0.2">
      <c r="A3007" s="139"/>
      <c r="B3007" s="139"/>
      <c r="C3007" s="211"/>
      <c r="D3007" s="139"/>
      <c r="E3007" s="213"/>
      <c r="F3007" s="139"/>
      <c r="G3007" s="139"/>
      <c r="H3007" s="139"/>
      <c r="I3007" s="141"/>
      <c r="J3007" s="139"/>
      <c r="K3007" s="139"/>
    </row>
    <row r="3008" spans="1:11" ht="12.75" x14ac:dyDescent="0.2">
      <c r="A3008" s="139"/>
      <c r="B3008" s="139"/>
      <c r="C3008" s="211"/>
      <c r="D3008" s="139"/>
      <c r="E3008" s="213"/>
      <c r="F3008" s="139"/>
      <c r="G3008" s="139"/>
      <c r="H3008" s="139"/>
      <c r="I3008" s="141"/>
      <c r="J3008" s="139"/>
      <c r="K3008" s="139"/>
    </row>
    <row r="3009" spans="1:11" ht="12.75" x14ac:dyDescent="0.2">
      <c r="A3009" s="139"/>
      <c r="B3009" s="139"/>
      <c r="C3009" s="211"/>
      <c r="D3009" s="139"/>
      <c r="E3009" s="213"/>
      <c r="F3009" s="139"/>
      <c r="G3009" s="139"/>
      <c r="H3009" s="139"/>
      <c r="I3009" s="141"/>
      <c r="J3009" s="139"/>
      <c r="K3009" s="139"/>
    </row>
    <row r="3010" spans="1:11" ht="12.75" x14ac:dyDescent="0.2">
      <c r="A3010" s="139"/>
      <c r="B3010" s="139"/>
      <c r="C3010" s="211"/>
      <c r="D3010" s="139"/>
      <c r="E3010" s="213"/>
      <c r="F3010" s="139"/>
      <c r="G3010" s="139"/>
      <c r="H3010" s="139"/>
      <c r="I3010" s="141"/>
      <c r="J3010" s="139"/>
      <c r="K3010" s="139"/>
    </row>
    <row r="3011" spans="1:11" ht="12.75" x14ac:dyDescent="0.2">
      <c r="A3011" s="139"/>
      <c r="B3011" s="139"/>
      <c r="C3011" s="211"/>
      <c r="D3011" s="139"/>
      <c r="E3011" s="213"/>
      <c r="F3011" s="139"/>
      <c r="G3011" s="139"/>
      <c r="H3011" s="139"/>
      <c r="I3011" s="141"/>
      <c r="J3011" s="139"/>
      <c r="K3011" s="139"/>
    </row>
    <row r="3012" spans="1:11" ht="12.75" x14ac:dyDescent="0.2">
      <c r="A3012" s="139"/>
      <c r="B3012" s="139"/>
      <c r="C3012" s="211"/>
      <c r="D3012" s="139"/>
      <c r="E3012" s="213"/>
      <c r="F3012" s="139"/>
      <c r="G3012" s="139"/>
      <c r="H3012" s="139"/>
      <c r="I3012" s="141"/>
      <c r="J3012" s="139"/>
      <c r="K3012" s="139"/>
    </row>
    <row r="3013" spans="1:11" ht="12.75" x14ac:dyDescent="0.2">
      <c r="I3013" s="8"/>
      <c r="J3013" s="139"/>
      <c r="K3013" s="139"/>
    </row>
    <row r="3014" spans="1:11" ht="12.75" x14ac:dyDescent="0.2">
      <c r="I3014" s="8"/>
      <c r="J3014" s="139"/>
      <c r="K3014" s="139"/>
    </row>
    <row r="3015" spans="1:11" ht="12.75" x14ac:dyDescent="0.2">
      <c r="J3015" s="139"/>
      <c r="K3015" s="139"/>
    </row>
    <row r="3016" spans="1:11" ht="12.75" x14ac:dyDescent="0.2">
      <c r="J3016" s="139"/>
      <c r="K3016" s="139"/>
    </row>
    <row r="3017" spans="1:11" ht="12.75" x14ac:dyDescent="0.2">
      <c r="K3017" s="139"/>
    </row>
    <row r="3018" spans="1:11" ht="12.75" x14ac:dyDescent="0.2">
      <c r="K3018" s="139"/>
    </row>
    <row r="3019" spans="1:11" ht="12.75" x14ac:dyDescent="0.2">
      <c r="K3019" s="139"/>
    </row>
    <row r="3020" spans="1:11" ht="12.75" x14ac:dyDescent="0.2">
      <c r="K3020" s="139"/>
    </row>
    <row r="3021" spans="1:11" ht="12.75" x14ac:dyDescent="0.2">
      <c r="K3021" s="139"/>
    </row>
    <row r="3022" spans="1:11" ht="12.75" x14ac:dyDescent="0.2">
      <c r="K3022" s="139"/>
    </row>
    <row r="3023" spans="1:11" ht="12.75" x14ac:dyDescent="0.2">
      <c r="K3023" s="139"/>
    </row>
    <row r="3024" spans="1:11" ht="12.75" x14ac:dyDescent="0.2">
      <c r="K3024" s="139"/>
    </row>
    <row r="3025" spans="11:11" ht="12.75" x14ac:dyDescent="0.2">
      <c r="K3025" s="139"/>
    </row>
    <row r="3026" spans="11:11" ht="12.75" x14ac:dyDescent="0.2">
      <c r="K3026" s="139"/>
    </row>
    <row r="3027" spans="11:11" ht="12.75" x14ac:dyDescent="0.2">
      <c r="K3027" s="139"/>
    </row>
    <row r="3028" spans="11:11" ht="12.75" x14ac:dyDescent="0.2">
      <c r="K3028" s="139"/>
    </row>
    <row r="3029" spans="11:11" ht="12.75" x14ac:dyDescent="0.2">
      <c r="K3029" s="139"/>
    </row>
  </sheetData>
  <mergeCells count="15">
    <mergeCell ref="A1:J1"/>
    <mergeCell ref="A2:J2"/>
    <mergeCell ref="A3:J3"/>
    <mergeCell ref="A4:J4"/>
    <mergeCell ref="A5:J5"/>
    <mergeCell ref="J6:J7"/>
    <mergeCell ref="E6:E7"/>
    <mergeCell ref="F6:F7"/>
    <mergeCell ref="G6:G7"/>
    <mergeCell ref="H6:H7"/>
    <mergeCell ref="C6:C7"/>
    <mergeCell ref="B6:B7"/>
    <mergeCell ref="A6:A7"/>
    <mergeCell ref="D6:D7"/>
    <mergeCell ref="I6:I7"/>
  </mergeCells>
  <phoneticPr fontId="3" type="noConversion"/>
  <printOptions horizontalCentered="1" gridLinesSet="0"/>
  <pageMargins left="0" right="0" top="0.75" bottom="0.5" header="0.25" footer="0.5"/>
  <pageSetup paperSize="5" fitToHeight="0" orientation="landscape" r:id="rId1"/>
  <headerFooter alignWithMargins="0">
    <oddFooter>&amp;L&amp;"MS Sans Serif,Regular"&amp;F&amp;C&amp;"MS Sans Serif,Regular"&amp;P</oddFooter>
  </headerFooter>
  <rowBreaks count="55" manualBreakCount="55">
    <brk id="44" max="9" man="1"/>
    <brk id="86" max="9" man="1"/>
    <brk id="123" max="9" man="1"/>
    <brk id="162" max="9" man="1"/>
    <brk id="196" max="9" man="1"/>
    <brk id="233" max="9" man="1"/>
    <brk id="266" max="9" man="1"/>
    <brk id="304" max="9" man="1"/>
    <brk id="415" max="9" man="1"/>
    <brk id="508" max="9" man="1"/>
    <brk id="543" max="9" man="1"/>
    <brk id="577" max="9" man="1"/>
    <brk id="612" max="9" man="1"/>
    <brk id="650" max="9" man="1"/>
    <brk id="681" max="9" man="1"/>
    <brk id="806" max="9" man="1"/>
    <brk id="839" max="9" man="1"/>
    <brk id="868" max="9" man="1"/>
    <brk id="896" max="9" man="1"/>
    <brk id="937" max="9" man="1"/>
    <brk id="974" max="9" man="1"/>
    <brk id="1012" max="9" man="1"/>
    <brk id="1046" max="9" man="1"/>
    <brk id="1086" max="9" man="1"/>
    <brk id="1122" max="9" man="1"/>
    <brk id="1157" max="9" man="1"/>
    <brk id="1192" max="9" man="1"/>
    <brk id="1301" max="9" man="1"/>
    <brk id="1338" max="9" man="1"/>
    <brk id="1377" max="9" man="1"/>
    <brk id="1416" max="9" man="1"/>
    <brk id="1455" max="9" man="1"/>
    <brk id="1496" max="9" man="1"/>
    <brk id="1553" max="9" man="1"/>
    <brk id="1589" max="9" man="1"/>
    <brk id="1625" max="9" man="1"/>
    <brk id="1666" max="9" man="1"/>
    <brk id="1703" max="9" man="1"/>
    <brk id="1747" max="9" man="1"/>
    <brk id="1809" max="9" man="1"/>
    <brk id="1845" max="9" man="1"/>
    <brk id="1878" max="9" man="1"/>
    <brk id="1924" max="9" man="1"/>
    <brk id="1968" max="9" man="1"/>
    <brk id="2003" max="9" man="1"/>
    <brk id="2035" max="9" man="1"/>
    <brk id="2072" max="9" man="1"/>
    <brk id="2105" max="9" man="1"/>
    <brk id="2241" max="9" man="1"/>
    <brk id="2268" max="9" man="1"/>
    <brk id="2301" max="9" man="1"/>
    <brk id="2348" max="9" man="1"/>
    <brk id="2379" max="9" man="1"/>
    <brk id="2410" max="9" man="1"/>
    <brk id="2454" max="9" man="1"/>
  </rowBreaks>
  <colBreaks count="1" manualBreakCount="1">
    <brk id="3" max="195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BED83EFD1B4CA509E07C221404A6" ma:contentTypeVersion="12" ma:contentTypeDescription="Create a new document." ma:contentTypeScope="" ma:versionID="7adc5ff164e610e59772a7e0755392dc">
  <xsd:schema xmlns:xsd="http://www.w3.org/2001/XMLSchema" xmlns:xs="http://www.w3.org/2001/XMLSchema" xmlns:p="http://schemas.microsoft.com/office/2006/metadata/properties" xmlns:ns3="014d1102-4776-4827-a4e5-0e73e2b3b592" xmlns:ns4="98029977-d171-46f5-b656-bdbfb795dc4b" targetNamespace="http://schemas.microsoft.com/office/2006/metadata/properties" ma:root="true" ma:fieldsID="73c5c70eed02ca751dcdd4f5409a1bc0" ns3:_="" ns4:_="">
    <xsd:import namespace="014d1102-4776-4827-a4e5-0e73e2b3b592"/>
    <xsd:import namespace="98029977-d171-46f5-b656-bdbfb795dc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d1102-4776-4827-a4e5-0e73e2b3b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29977-d171-46f5-b656-bdbfb795d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3164EC-4E79-447B-98B9-250B31F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d1102-4776-4827-a4e5-0e73e2b3b592"/>
    <ds:schemaRef ds:uri="98029977-d171-46f5-b656-bdbfb795d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180EDA-45CE-4623-B6D9-F5B570363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0600C5-ABB5-4D3B-8391-BEFCCCD5485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21</vt:i4>
      </vt:variant>
    </vt:vector>
  </HeadingPairs>
  <TitlesOfParts>
    <vt:vector size="26" baseType="lpstr">
      <vt:lpstr>cost-location</vt:lpstr>
      <vt:lpstr>const-cost</vt:lpstr>
      <vt:lpstr>cost-addons</vt:lpstr>
      <vt:lpstr>CSCTHIST</vt:lpstr>
      <vt:lpstr>COSTBASE</vt:lpstr>
      <vt:lpstr>new_print_area_mi</vt:lpstr>
      <vt:lpstr>new_print_titles_mi</vt:lpstr>
      <vt:lpstr>'const-cost'!Print_Area</vt:lpstr>
      <vt:lpstr>'cost-addons'!Print_Area</vt:lpstr>
      <vt:lpstr>COSTBASE!Print_Area</vt:lpstr>
      <vt:lpstr>'cost-location'!Print_Area</vt:lpstr>
      <vt:lpstr>CSCTHIST!Print_Area</vt:lpstr>
      <vt:lpstr>Print_Area</vt:lpstr>
      <vt:lpstr>COSTBASE!Print_Area_MI</vt:lpstr>
      <vt:lpstr>Print_Area_MI</vt:lpstr>
      <vt:lpstr>'const-cost'!Print_Titles</vt:lpstr>
      <vt:lpstr>'cost-addons'!Print_Titles</vt:lpstr>
      <vt:lpstr>COSTBASE!Print_Titles</vt:lpstr>
      <vt:lpstr>'cost-location'!Print_Titles</vt:lpstr>
      <vt:lpstr>CSCTHIST!Print_Titles</vt:lpstr>
      <vt:lpstr>Print_Titles</vt:lpstr>
      <vt:lpstr>'const-cost'!Print_Titles_MI</vt:lpstr>
      <vt:lpstr>'cost-addons'!Print_Titles_MI</vt:lpstr>
      <vt:lpstr>COSTBASE!Print_Titles_MI</vt:lpstr>
      <vt:lpstr>'cost-location'!Print_Titles_MI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 of Regents</dc:creator>
  <cp:lastModifiedBy>Pichard, Kevin</cp:lastModifiedBy>
  <cp:lastPrinted>2026-01-07T16:43:36Z</cp:lastPrinted>
  <dcterms:created xsi:type="dcterms:W3CDTF">1999-02-05T13:58:24Z</dcterms:created>
  <dcterms:modified xsi:type="dcterms:W3CDTF">2026-03-20T16:12:38Z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0x0101007342BED83EFD1B4CA509E07C221404A6</vt:lpwstr>
  </property>
</Properties>
</file>