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evin.pichard\Documents\IRCB\"/>
    </mc:Choice>
  </mc:AlternateContent>
  <bookViews>
    <workbookView xWindow="32760" yWindow="32760" windowWidth="28800" windowHeight="12165" activeTab="3"/>
  </bookViews>
  <sheets>
    <sheet name="cost-location" sheetId="3" r:id="rId1"/>
    <sheet name="const-cost" sheetId="2" r:id="rId2"/>
    <sheet name="cost-addons" sheetId="4" r:id="rId3"/>
    <sheet name="CSCTHIST" sheetId="1" r:id="rId4"/>
    <sheet name="COSTBASE" sheetId="5" r:id="rId5"/>
  </sheets>
  <definedNames>
    <definedName name="new_print_area_mi">COSTBASE!$A$9:$J$2189</definedName>
    <definedName name="new_print_titles_mi">COSTBASE!$2:$8</definedName>
    <definedName name="_xlnm.Print_Area" localSheetId="1">'const-cost'!$A$1:$E$36</definedName>
    <definedName name="_xlnm.Print_Area" localSheetId="2">'cost-addons'!$A$1:$L$39</definedName>
    <definedName name="_xlnm.Print_Area" localSheetId="4">COSTBASE!$A$1:$J$2427</definedName>
    <definedName name="_xlnm.Print_Area" localSheetId="0">'cost-location'!$A$2:$L$40</definedName>
    <definedName name="_xlnm.Print_Area" localSheetId="3">CSCTHIST!$A$1:$L$406</definedName>
    <definedName name="_xlnm.Print_Area">COSTBASE!$A$9:$J$2189</definedName>
    <definedName name="Print_Area_MI" localSheetId="1">'const-cost'!#REF!</definedName>
    <definedName name="Print_Area_MI" localSheetId="2">'cost-addons'!#REF!</definedName>
    <definedName name="Print_Area_MI" localSheetId="4">COSTBASE!$A$9:$J$2189</definedName>
    <definedName name="Print_Area_MI" localSheetId="0">'cost-location'!#REF!</definedName>
    <definedName name="Print_Area_MI">CSCTHIST!$A$12:$L$405</definedName>
    <definedName name="_xlnm.Print_Titles" localSheetId="1">'const-cost'!$1:$1</definedName>
    <definedName name="_xlnm.Print_Titles" localSheetId="2">'cost-addons'!$1:$1</definedName>
    <definedName name="_xlnm.Print_Titles" localSheetId="4">COSTBASE!$1:$8</definedName>
    <definedName name="_xlnm.Print_Titles" localSheetId="0">'cost-location'!$2:$2</definedName>
    <definedName name="_xlnm.Print_Titles" localSheetId="3">CSCTHIST!$1:$10</definedName>
    <definedName name="_xlnm.Print_Titles">COSTBASE!$2:$8</definedName>
    <definedName name="Print_Titles_MI" localSheetId="1">'const-cost'!$1:$1</definedName>
    <definedName name="Print_Titles_MI" localSheetId="2">'cost-addons'!$1:$1</definedName>
    <definedName name="Print_Titles_MI" localSheetId="4">COSTBASE!$2:$8</definedName>
    <definedName name="Print_Titles_MI" localSheetId="0">'cost-location'!$2:$2</definedName>
    <definedName name="Print_Titles_MI">CSCTHIST!$2:$11</definedName>
  </definedNames>
  <calcPr calcId="191029" fullCalcOnLoad="1"/>
</workbook>
</file>

<file path=xl/calcChain.xml><?xml version="1.0" encoding="utf-8"?>
<calcChain xmlns="http://schemas.openxmlformats.org/spreadsheetml/2006/main">
  <c r="K286" i="1" l="1"/>
  <c r="J288" i="1"/>
  <c r="K56" i="1"/>
  <c r="I285" i="1"/>
  <c r="J285" i="1"/>
  <c r="L285" i="1"/>
  <c r="H443" i="5"/>
  <c r="I443" i="5"/>
  <c r="I284" i="1"/>
  <c r="J284" i="1"/>
  <c r="L284" i="1"/>
  <c r="H907" i="5"/>
  <c r="I901" i="5"/>
  <c r="K175" i="1"/>
  <c r="K97" i="1"/>
  <c r="K119" i="1"/>
  <c r="E116" i="1"/>
  <c r="I116" i="1"/>
  <c r="H1238" i="5"/>
  <c r="I1237" i="5"/>
  <c r="E283" i="1"/>
  <c r="J283" i="1"/>
  <c r="L283" i="1"/>
  <c r="K333" i="1"/>
  <c r="K376" i="1"/>
  <c r="I283" i="1"/>
  <c r="I115" i="1"/>
  <c r="E115" i="1"/>
  <c r="I282" i="1"/>
  <c r="E282" i="1"/>
  <c r="I173" i="1"/>
  <c r="E173" i="1"/>
  <c r="I281" i="1"/>
  <c r="E281" i="1"/>
  <c r="J281" i="1"/>
  <c r="L281" i="1"/>
  <c r="I95" i="1"/>
  <c r="J95" i="1"/>
  <c r="L95" i="1"/>
  <c r="E95" i="1"/>
  <c r="I114" i="1"/>
  <c r="E114" i="1"/>
  <c r="J114" i="1"/>
  <c r="L114" i="1"/>
  <c r="I55" i="1"/>
  <c r="J55" i="1"/>
  <c r="L55" i="1"/>
  <c r="H1886" i="5"/>
  <c r="I1883" i="5"/>
  <c r="H439" i="5"/>
  <c r="H1230" i="5"/>
  <c r="H1218" i="5"/>
  <c r="I1217" i="5"/>
  <c r="H1223" i="5"/>
  <c r="I1223" i="5"/>
  <c r="H1213" i="5"/>
  <c r="I1211" i="5"/>
  <c r="H1206" i="5"/>
  <c r="I1205" i="5"/>
  <c r="H741" i="5"/>
  <c r="I741" i="5"/>
  <c r="H736" i="5"/>
  <c r="H1763" i="5"/>
  <c r="I1763" i="5"/>
  <c r="K404" i="1"/>
  <c r="K353" i="1"/>
  <c r="K320" i="1"/>
  <c r="I375" i="1"/>
  <c r="J375" i="1"/>
  <c r="L375" i="1"/>
  <c r="I280" i="1"/>
  <c r="J280" i="1"/>
  <c r="L280" i="1"/>
  <c r="I279" i="1"/>
  <c r="J279" i="1"/>
  <c r="L279" i="1"/>
  <c r="I318" i="1"/>
  <c r="J318" i="1"/>
  <c r="L318" i="1"/>
  <c r="I278" i="1"/>
  <c r="J278" i="1"/>
  <c r="L278" i="1"/>
  <c r="I172" i="1"/>
  <c r="E172" i="1"/>
  <c r="H1879" i="5"/>
  <c r="I1877" i="5"/>
  <c r="H1196" i="5"/>
  <c r="I1193" i="5"/>
  <c r="I725" i="5"/>
  <c r="I724" i="5"/>
  <c r="I723" i="5"/>
  <c r="I722" i="5"/>
  <c r="I432" i="5"/>
  <c r="I433" i="5"/>
  <c r="I374" i="1"/>
  <c r="E374" i="1"/>
  <c r="I94" i="1"/>
  <c r="F2402" i="5"/>
  <c r="E94" i="1"/>
  <c r="J94" i="1"/>
  <c r="L94" i="1"/>
  <c r="H2408" i="5"/>
  <c r="I2406" i="5"/>
  <c r="E276" i="1"/>
  <c r="J276" i="1"/>
  <c r="L276" i="1"/>
  <c r="I276" i="1"/>
  <c r="E171" i="1"/>
  <c r="E170" i="1"/>
  <c r="I171" i="1"/>
  <c r="H429" i="5"/>
  <c r="I426" i="5"/>
  <c r="I93" i="1"/>
  <c r="J93" i="1"/>
  <c r="L93" i="1"/>
  <c r="E93" i="1"/>
  <c r="E277" i="1"/>
  <c r="I277" i="1"/>
  <c r="H2296" i="5"/>
  <c r="I2294" i="5"/>
  <c r="I2144" i="5"/>
  <c r="H2156" i="5"/>
  <c r="I2155" i="5"/>
  <c r="I275" i="1"/>
  <c r="E275" i="1"/>
  <c r="J275" i="1"/>
  <c r="L275" i="1"/>
  <c r="H898" i="5"/>
  <c r="I896" i="5"/>
  <c r="I170" i="1"/>
  <c r="E169" i="1"/>
  <c r="H1189" i="5"/>
  <c r="H893" i="5"/>
  <c r="I889" i="5"/>
  <c r="I169" i="1"/>
  <c r="I92" i="1"/>
  <c r="E92" i="1"/>
  <c r="J92" i="1"/>
  <c r="L92" i="1"/>
  <c r="I54" i="1"/>
  <c r="E54" i="1"/>
  <c r="J54" i="1"/>
  <c r="L54" i="1"/>
  <c r="I274" i="1"/>
  <c r="E274" i="1"/>
  <c r="I53" i="1"/>
  <c r="E53" i="1"/>
  <c r="I273" i="1"/>
  <c r="E273" i="1"/>
  <c r="J273" i="1"/>
  <c r="L273" i="1"/>
  <c r="I113" i="1"/>
  <c r="J113" i="1"/>
  <c r="L113" i="1"/>
  <c r="E113" i="1"/>
  <c r="I272" i="1"/>
  <c r="E272" i="1"/>
  <c r="I52" i="1"/>
  <c r="E52" i="1"/>
  <c r="I271" i="1"/>
  <c r="E271" i="1"/>
  <c r="I270" i="1"/>
  <c r="E270" i="1"/>
  <c r="I51" i="1"/>
  <c r="E51" i="1"/>
  <c r="J51" i="1"/>
  <c r="L51" i="1"/>
  <c r="I168" i="1"/>
  <c r="J168" i="1"/>
  <c r="L168" i="1"/>
  <c r="I167" i="1"/>
  <c r="E168" i="1"/>
  <c r="I91" i="1"/>
  <c r="E91" i="1"/>
  <c r="J91" i="1"/>
  <c r="L91" i="1"/>
  <c r="I50" i="1"/>
  <c r="H2393" i="5"/>
  <c r="I2391" i="5"/>
  <c r="H2151" i="5"/>
  <c r="I2151" i="5"/>
  <c r="H1176" i="5"/>
  <c r="I1175" i="5"/>
  <c r="H1170" i="5"/>
  <c r="I1169" i="5"/>
  <c r="H1755" i="5"/>
  <c r="I1755" i="5"/>
  <c r="H1476" i="5"/>
  <c r="I409" i="5"/>
  <c r="I408" i="5"/>
  <c r="H422" i="5"/>
  <c r="I421" i="5"/>
  <c r="E49" i="1"/>
  <c r="J49" i="1"/>
  <c r="L49" i="1"/>
  <c r="E50" i="1"/>
  <c r="J50" i="1"/>
  <c r="L50" i="1"/>
  <c r="I90" i="1"/>
  <c r="J90" i="1"/>
  <c r="L90" i="1"/>
  <c r="I317" i="1"/>
  <c r="I316" i="1"/>
  <c r="I269" i="1"/>
  <c r="E317" i="1"/>
  <c r="E269" i="1"/>
  <c r="J269" i="1"/>
  <c r="L269" i="1"/>
  <c r="E90" i="1"/>
  <c r="I2139" i="5"/>
  <c r="I2140" i="5"/>
  <c r="I2141" i="5"/>
  <c r="I2142" i="5"/>
  <c r="I2143" i="5"/>
  <c r="I2138" i="5"/>
  <c r="I715" i="5"/>
  <c r="I716" i="5"/>
  <c r="I717" i="5"/>
  <c r="I718" i="5"/>
  <c r="I719" i="5"/>
  <c r="I714" i="5"/>
  <c r="I411" i="5"/>
  <c r="I412" i="5"/>
  <c r="I413" i="5"/>
  <c r="I414" i="5"/>
  <c r="I410" i="5"/>
  <c r="E256" i="1"/>
  <c r="E166" i="1"/>
  <c r="E47" i="1"/>
  <c r="I112" i="1"/>
  <c r="E112" i="1"/>
  <c r="J112" i="1"/>
  <c r="L112" i="1"/>
  <c r="I268" i="1"/>
  <c r="E268" i="1"/>
  <c r="J268" i="1"/>
  <c r="L268" i="1"/>
  <c r="I267" i="1"/>
  <c r="E267" i="1"/>
  <c r="J267" i="1"/>
  <c r="L267" i="1"/>
  <c r="I266" i="1"/>
  <c r="E266" i="1"/>
  <c r="H2418" i="5"/>
  <c r="I2411" i="5"/>
  <c r="I2418" i="5"/>
  <c r="H2135" i="5"/>
  <c r="I2133" i="5"/>
  <c r="I2135" i="5"/>
  <c r="H2127" i="5"/>
  <c r="I2124" i="5"/>
  <c r="H405" i="5"/>
  <c r="I404" i="5"/>
  <c r="I49" i="1"/>
  <c r="I265" i="1"/>
  <c r="H1162" i="5"/>
  <c r="E265" i="1"/>
  <c r="I264" i="1"/>
  <c r="E264" i="1"/>
  <c r="J264" i="1"/>
  <c r="L264" i="1"/>
  <c r="I262" i="1"/>
  <c r="E262" i="1"/>
  <c r="J262" i="1"/>
  <c r="L262" i="1"/>
  <c r="I263" i="1"/>
  <c r="E263" i="1"/>
  <c r="J263" i="1"/>
  <c r="L263" i="1"/>
  <c r="I398" i="5"/>
  <c r="I397" i="5"/>
  <c r="I396" i="5"/>
  <c r="I395" i="5"/>
  <c r="I394" i="5"/>
  <c r="I393" i="5"/>
  <c r="I392" i="5"/>
  <c r="I391" i="5"/>
  <c r="I390" i="5"/>
  <c r="I389" i="5"/>
  <c r="I388" i="5"/>
  <c r="H385" i="5"/>
  <c r="H711" i="5"/>
  <c r="I703" i="5"/>
  <c r="I2082" i="5"/>
  <c r="H2119" i="5"/>
  <c r="I2117" i="5"/>
  <c r="I261" i="1"/>
  <c r="J261" i="1"/>
  <c r="L261" i="1"/>
  <c r="E261" i="1"/>
  <c r="H1872" i="5"/>
  <c r="I1868" i="5"/>
  <c r="E164" i="1"/>
  <c r="E403" i="1"/>
  <c r="I403" i="1"/>
  <c r="J403" i="1"/>
  <c r="L403" i="1"/>
  <c r="H697" i="5"/>
  <c r="I695" i="5"/>
  <c r="E167" i="1"/>
  <c r="J167" i="1"/>
  <c r="L167" i="1"/>
  <c r="E260" i="1"/>
  <c r="J260" i="1"/>
  <c r="L260" i="1"/>
  <c r="I260" i="1"/>
  <c r="H372" i="5"/>
  <c r="I371" i="5"/>
  <c r="H1466" i="5"/>
  <c r="H362" i="5"/>
  <c r="I359" i="5"/>
  <c r="H355" i="5"/>
  <c r="I354" i="5"/>
  <c r="I259" i="1"/>
  <c r="E259" i="1"/>
  <c r="J259" i="1"/>
  <c r="L259" i="1"/>
  <c r="H2288" i="5"/>
  <c r="I2286" i="5"/>
  <c r="I2288" i="5"/>
  <c r="I373" i="1"/>
  <c r="E373" i="1"/>
  <c r="H2105" i="5"/>
  <c r="I258" i="1"/>
  <c r="E258" i="1"/>
  <c r="J258" i="1"/>
  <c r="L258" i="1"/>
  <c r="H1864" i="5"/>
  <c r="I1863" i="5"/>
  <c r="I402" i="1"/>
  <c r="E402" i="1"/>
  <c r="E316" i="1"/>
  <c r="I401" i="1"/>
  <c r="E401" i="1"/>
  <c r="J401" i="1"/>
  <c r="L401" i="1"/>
  <c r="I48" i="1"/>
  <c r="E48" i="1"/>
  <c r="H1148" i="5"/>
  <c r="I1147" i="5"/>
  <c r="H367" i="5"/>
  <c r="I257" i="1"/>
  <c r="E257" i="1"/>
  <c r="J257" i="1"/>
  <c r="L257" i="1"/>
  <c r="I256" i="1"/>
  <c r="I166" i="1"/>
  <c r="I47" i="1"/>
  <c r="J47" i="1"/>
  <c r="L47" i="1"/>
  <c r="I372" i="1"/>
  <c r="I315" i="1"/>
  <c r="I314" i="1"/>
  <c r="J314" i="1"/>
  <c r="L314" i="1"/>
  <c r="I252" i="1"/>
  <c r="I253" i="1"/>
  <c r="I254" i="1"/>
  <c r="I255" i="1"/>
  <c r="I251" i="1"/>
  <c r="I165" i="1"/>
  <c r="I164" i="1"/>
  <c r="I111" i="1"/>
  <c r="I89" i="1"/>
  <c r="I88" i="1"/>
  <c r="J88" i="1"/>
  <c r="L88" i="1"/>
  <c r="I46" i="1"/>
  <c r="E255" i="1"/>
  <c r="J255" i="1"/>
  <c r="L255" i="1"/>
  <c r="H2100" i="5"/>
  <c r="I2096" i="5"/>
  <c r="E254" i="1"/>
  <c r="H343" i="5"/>
  <c r="I340" i="5"/>
  <c r="E253" i="1"/>
  <c r="J253" i="1"/>
  <c r="L253" i="1"/>
  <c r="H337" i="5"/>
  <c r="I336" i="5"/>
  <c r="E315" i="1"/>
  <c r="J315" i="1"/>
  <c r="L315" i="1"/>
  <c r="H330" i="5"/>
  <c r="I327" i="5"/>
  <c r="E165" i="1"/>
  <c r="J165" i="1"/>
  <c r="L165" i="1"/>
  <c r="E89" i="1"/>
  <c r="H1458" i="5"/>
  <c r="E372" i="1"/>
  <c r="J372" i="1"/>
  <c r="L372" i="1"/>
  <c r="H689" i="5"/>
  <c r="I688" i="5"/>
  <c r="I689" i="5"/>
  <c r="H685" i="5"/>
  <c r="I683" i="5"/>
  <c r="E314" i="1"/>
  <c r="E111" i="1"/>
  <c r="H676" i="5"/>
  <c r="I673" i="5"/>
  <c r="E46" i="1"/>
  <c r="J46" i="1"/>
  <c r="L46" i="1"/>
  <c r="E252" i="1"/>
  <c r="E251" i="1"/>
  <c r="J251" i="1"/>
  <c r="L251" i="1"/>
  <c r="H2400" i="5"/>
  <c r="E88" i="1"/>
  <c r="H2384" i="5"/>
  <c r="I2382" i="5"/>
  <c r="I87" i="1"/>
  <c r="J87" i="1"/>
  <c r="L87" i="1"/>
  <c r="E87" i="1"/>
  <c r="H2282" i="5"/>
  <c r="E388" i="1"/>
  <c r="E389" i="1"/>
  <c r="E390" i="1"/>
  <c r="I394" i="1"/>
  <c r="J394" i="1"/>
  <c r="L394" i="1"/>
  <c r="E395" i="1"/>
  <c r="I395" i="1"/>
  <c r="J395" i="1"/>
  <c r="L395" i="1"/>
  <c r="E396" i="1"/>
  <c r="J396" i="1"/>
  <c r="L396" i="1"/>
  <c r="I396" i="1"/>
  <c r="E397" i="1"/>
  <c r="I397" i="1"/>
  <c r="E398" i="1"/>
  <c r="I398" i="1"/>
  <c r="E399" i="1"/>
  <c r="I399" i="1"/>
  <c r="J399" i="1"/>
  <c r="L399" i="1"/>
  <c r="E400" i="1"/>
  <c r="I400" i="1"/>
  <c r="J400" i="1"/>
  <c r="L400" i="1"/>
  <c r="I162" i="1"/>
  <c r="E162" i="1"/>
  <c r="I163" i="1"/>
  <c r="E163" i="1"/>
  <c r="E134" i="1"/>
  <c r="E135" i="1"/>
  <c r="E136" i="1"/>
  <c r="E137" i="1"/>
  <c r="E138" i="1"/>
  <c r="E139" i="1"/>
  <c r="E140" i="1"/>
  <c r="E141" i="1"/>
  <c r="E142" i="1"/>
  <c r="I142" i="1"/>
  <c r="E143" i="1"/>
  <c r="I143" i="1"/>
  <c r="E144" i="1"/>
  <c r="I144" i="1"/>
  <c r="E145" i="1"/>
  <c r="I145" i="1"/>
  <c r="J145" i="1"/>
  <c r="L145" i="1"/>
  <c r="E146" i="1"/>
  <c r="J146" i="1"/>
  <c r="L146" i="1"/>
  <c r="I146" i="1"/>
  <c r="E147" i="1"/>
  <c r="J147" i="1"/>
  <c r="L147" i="1"/>
  <c r="I147" i="1"/>
  <c r="E148" i="1"/>
  <c r="J148" i="1"/>
  <c r="L148" i="1"/>
  <c r="I148" i="1"/>
  <c r="E149" i="1"/>
  <c r="I149" i="1"/>
  <c r="J149" i="1"/>
  <c r="L149" i="1"/>
  <c r="E150" i="1"/>
  <c r="I150" i="1"/>
  <c r="E151" i="1"/>
  <c r="I151" i="1"/>
  <c r="E152" i="1"/>
  <c r="J152" i="1"/>
  <c r="L152" i="1"/>
  <c r="I152" i="1"/>
  <c r="E153" i="1"/>
  <c r="I153" i="1"/>
  <c r="J153" i="1"/>
  <c r="L153" i="1"/>
  <c r="E154" i="1"/>
  <c r="J154" i="1"/>
  <c r="L154" i="1"/>
  <c r="I154" i="1"/>
  <c r="E155" i="1"/>
  <c r="J155" i="1"/>
  <c r="L155" i="1"/>
  <c r="I155" i="1"/>
  <c r="E156" i="1"/>
  <c r="J156" i="1"/>
  <c r="L156" i="1"/>
  <c r="I156" i="1"/>
  <c r="E157" i="1"/>
  <c r="I157" i="1"/>
  <c r="J157" i="1"/>
  <c r="L157" i="1"/>
  <c r="E158" i="1"/>
  <c r="J158" i="1"/>
  <c r="L158" i="1"/>
  <c r="I158" i="1"/>
  <c r="E159" i="1"/>
  <c r="J159" i="1"/>
  <c r="L159" i="1"/>
  <c r="I159" i="1"/>
  <c r="E160" i="1"/>
  <c r="J160" i="1"/>
  <c r="L160" i="1"/>
  <c r="I160" i="1"/>
  <c r="E161" i="1"/>
  <c r="I161" i="1"/>
  <c r="J161" i="1"/>
  <c r="L161" i="1"/>
  <c r="I85" i="1"/>
  <c r="E85" i="1"/>
  <c r="I86" i="1"/>
  <c r="E86" i="1"/>
  <c r="J86" i="1"/>
  <c r="L86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I77" i="1"/>
  <c r="E78" i="1"/>
  <c r="I78" i="1"/>
  <c r="J78" i="1"/>
  <c r="L78" i="1"/>
  <c r="E79" i="1"/>
  <c r="J79" i="1"/>
  <c r="L79" i="1"/>
  <c r="I79" i="1"/>
  <c r="E80" i="1"/>
  <c r="J80" i="1"/>
  <c r="L80" i="1"/>
  <c r="I80" i="1"/>
  <c r="E81" i="1"/>
  <c r="I81" i="1"/>
  <c r="E82" i="1"/>
  <c r="I82" i="1"/>
  <c r="E83" i="1"/>
  <c r="I83" i="1"/>
  <c r="J83" i="1"/>
  <c r="L83" i="1"/>
  <c r="E84" i="1"/>
  <c r="I84" i="1"/>
  <c r="J84" i="1"/>
  <c r="L84" i="1"/>
  <c r="I44" i="1"/>
  <c r="E44" i="1"/>
  <c r="I45" i="1"/>
  <c r="E45" i="1"/>
  <c r="E20" i="1"/>
  <c r="E21" i="1"/>
  <c r="E22" i="1"/>
  <c r="E23" i="1"/>
  <c r="E24" i="1"/>
  <c r="E25" i="1"/>
  <c r="J25" i="1"/>
  <c r="L25" i="1"/>
  <c r="I25" i="1"/>
  <c r="E26" i="1"/>
  <c r="I26" i="1"/>
  <c r="E27" i="1"/>
  <c r="I27" i="1"/>
  <c r="E28" i="1"/>
  <c r="I28" i="1"/>
  <c r="E29" i="1"/>
  <c r="I29" i="1"/>
  <c r="J29" i="1"/>
  <c r="L29" i="1"/>
  <c r="E30" i="1"/>
  <c r="J30" i="1"/>
  <c r="L30" i="1"/>
  <c r="I30" i="1"/>
  <c r="E31" i="1"/>
  <c r="I31" i="1"/>
  <c r="E32" i="1"/>
  <c r="I32" i="1"/>
  <c r="E33" i="1"/>
  <c r="I33" i="1"/>
  <c r="E34" i="1"/>
  <c r="J34" i="1"/>
  <c r="L34" i="1"/>
  <c r="I34" i="1"/>
  <c r="E35" i="1"/>
  <c r="J35" i="1"/>
  <c r="L35" i="1"/>
  <c r="I35" i="1"/>
  <c r="E36" i="1"/>
  <c r="I36" i="1"/>
  <c r="E37" i="1"/>
  <c r="I37" i="1"/>
  <c r="E38" i="1"/>
  <c r="I38" i="1"/>
  <c r="E39" i="1"/>
  <c r="I39" i="1"/>
  <c r="J39" i="1"/>
  <c r="L39" i="1"/>
  <c r="E40" i="1"/>
  <c r="J40" i="1"/>
  <c r="L40" i="1"/>
  <c r="I40" i="1"/>
  <c r="E41" i="1"/>
  <c r="I41" i="1"/>
  <c r="E42" i="1"/>
  <c r="J42" i="1"/>
  <c r="L42" i="1"/>
  <c r="I42" i="1"/>
  <c r="E43" i="1"/>
  <c r="I43" i="1"/>
  <c r="J43" i="1"/>
  <c r="L43" i="1"/>
  <c r="E313" i="1"/>
  <c r="J313" i="1"/>
  <c r="L313" i="1"/>
  <c r="E312" i="1"/>
  <c r="J312" i="1"/>
  <c r="L312" i="1"/>
  <c r="I312" i="1"/>
  <c r="I313" i="1"/>
  <c r="I242" i="1"/>
  <c r="E242" i="1"/>
  <c r="J242" i="1"/>
  <c r="L242" i="1"/>
  <c r="I243" i="1"/>
  <c r="J243" i="1"/>
  <c r="L243" i="1"/>
  <c r="E243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J209" i="1"/>
  <c r="L209" i="1"/>
  <c r="I209" i="1"/>
  <c r="E210" i="1"/>
  <c r="I210" i="1"/>
  <c r="J210" i="1"/>
  <c r="L210" i="1"/>
  <c r="E211" i="1"/>
  <c r="J211" i="1"/>
  <c r="L211" i="1"/>
  <c r="I211" i="1"/>
  <c r="E212" i="1"/>
  <c r="J212" i="1"/>
  <c r="L212" i="1"/>
  <c r="I212" i="1"/>
  <c r="E213" i="1"/>
  <c r="J213" i="1"/>
  <c r="L213" i="1"/>
  <c r="I213" i="1"/>
  <c r="E214" i="1"/>
  <c r="I214" i="1"/>
  <c r="J214" i="1"/>
  <c r="L214" i="1"/>
  <c r="E215" i="1"/>
  <c r="I215" i="1"/>
  <c r="E216" i="1"/>
  <c r="J216" i="1"/>
  <c r="L216" i="1"/>
  <c r="I216" i="1"/>
  <c r="E217" i="1"/>
  <c r="I217" i="1"/>
  <c r="E218" i="1"/>
  <c r="I218" i="1"/>
  <c r="J218" i="1"/>
  <c r="L218" i="1"/>
  <c r="E219" i="1"/>
  <c r="I219" i="1"/>
  <c r="J219" i="1"/>
  <c r="L219" i="1"/>
  <c r="E220" i="1"/>
  <c r="I220" i="1"/>
  <c r="E221" i="1"/>
  <c r="J221" i="1"/>
  <c r="L221" i="1"/>
  <c r="I221" i="1"/>
  <c r="E222" i="1"/>
  <c r="I222" i="1"/>
  <c r="J222" i="1"/>
  <c r="L222" i="1"/>
  <c r="E223" i="1"/>
  <c r="J223" i="1"/>
  <c r="L223" i="1"/>
  <c r="I223" i="1"/>
  <c r="E224" i="1"/>
  <c r="I224" i="1"/>
  <c r="E225" i="1"/>
  <c r="I225" i="1"/>
  <c r="E226" i="1"/>
  <c r="J226" i="1"/>
  <c r="L226" i="1"/>
  <c r="I226" i="1"/>
  <c r="E227" i="1"/>
  <c r="I227" i="1"/>
  <c r="J227" i="1"/>
  <c r="L227" i="1"/>
  <c r="E228" i="1"/>
  <c r="J228" i="1"/>
  <c r="L228" i="1"/>
  <c r="I228" i="1"/>
  <c r="E229" i="1"/>
  <c r="I229" i="1"/>
  <c r="E230" i="1"/>
  <c r="J230" i="1"/>
  <c r="L230" i="1"/>
  <c r="I230" i="1"/>
  <c r="E231" i="1"/>
  <c r="I231" i="1"/>
  <c r="E232" i="1"/>
  <c r="I232" i="1"/>
  <c r="J232" i="1"/>
  <c r="L232" i="1"/>
  <c r="E233" i="1"/>
  <c r="I233" i="1"/>
  <c r="E234" i="1"/>
  <c r="I234" i="1"/>
  <c r="E235" i="1"/>
  <c r="I235" i="1"/>
  <c r="E236" i="1"/>
  <c r="I236" i="1"/>
  <c r="E237" i="1"/>
  <c r="I237" i="1"/>
  <c r="J237" i="1"/>
  <c r="L237" i="1"/>
  <c r="E238" i="1"/>
  <c r="I238" i="1"/>
  <c r="E239" i="1"/>
  <c r="J239" i="1"/>
  <c r="L239" i="1"/>
  <c r="I239" i="1"/>
  <c r="E240" i="1"/>
  <c r="I240" i="1"/>
  <c r="J240" i="1"/>
  <c r="L240" i="1"/>
  <c r="E241" i="1"/>
  <c r="I241" i="1"/>
  <c r="J241" i="1"/>
  <c r="L241" i="1"/>
  <c r="E244" i="1"/>
  <c r="J244" i="1"/>
  <c r="L244" i="1"/>
  <c r="I244" i="1"/>
  <c r="E245" i="1"/>
  <c r="I245" i="1"/>
  <c r="E246" i="1"/>
  <c r="I246" i="1"/>
  <c r="E247" i="1"/>
  <c r="J247" i="1"/>
  <c r="L247" i="1"/>
  <c r="I247" i="1"/>
  <c r="E248" i="1"/>
  <c r="I248" i="1"/>
  <c r="J248" i="1"/>
  <c r="L248" i="1"/>
  <c r="E249" i="1"/>
  <c r="J249" i="1"/>
  <c r="L249" i="1"/>
  <c r="I249" i="1"/>
  <c r="E250" i="1"/>
  <c r="I250" i="1"/>
  <c r="H1859" i="5"/>
  <c r="I1857" i="5"/>
  <c r="H1749" i="5"/>
  <c r="H1741" i="5"/>
  <c r="H1742" i="5"/>
  <c r="H1450" i="5"/>
  <c r="H1442" i="5"/>
  <c r="I1438" i="5"/>
  <c r="H1140" i="5"/>
  <c r="I1139" i="5"/>
  <c r="H1132" i="5"/>
  <c r="I1130" i="5"/>
  <c r="H1125" i="5"/>
  <c r="H323" i="5"/>
  <c r="I319" i="5"/>
  <c r="H316" i="5"/>
  <c r="H1120" i="5"/>
  <c r="I1118" i="5"/>
  <c r="I371" i="1"/>
  <c r="E371" i="1"/>
  <c r="E361" i="1"/>
  <c r="E362" i="1"/>
  <c r="E363" i="1"/>
  <c r="E364" i="1"/>
  <c r="I364" i="1"/>
  <c r="E365" i="1"/>
  <c r="I365" i="1"/>
  <c r="E366" i="1"/>
  <c r="J366" i="1"/>
  <c r="L366" i="1"/>
  <c r="I366" i="1"/>
  <c r="E367" i="1"/>
  <c r="J367" i="1"/>
  <c r="L367" i="1"/>
  <c r="I367" i="1"/>
  <c r="E368" i="1"/>
  <c r="I368" i="1"/>
  <c r="E369" i="1"/>
  <c r="J369" i="1"/>
  <c r="L369" i="1"/>
  <c r="I369" i="1"/>
  <c r="I370" i="1"/>
  <c r="J370" i="1"/>
  <c r="L370" i="1"/>
  <c r="H2375" i="5"/>
  <c r="I2372" i="5"/>
  <c r="H2089" i="5"/>
  <c r="I2085" i="5"/>
  <c r="H1736" i="5"/>
  <c r="I1735" i="5"/>
  <c r="H1433" i="5"/>
  <c r="I1432" i="5"/>
  <c r="H670" i="5"/>
  <c r="I669" i="5"/>
  <c r="H309" i="5"/>
  <c r="I307" i="5"/>
  <c r="H303" i="5"/>
  <c r="E347" i="1"/>
  <c r="I347" i="1"/>
  <c r="E348" i="1"/>
  <c r="J348" i="1"/>
  <c r="L348" i="1"/>
  <c r="I348" i="1"/>
  <c r="E349" i="1"/>
  <c r="I349" i="1"/>
  <c r="E350" i="1"/>
  <c r="I350" i="1"/>
  <c r="J350" i="1"/>
  <c r="L350" i="1"/>
  <c r="E351" i="1"/>
  <c r="I351" i="1"/>
  <c r="E352" i="1"/>
  <c r="I352" i="1"/>
  <c r="I327" i="1"/>
  <c r="J327" i="1"/>
  <c r="L327" i="1"/>
  <c r="I328" i="1"/>
  <c r="J328" i="1"/>
  <c r="L328" i="1"/>
  <c r="E329" i="1"/>
  <c r="J329" i="1"/>
  <c r="L329" i="1"/>
  <c r="I329" i="1"/>
  <c r="I330" i="1"/>
  <c r="J330" i="1"/>
  <c r="L330" i="1"/>
  <c r="E331" i="1"/>
  <c r="I331" i="1"/>
  <c r="E332" i="1"/>
  <c r="I332" i="1"/>
  <c r="J332" i="1"/>
  <c r="L332" i="1"/>
  <c r="E299" i="1"/>
  <c r="E300" i="1"/>
  <c r="E301" i="1"/>
  <c r="E302" i="1"/>
  <c r="E303" i="1"/>
  <c r="I303" i="1"/>
  <c r="E304" i="1"/>
  <c r="I304" i="1"/>
  <c r="E305" i="1"/>
  <c r="I305" i="1"/>
  <c r="J305" i="1"/>
  <c r="L305" i="1"/>
  <c r="E306" i="1"/>
  <c r="J306" i="1"/>
  <c r="L306" i="1"/>
  <c r="I306" i="1"/>
  <c r="E307" i="1"/>
  <c r="I307" i="1"/>
  <c r="E308" i="1"/>
  <c r="I308" i="1"/>
  <c r="E309" i="1"/>
  <c r="I309" i="1"/>
  <c r="E310" i="1"/>
  <c r="I310" i="1"/>
  <c r="J310" i="1"/>
  <c r="L310" i="1"/>
  <c r="E311" i="1"/>
  <c r="J311" i="1"/>
  <c r="L311" i="1"/>
  <c r="I311" i="1"/>
  <c r="I103" i="1"/>
  <c r="J103" i="1"/>
  <c r="L103" i="1"/>
  <c r="I104" i="1"/>
  <c r="J104" i="1"/>
  <c r="L104" i="1"/>
  <c r="I105" i="1"/>
  <c r="J105" i="1"/>
  <c r="L105" i="1"/>
  <c r="E106" i="1"/>
  <c r="J106" i="1"/>
  <c r="L106" i="1"/>
  <c r="I106" i="1"/>
  <c r="E107" i="1"/>
  <c r="I107" i="1"/>
  <c r="E108" i="1"/>
  <c r="I108" i="1"/>
  <c r="E109" i="1"/>
  <c r="I109" i="1"/>
  <c r="E110" i="1"/>
  <c r="J110" i="1"/>
  <c r="L110" i="1"/>
  <c r="I110" i="1"/>
  <c r="H882" i="5"/>
  <c r="I881" i="5"/>
  <c r="H874" i="5"/>
  <c r="H2368" i="5"/>
  <c r="I2361" i="5"/>
  <c r="H2358" i="5"/>
  <c r="H2265" i="5"/>
  <c r="H2274" i="5"/>
  <c r="H2255" i="5"/>
  <c r="I2254" i="5"/>
  <c r="H294" i="5"/>
  <c r="I291" i="5"/>
  <c r="H274" i="5"/>
  <c r="I270" i="5"/>
  <c r="H288" i="5"/>
  <c r="I284" i="5"/>
  <c r="H1114" i="5"/>
  <c r="I1112" i="5"/>
  <c r="H1107" i="5"/>
  <c r="H1730" i="5"/>
  <c r="I1729" i="5"/>
  <c r="H1722" i="5"/>
  <c r="I1719" i="5"/>
  <c r="H1714" i="5"/>
  <c r="I1713" i="5"/>
  <c r="I1710" i="5"/>
  <c r="H664" i="5"/>
  <c r="I661" i="5"/>
  <c r="H657" i="5"/>
  <c r="I655" i="5"/>
  <c r="H1425" i="5"/>
  <c r="H1707" i="5"/>
  <c r="I1703" i="5"/>
  <c r="H1673" i="5"/>
  <c r="I1670" i="5"/>
  <c r="I1671" i="5"/>
  <c r="H1769" i="5"/>
  <c r="I1766" i="5"/>
  <c r="H1699" i="5"/>
  <c r="H1693" i="5"/>
  <c r="I1689" i="5"/>
  <c r="H651" i="5"/>
  <c r="G647" i="5"/>
  <c r="H635" i="5"/>
  <c r="I633" i="5"/>
  <c r="H645" i="5"/>
  <c r="I641" i="5"/>
  <c r="H577" i="5"/>
  <c r="H592" i="5"/>
  <c r="I585" i="5"/>
  <c r="H627" i="5"/>
  <c r="I626" i="5"/>
  <c r="H280" i="5"/>
  <c r="H265" i="5"/>
  <c r="I262" i="5"/>
  <c r="H759" i="5"/>
  <c r="I754" i="5"/>
  <c r="H258" i="5"/>
  <c r="I257" i="5"/>
  <c r="H2349" i="5"/>
  <c r="I2347" i="5"/>
  <c r="H2343" i="5"/>
  <c r="H2249" i="5"/>
  <c r="H2215" i="5"/>
  <c r="H2079" i="5"/>
  <c r="H2071" i="5"/>
  <c r="I2070" i="5"/>
  <c r="H1101" i="5"/>
  <c r="I1099" i="5"/>
  <c r="I1101" i="5"/>
  <c r="H1685" i="5"/>
  <c r="H620" i="5"/>
  <c r="I617" i="5"/>
  <c r="H613" i="5"/>
  <c r="I609" i="5"/>
  <c r="H459" i="5"/>
  <c r="H250" i="5"/>
  <c r="I248" i="5"/>
  <c r="I250" i="5"/>
  <c r="H245" i="5"/>
  <c r="I244" i="5"/>
  <c r="H1079" i="5"/>
  <c r="I1074" i="5"/>
  <c r="H1092" i="5"/>
  <c r="I1091" i="5"/>
  <c r="H1085" i="5"/>
  <c r="I1084" i="5"/>
  <c r="H2239" i="5"/>
  <c r="F2233" i="5"/>
  <c r="H2231" i="5"/>
  <c r="I2229" i="5"/>
  <c r="H2000" i="5"/>
  <c r="I1998" i="5"/>
  <c r="H1662" i="5"/>
  <c r="I1660" i="5"/>
  <c r="H2060" i="5"/>
  <c r="I2057" i="5"/>
  <c r="I2060" i="5"/>
  <c r="H2054" i="5"/>
  <c r="I2051" i="5"/>
  <c r="H2047" i="5"/>
  <c r="I2046" i="5"/>
  <c r="H2014" i="5"/>
  <c r="I2009" i="5"/>
  <c r="H1680" i="5"/>
  <c r="H1637" i="5"/>
  <c r="I1631" i="5"/>
  <c r="H1656" i="5"/>
  <c r="I1654" i="5"/>
  <c r="H1650" i="5"/>
  <c r="I1649" i="5"/>
  <c r="H1414" i="5"/>
  <c r="H1405" i="5"/>
  <c r="I1403" i="5"/>
  <c r="H1399" i="5"/>
  <c r="I1396" i="5"/>
  <c r="H1390" i="5"/>
  <c r="I1388" i="5"/>
  <c r="H1385" i="5"/>
  <c r="I1380" i="5"/>
  <c r="H849" i="5"/>
  <c r="I843" i="5"/>
  <c r="H606" i="5"/>
  <c r="I604" i="5"/>
  <c r="H600" i="5"/>
  <c r="I596" i="5"/>
  <c r="H238" i="5"/>
  <c r="I237" i="5"/>
  <c r="I238" i="5"/>
  <c r="H219" i="5"/>
  <c r="H565" i="5"/>
  <c r="I562" i="5"/>
  <c r="H1643" i="5"/>
  <c r="I1640" i="5"/>
  <c r="H1849" i="5"/>
  <c r="H1841" i="5"/>
  <c r="I1838" i="5"/>
  <c r="H2039" i="5"/>
  <c r="I2038" i="5"/>
  <c r="H2032" i="5"/>
  <c r="I2030" i="5"/>
  <c r="I2032" i="5"/>
  <c r="H2027" i="5"/>
  <c r="I2025" i="5"/>
  <c r="H2021" i="5"/>
  <c r="I2019" i="5"/>
  <c r="H1369" i="5"/>
  <c r="I1365" i="5"/>
  <c r="H1376" i="5"/>
  <c r="H2337" i="5"/>
  <c r="H582" i="5"/>
  <c r="H1608" i="5"/>
  <c r="I1607" i="5"/>
  <c r="H233" i="5"/>
  <c r="I232" i="5"/>
  <c r="H226" i="5"/>
  <c r="I223" i="5"/>
  <c r="H2332" i="5"/>
  <c r="I2330" i="5"/>
  <c r="H1952" i="5"/>
  <c r="I1949" i="5"/>
  <c r="H2005" i="5"/>
  <c r="H1626" i="5"/>
  <c r="I1625" i="5"/>
  <c r="H1616" i="5"/>
  <c r="I1613" i="5"/>
  <c r="I1616" i="5"/>
  <c r="H866" i="5"/>
  <c r="I865" i="5"/>
  <c r="H856" i="5"/>
  <c r="I854" i="5"/>
  <c r="H482" i="5"/>
  <c r="I481" i="5"/>
  <c r="H557" i="5"/>
  <c r="H547" i="5"/>
  <c r="H1599" i="5"/>
  <c r="H1591" i="5"/>
  <c r="I1588" i="5"/>
  <c r="H213" i="5"/>
  <c r="I208" i="5"/>
  <c r="H2327" i="5"/>
  <c r="I2324" i="5"/>
  <c r="H2321" i="5"/>
  <c r="I2320" i="5"/>
  <c r="H838" i="5"/>
  <c r="I831" i="5"/>
  <c r="H828" i="5"/>
  <c r="H817" i="5"/>
  <c r="I813" i="5"/>
  <c r="H799" i="5"/>
  <c r="I797" i="5"/>
  <c r="H1990" i="5"/>
  <c r="I1988" i="5"/>
  <c r="H1979" i="5"/>
  <c r="I1976" i="5"/>
  <c r="H1070" i="5"/>
  <c r="I1069" i="5"/>
  <c r="H1063" i="5"/>
  <c r="H1056" i="5"/>
  <c r="I1054" i="5"/>
  <c r="H1050" i="5"/>
  <c r="I1049" i="5"/>
  <c r="H957" i="5"/>
  <c r="I955" i="5"/>
  <c r="H1045" i="5"/>
  <c r="I1044" i="5"/>
  <c r="H1937" i="5"/>
  <c r="I1933" i="5"/>
  <c r="H2315" i="5"/>
  <c r="H1039" i="5"/>
  <c r="I1038" i="5"/>
  <c r="H1031" i="5"/>
  <c r="H1025" i="5"/>
  <c r="I1023" i="5"/>
  <c r="H204" i="5"/>
  <c r="I202" i="5"/>
  <c r="I199" i="5"/>
  <c r="H195" i="5"/>
  <c r="H189" i="5"/>
  <c r="I188" i="5"/>
  <c r="H184" i="5"/>
  <c r="I183" i="5"/>
  <c r="I184" i="5"/>
  <c r="H539" i="5"/>
  <c r="I537" i="5"/>
  <c r="H808" i="5"/>
  <c r="I802" i="5"/>
  <c r="I806" i="5"/>
  <c r="H1585" i="5"/>
  <c r="I1583" i="5"/>
  <c r="H1575" i="5"/>
  <c r="I1573" i="5"/>
  <c r="H1359" i="5"/>
  <c r="H1016" i="5"/>
  <c r="I1015" i="5"/>
  <c r="H2224" i="5"/>
  <c r="I2218" i="5"/>
  <c r="H1010" i="5"/>
  <c r="H1567" i="5"/>
  <c r="I1566" i="5"/>
  <c r="H1778" i="5"/>
  <c r="I1773" i="5"/>
  <c r="H1352" i="5"/>
  <c r="I1350" i="5"/>
  <c r="I1351" i="5"/>
  <c r="H1000" i="5"/>
  <c r="I999" i="5"/>
  <c r="I1000" i="5"/>
  <c r="H153" i="5"/>
  <c r="I147" i="5"/>
  <c r="H1561" i="5"/>
  <c r="I1558" i="5"/>
  <c r="H993" i="5"/>
  <c r="I990" i="5"/>
  <c r="H789" i="5"/>
  <c r="I788" i="5"/>
  <c r="H533" i="5"/>
  <c r="I530" i="5"/>
  <c r="H522" i="5"/>
  <c r="I516" i="5"/>
  <c r="H512" i="5"/>
  <c r="I510" i="5"/>
  <c r="H1347" i="5"/>
  <c r="I1345" i="5"/>
  <c r="I1340" i="5"/>
  <c r="H1338" i="5"/>
  <c r="I1334" i="5"/>
  <c r="I1338" i="5"/>
  <c r="H1332" i="5"/>
  <c r="I1330" i="5"/>
  <c r="I1332" i="5"/>
  <c r="H1327" i="5"/>
  <c r="I1325" i="5"/>
  <c r="H180" i="5"/>
  <c r="I171" i="5"/>
  <c r="H168" i="5"/>
  <c r="I165" i="5"/>
  <c r="I168" i="5"/>
  <c r="H162" i="5"/>
  <c r="I157" i="5"/>
  <c r="H145" i="5"/>
  <c r="H139" i="5"/>
  <c r="I137" i="5"/>
  <c r="H2307" i="5"/>
  <c r="I2304" i="5"/>
  <c r="H2301" i="5"/>
  <c r="I2300" i="5"/>
  <c r="H1833" i="5"/>
  <c r="I1832" i="5"/>
  <c r="H1984" i="5"/>
  <c r="I1983" i="5"/>
  <c r="I1984" i="5"/>
  <c r="H1825" i="5"/>
  <c r="I1824" i="5"/>
  <c r="I1825" i="5"/>
  <c r="I1552" i="5"/>
  <c r="H1322" i="5"/>
  <c r="H505" i="5"/>
  <c r="I501" i="5"/>
  <c r="H1966" i="5"/>
  <c r="I1965" i="5"/>
  <c r="H1544" i="5"/>
  <c r="I1543" i="5"/>
  <c r="H123" i="5"/>
  <c r="I118" i="5"/>
  <c r="H1942" i="5"/>
  <c r="I1940" i="5"/>
  <c r="H1819" i="5"/>
  <c r="I1818" i="5"/>
  <c r="H490" i="5"/>
  <c r="I486" i="5"/>
  <c r="H103" i="5"/>
  <c r="I100" i="5"/>
  <c r="H987" i="5"/>
  <c r="I986" i="5"/>
  <c r="I133" i="5"/>
  <c r="H498" i="5"/>
  <c r="I494" i="5"/>
  <c r="H982" i="5"/>
  <c r="I979" i="5"/>
  <c r="H2205" i="5"/>
  <c r="I2200" i="5"/>
  <c r="H2193" i="5"/>
  <c r="I2191" i="5"/>
  <c r="H2189" i="5"/>
  <c r="I2183" i="5"/>
  <c r="H2180" i="5"/>
  <c r="H2173" i="5"/>
  <c r="I2172" i="5"/>
  <c r="H2168" i="5"/>
  <c r="I2164" i="5"/>
  <c r="I2160" i="5"/>
  <c r="H1973" i="5"/>
  <c r="I1970" i="5"/>
  <c r="H1958" i="5"/>
  <c r="H1914" i="5"/>
  <c r="I1908" i="5"/>
  <c r="H1928" i="5"/>
  <c r="H1923" i="5"/>
  <c r="H1905" i="5"/>
  <c r="I1903" i="5"/>
  <c r="I1905" i="5"/>
  <c r="H1900" i="5"/>
  <c r="I1899" i="5"/>
  <c r="I1900" i="5"/>
  <c r="H1895" i="5"/>
  <c r="I1892" i="5"/>
  <c r="I1895" i="5"/>
  <c r="I1893" i="5"/>
  <c r="H973" i="5"/>
  <c r="H963" i="5"/>
  <c r="I961" i="5"/>
  <c r="H968" i="5"/>
  <c r="I967" i="5"/>
  <c r="H951" i="5"/>
  <c r="I948" i="5"/>
  <c r="H944" i="5"/>
  <c r="I943" i="5"/>
  <c r="H939" i="5"/>
  <c r="I936" i="5"/>
  <c r="I939" i="5"/>
  <c r="H923" i="5"/>
  <c r="I922" i="5"/>
  <c r="H916" i="5"/>
  <c r="H933" i="5"/>
  <c r="I930" i="5"/>
  <c r="I933" i="5"/>
  <c r="I926" i="5"/>
  <c r="H1810" i="5"/>
  <c r="I1809" i="5"/>
  <c r="I1810" i="5"/>
  <c r="H1805" i="5"/>
  <c r="I1803" i="5"/>
  <c r="H1795" i="5"/>
  <c r="I1790" i="5"/>
  <c r="H1800" i="5"/>
  <c r="I1798" i="5"/>
  <c r="H1787" i="5"/>
  <c r="I1782" i="5"/>
  <c r="H1549" i="5"/>
  <c r="I1547" i="5"/>
  <c r="I1548" i="5"/>
  <c r="H1535" i="5"/>
  <c r="I1529" i="5"/>
  <c r="H1525" i="5"/>
  <c r="I1523" i="5"/>
  <c r="I1525" i="5"/>
  <c r="H1520" i="5"/>
  <c r="I1517" i="5"/>
  <c r="H1513" i="5"/>
  <c r="I1510" i="5"/>
  <c r="H1499" i="5"/>
  <c r="I1496" i="5"/>
  <c r="H1507" i="5"/>
  <c r="I1506" i="5"/>
  <c r="H1484" i="5"/>
  <c r="H1490" i="5"/>
  <c r="I1488" i="5"/>
  <c r="H1317" i="5"/>
  <c r="H1312" i="5"/>
  <c r="I1311" i="5"/>
  <c r="I1312" i="5"/>
  <c r="H1307" i="5"/>
  <c r="I1305" i="5"/>
  <c r="I1302" i="5"/>
  <c r="I1299" i="5"/>
  <c r="H1271" i="5"/>
  <c r="I1269" i="5"/>
  <c r="I1270" i="5"/>
  <c r="H1266" i="5"/>
  <c r="I1264" i="5"/>
  <c r="H1259" i="5"/>
  <c r="I1254" i="5"/>
  <c r="I1259" i="5"/>
  <c r="H1296" i="5"/>
  <c r="I1295" i="5"/>
  <c r="H1288" i="5"/>
  <c r="I1282" i="5"/>
  <c r="H1279" i="5"/>
  <c r="H1251" i="5"/>
  <c r="I1249" i="5"/>
  <c r="H784" i="5"/>
  <c r="H776" i="5"/>
  <c r="I774" i="5"/>
  <c r="I776" i="5"/>
  <c r="H771" i="5"/>
  <c r="I767" i="5"/>
  <c r="I762" i="5"/>
  <c r="H750" i="5"/>
  <c r="I744" i="5"/>
  <c r="H477" i="5"/>
  <c r="I472" i="5"/>
  <c r="I477" i="5"/>
  <c r="I468" i="5"/>
  <c r="H465" i="5"/>
  <c r="H450" i="5"/>
  <c r="H130" i="5"/>
  <c r="I126" i="5"/>
  <c r="H115" i="5"/>
  <c r="I113" i="5"/>
  <c r="H110" i="5"/>
  <c r="I106" i="5"/>
  <c r="H92" i="5"/>
  <c r="I91" i="5"/>
  <c r="H97" i="5"/>
  <c r="I95" i="5"/>
  <c r="H86" i="5"/>
  <c r="I83" i="5"/>
  <c r="H43" i="5"/>
  <c r="I41" i="5"/>
  <c r="H37" i="5"/>
  <c r="I34" i="5"/>
  <c r="H31" i="5"/>
  <c r="I29" i="5"/>
  <c r="H57" i="5"/>
  <c r="H49" i="5"/>
  <c r="I47" i="5"/>
  <c r="I49" i="5"/>
  <c r="H74" i="5"/>
  <c r="I71" i="5"/>
  <c r="I77" i="5"/>
  <c r="I68" i="5"/>
  <c r="H65" i="5"/>
  <c r="I62" i="5"/>
  <c r="H26" i="5"/>
  <c r="I22" i="5"/>
  <c r="I24" i="5"/>
  <c r="H18" i="5"/>
  <c r="I10" i="5"/>
  <c r="E387" i="1"/>
  <c r="E386" i="1"/>
  <c r="E385" i="1"/>
  <c r="E384" i="1"/>
  <c r="E360" i="1"/>
  <c r="E359" i="1"/>
  <c r="E346" i="1"/>
  <c r="E345" i="1"/>
  <c r="I370" i="5"/>
  <c r="I372" i="5"/>
  <c r="I1858" i="5"/>
  <c r="I1156" i="5"/>
  <c r="I1161" i="5"/>
  <c r="I2075" i="5"/>
  <c r="I2185" i="5"/>
  <c r="I1188" i="5"/>
  <c r="I1180" i="5"/>
  <c r="I1199" i="5"/>
  <c r="I1151" i="5"/>
  <c r="I1153" i="5"/>
  <c r="I1154" i="5"/>
  <c r="I1155" i="5"/>
  <c r="I1158" i="5"/>
  <c r="I1162" i="5"/>
  <c r="I1083" i="5"/>
  <c r="I1082" i="5"/>
  <c r="I152" i="5"/>
  <c r="I2123" i="5"/>
  <c r="I201" i="5"/>
  <c r="I1178" i="5"/>
  <c r="I1182" i="5"/>
  <c r="I2147" i="5"/>
  <c r="I420" i="5"/>
  <c r="I2187" i="5"/>
  <c r="I1389" i="5"/>
  <c r="I1174" i="5"/>
  <c r="I1472" i="5"/>
  <c r="I1473" i="5"/>
  <c r="I192" i="5"/>
  <c r="J44" i="1"/>
  <c r="L44" i="1"/>
  <c r="I2279" i="5"/>
  <c r="I224" i="5"/>
  <c r="I503" i="5"/>
  <c r="I222" i="5"/>
  <c r="I1725" i="5"/>
  <c r="I1469" i="5"/>
  <c r="I1227" i="5"/>
  <c r="I1471" i="5"/>
  <c r="I1862" i="5"/>
  <c r="I1728" i="5"/>
  <c r="I1854" i="5"/>
  <c r="I1470" i="5"/>
  <c r="I1475" i="5"/>
  <c r="I2403" i="5"/>
  <c r="I1767" i="5"/>
  <c r="I2263" i="5"/>
  <c r="I640" i="5"/>
  <c r="I1844" i="5"/>
  <c r="I1849" i="5"/>
  <c r="I1727" i="5"/>
  <c r="I1726" i="5"/>
  <c r="I588" i="5"/>
  <c r="I2013" i="5"/>
  <c r="I225" i="5"/>
  <c r="I1775" i="5"/>
  <c r="I1845" i="5"/>
  <c r="I504" i="5"/>
  <c r="I1597" i="5"/>
  <c r="I1599" i="5"/>
  <c r="I1168" i="5"/>
  <c r="I236" i="5"/>
  <c r="I1768" i="5"/>
  <c r="I1100" i="5"/>
  <c r="I2270" i="5"/>
  <c r="I2272" i="5"/>
  <c r="I2273" i="5"/>
  <c r="I2268" i="5"/>
  <c r="I298" i="5"/>
  <c r="I303" i="5"/>
  <c r="I322" i="5"/>
  <c r="I2097" i="5"/>
  <c r="I358" i="5"/>
  <c r="I384" i="5"/>
  <c r="I375" i="5"/>
  <c r="I378" i="5"/>
  <c r="I381" i="5"/>
  <c r="I787" i="5"/>
  <c r="I1733" i="5"/>
  <c r="I931" i="5"/>
  <c r="I1734" i="5"/>
  <c r="I1053" i="5"/>
  <c r="I814" i="5"/>
  <c r="I564" i="5"/>
  <c r="I560" i="5"/>
  <c r="I1398" i="5"/>
  <c r="I1394" i="5"/>
  <c r="I1393" i="5"/>
  <c r="I1397" i="5"/>
  <c r="I1395" i="5"/>
  <c r="I172" i="5"/>
  <c r="I179" i="5"/>
  <c r="I1009" i="5"/>
  <c r="I1004" i="5"/>
  <c r="I1574" i="5"/>
  <c r="I1222" i="5"/>
  <c r="I643" i="5"/>
  <c r="I2010" i="5"/>
  <c r="I374" i="5"/>
  <c r="I376" i="5"/>
  <c r="I770" i="5"/>
  <c r="I1672" i="5"/>
  <c r="I1436" i="5"/>
  <c r="I2405" i="5"/>
  <c r="I2407" i="5"/>
  <c r="I844" i="5"/>
  <c r="I1441" i="5"/>
  <c r="I644" i="5"/>
  <c r="I845" i="5"/>
  <c r="I2167" i="5"/>
  <c r="I1666" i="5"/>
  <c r="I2371" i="5"/>
  <c r="I1221" i="5"/>
  <c r="I2404" i="5"/>
  <c r="I2020" i="5"/>
  <c r="I2021" i="5"/>
  <c r="I2017" i="5"/>
  <c r="I639" i="5"/>
  <c r="I114" i="5"/>
  <c r="I1440" i="5"/>
  <c r="I2095" i="5"/>
  <c r="I1889" i="5"/>
  <c r="I2018" i="5"/>
  <c r="I642" i="5"/>
  <c r="I638" i="5"/>
  <c r="I645" i="5"/>
  <c r="I1582" i="5"/>
  <c r="I1446" i="5"/>
  <c r="I2113" i="5"/>
  <c r="I2150" i="5"/>
  <c r="I1183" i="5"/>
  <c r="I1179" i="5"/>
  <c r="I1181" i="5"/>
  <c r="I2398" i="5"/>
  <c r="I2397" i="5"/>
  <c r="I36" i="5"/>
  <c r="I1793" i="5"/>
  <c r="I536" i="5"/>
  <c r="I518" i="5"/>
  <c r="I521" i="5"/>
  <c r="I515" i="5"/>
  <c r="I815" i="5"/>
  <c r="I816" i="5"/>
  <c r="I812" i="5"/>
  <c r="I2326" i="5"/>
  <c r="I2325" i="5"/>
  <c r="I2327" i="5"/>
  <c r="I2342" i="5"/>
  <c r="I2341" i="5"/>
  <c r="I575" i="5"/>
  <c r="I1890" i="5"/>
  <c r="I148" i="5"/>
  <c r="I2186" i="5"/>
  <c r="I150" i="5"/>
  <c r="I2188" i="5"/>
  <c r="I574" i="5"/>
  <c r="I1891" i="5"/>
  <c r="I360" i="5"/>
  <c r="I362" i="5"/>
  <c r="I361" i="5"/>
  <c r="I403" i="5"/>
  <c r="I402" i="5"/>
  <c r="I401" i="5"/>
  <c r="I1982" i="5"/>
  <c r="I576" i="5"/>
  <c r="I2396" i="5"/>
  <c r="I2400" i="5"/>
  <c r="I1785" i="5"/>
  <c r="I1579" i="5"/>
  <c r="I2084" i="5"/>
  <c r="I1159" i="5"/>
  <c r="I1157" i="5"/>
  <c r="I1152" i="5"/>
  <c r="I1160" i="5"/>
  <c r="I101" i="5"/>
  <c r="I2399" i="5"/>
  <c r="I1894" i="5"/>
  <c r="I1456" i="5"/>
  <c r="J143" i="1"/>
  <c r="L143" i="1"/>
  <c r="J246" i="1"/>
  <c r="L246" i="1"/>
  <c r="J347" i="1"/>
  <c r="L347" i="1"/>
  <c r="L353" i="1"/>
  <c r="J355" i="1"/>
  <c r="I1615" i="5"/>
  <c r="I156" i="5"/>
  <c r="I1048" i="5"/>
  <c r="I832" i="5"/>
  <c r="I835" i="5"/>
  <c r="I834" i="5"/>
  <c r="I837" i="5"/>
  <c r="I836" i="5"/>
  <c r="I159" i="5"/>
  <c r="I1898" i="5"/>
  <c r="I1531" i="5"/>
  <c r="I1534" i="5"/>
  <c r="I1533" i="5"/>
  <c r="I1528" i="5"/>
  <c r="I1014" i="5"/>
  <c r="I1366" i="5"/>
  <c r="I1993" i="5"/>
  <c r="I693" i="5"/>
  <c r="I696" i="5"/>
  <c r="I833" i="5"/>
  <c r="I46" i="5"/>
  <c r="I768" i="5"/>
  <c r="I771" i="5"/>
  <c r="I765" i="5"/>
  <c r="I1291" i="5"/>
  <c r="I1294" i="5"/>
  <c r="I847" i="5"/>
  <c r="I842" i="5"/>
  <c r="I1437" i="5"/>
  <c r="I1439" i="5"/>
  <c r="I1909" i="5"/>
  <c r="I1465" i="5"/>
  <c r="I769" i="5"/>
  <c r="I766" i="5"/>
  <c r="I1505" i="5"/>
  <c r="I1504" i="5"/>
  <c r="I1595" i="5"/>
  <c r="I1594" i="5"/>
  <c r="I1684" i="5"/>
  <c r="I1685" i="5"/>
  <c r="I1683" i="5"/>
  <c r="I587" i="5"/>
  <c r="J166" i="1"/>
  <c r="L166" i="1"/>
  <c r="J26" i="1"/>
  <c r="L26" i="1"/>
  <c r="J37" i="1"/>
  <c r="L37" i="1"/>
  <c r="J274" i="1"/>
  <c r="L274" i="1"/>
  <c r="J162" i="1"/>
  <c r="L162" i="1"/>
  <c r="J252" i="1"/>
  <c r="L252" i="1"/>
  <c r="J368" i="1"/>
  <c r="L368" i="1"/>
  <c r="J52" i="1"/>
  <c r="L52" i="1"/>
  <c r="J266" i="1"/>
  <c r="L266" i="1"/>
  <c r="J31" i="1"/>
  <c r="L31" i="1"/>
  <c r="J144" i="1"/>
  <c r="L144" i="1"/>
  <c r="J163" i="1"/>
  <c r="L163" i="1"/>
  <c r="J45" i="1"/>
  <c r="L45" i="1"/>
  <c r="J272" i="1"/>
  <c r="L272" i="1"/>
  <c r="J217" i="1"/>
  <c r="L217" i="1"/>
  <c r="J142" i="1"/>
  <c r="L142" i="1"/>
  <c r="J169" i="1"/>
  <c r="L169" i="1"/>
  <c r="I1233" i="5"/>
  <c r="I2366" i="5"/>
  <c r="I1095" i="5"/>
  <c r="I1702" i="5"/>
  <c r="I904" i="5"/>
  <c r="I1236" i="5"/>
  <c r="I692" i="5"/>
  <c r="I2352" i="5"/>
  <c r="I1975" i="5"/>
  <c r="I1791" i="5"/>
  <c r="I2148" i="5"/>
  <c r="I2108" i="5"/>
  <c r="I1754" i="5"/>
  <c r="I2130" i="5"/>
  <c r="I1293" i="5"/>
  <c r="I2093" i="5"/>
  <c r="I1098" i="5"/>
  <c r="I1661" i="5"/>
  <c r="I1704" i="5"/>
  <c r="I1306" i="5"/>
  <c r="I2086" i="5"/>
  <c r="I1659" i="5"/>
  <c r="I1706" i="5"/>
  <c r="I1792" i="5"/>
  <c r="I1043" i="5"/>
  <c r="I1304" i="5"/>
  <c r="I48" i="5"/>
  <c r="I1611" i="5"/>
  <c r="I42" i="5"/>
  <c r="I2088" i="5"/>
  <c r="I1117" i="5"/>
  <c r="I1977" i="5"/>
  <c r="I1570" i="5"/>
  <c r="I1292" i="5"/>
  <c r="I2099" i="5"/>
  <c r="I1096" i="5"/>
  <c r="I2156" i="5"/>
  <c r="I1705" i="5"/>
  <c r="I1752" i="5"/>
  <c r="I2110" i="5"/>
  <c r="I1571" i="5"/>
  <c r="I1575" i="5"/>
  <c r="I306" i="5"/>
  <c r="I1753" i="5"/>
  <c r="I1235" i="5"/>
  <c r="I2112" i="5"/>
  <c r="I207" i="5"/>
  <c r="I1234" i="5"/>
  <c r="I1917" i="5"/>
  <c r="I2111" i="5"/>
  <c r="I1572" i="5"/>
  <c r="I932" i="5"/>
  <c r="I2092" i="5"/>
  <c r="I2115" i="5"/>
  <c r="I2149" i="5"/>
  <c r="I1216" i="5"/>
  <c r="I905" i="5"/>
  <c r="I1097" i="5"/>
  <c r="I1013" i="5"/>
  <c r="I1612" i="5"/>
  <c r="I2132" i="5"/>
  <c r="I1945" i="5"/>
  <c r="I2116" i="5"/>
  <c r="I2035" i="5"/>
  <c r="I1418" i="5"/>
  <c r="I929" i="5"/>
  <c r="I2094" i="5"/>
  <c r="I2199" i="5"/>
  <c r="I1678" i="5"/>
  <c r="I2109" i="5"/>
  <c r="I2058" i="5"/>
  <c r="I1218" i="5"/>
  <c r="I2154" i="5"/>
  <c r="I128" i="5"/>
  <c r="I694" i="5"/>
  <c r="I697" i="5"/>
  <c r="I1614" i="5"/>
  <c r="I2134" i="5"/>
  <c r="I1919" i="5"/>
  <c r="I1794" i="5"/>
  <c r="I2118" i="5"/>
  <c r="I2098" i="5"/>
  <c r="I2131" i="5"/>
  <c r="I1421" i="5"/>
  <c r="I2114" i="5"/>
  <c r="I509" i="5"/>
  <c r="I158" i="5"/>
  <c r="I871" i="5"/>
  <c r="I511" i="5"/>
  <c r="I155" i="5"/>
  <c r="I2387" i="5"/>
  <c r="I502" i="5"/>
  <c r="I870" i="5"/>
  <c r="I1904" i="5"/>
  <c r="I1556" i="5"/>
  <c r="I508" i="5"/>
  <c r="I1557" i="5"/>
  <c r="I1144" i="5"/>
  <c r="I2219" i="5"/>
  <c r="I11" i="5"/>
  <c r="I1581" i="5"/>
  <c r="I726" i="5"/>
  <c r="I1712" i="5"/>
  <c r="I2223" i="5"/>
  <c r="I2222" i="5"/>
  <c r="I2331" i="5"/>
  <c r="I1146" i="5"/>
  <c r="I292" i="5"/>
  <c r="I1516" i="5"/>
  <c r="I1822" i="5"/>
  <c r="I161" i="5"/>
  <c r="I1559" i="5"/>
  <c r="I2220" i="5"/>
  <c r="I2008" i="5"/>
  <c r="I1073" i="5"/>
  <c r="I1145" i="5"/>
  <c r="I405" i="5"/>
  <c r="I1555" i="5"/>
  <c r="I187" i="5"/>
  <c r="I2221" i="5"/>
  <c r="I320" i="5"/>
  <c r="I1143" i="5"/>
  <c r="I1524" i="5"/>
  <c r="I1077" i="5"/>
  <c r="I321" i="5"/>
  <c r="I2295" i="5"/>
  <c r="I349" i="5"/>
  <c r="I177" i="5"/>
  <c r="I878" i="5"/>
  <c r="I160" i="5"/>
  <c r="I1560" i="5"/>
  <c r="I1078" i="5"/>
  <c r="I2203" i="5"/>
  <c r="I793" i="5"/>
  <c r="I873" i="5"/>
  <c r="I1823" i="5"/>
  <c r="I528" i="5"/>
  <c r="I2292" i="5"/>
  <c r="I2059" i="5"/>
  <c r="I249" i="5"/>
  <c r="I2012" i="5"/>
  <c r="I293" i="5"/>
  <c r="I869" i="5"/>
  <c r="I269" i="5"/>
  <c r="I273" i="5"/>
  <c r="I315" i="5"/>
  <c r="I911" i="5"/>
  <c r="I1028" i="5"/>
  <c r="I1029" i="5"/>
  <c r="I1031" i="5"/>
  <c r="I1030" i="5"/>
  <c r="I910" i="5"/>
  <c r="I1971" i="5"/>
  <c r="I485" i="5"/>
  <c r="I1962" i="5"/>
  <c r="I1963" i="5"/>
  <c r="I2258" i="5"/>
  <c r="I2261" i="5"/>
  <c r="I2259" i="5"/>
  <c r="I2264" i="5"/>
  <c r="I2262" i="5"/>
  <c r="I913" i="5"/>
  <c r="I1384" i="5"/>
  <c r="I1379" i="5"/>
  <c r="I1383" i="5"/>
  <c r="I1382" i="5"/>
  <c r="I2260" i="5"/>
  <c r="I1564" i="5"/>
  <c r="I1565" i="5"/>
  <c r="I194" i="5"/>
  <c r="I193" i="5"/>
  <c r="I2074" i="5"/>
  <c r="I2079" i="5"/>
  <c r="I2077" i="5"/>
  <c r="I2076" i="5"/>
  <c r="I2078" i="5"/>
  <c r="I568" i="5"/>
  <c r="I573" i="5"/>
  <c r="I572" i="5"/>
  <c r="I571" i="5"/>
  <c r="I569" i="5"/>
  <c r="I570" i="5"/>
  <c r="I1655" i="5"/>
  <c r="I1136" i="5"/>
  <c r="I1192" i="5"/>
  <c r="I1194" i="5"/>
  <c r="I1195" i="5"/>
  <c r="I1629" i="5"/>
  <c r="I1632" i="5"/>
  <c r="I1635" i="5"/>
  <c r="I1633" i="5"/>
  <c r="I1636" i="5"/>
  <c r="I1634" i="5"/>
  <c r="I1630" i="5"/>
  <c r="I1105" i="5"/>
  <c r="I1104" i="5"/>
  <c r="I1106" i="5"/>
  <c r="I1381" i="5"/>
  <c r="I1257" i="5"/>
  <c r="I1256" i="5"/>
  <c r="I1255" i="5"/>
  <c r="I1258" i="5"/>
  <c r="I1316" i="5"/>
  <c r="I1315" i="5"/>
  <c r="I144" i="5"/>
  <c r="I143" i="5"/>
  <c r="I142" i="5"/>
  <c r="I141" i="5"/>
  <c r="I989" i="5"/>
  <c r="I993" i="5"/>
  <c r="I991" i="5"/>
  <c r="I1005" i="5"/>
  <c r="I1003" i="5"/>
  <c r="I1006" i="5"/>
  <c r="I1008" i="5"/>
  <c r="I1007" i="5"/>
  <c r="I1010" i="5"/>
  <c r="I921" i="5"/>
  <c r="I920" i="5"/>
  <c r="I1019" i="5"/>
  <c r="I1024" i="5"/>
  <c r="I328" i="5"/>
  <c r="I2011" i="5"/>
  <c r="I1246" i="5"/>
  <c r="I149" i="5"/>
  <c r="I151" i="5"/>
  <c r="I2271" i="5"/>
  <c r="I2269" i="5"/>
  <c r="I2274" i="5"/>
  <c r="I1461" i="5"/>
  <c r="I1462" i="5"/>
  <c r="I383" i="5"/>
  <c r="I377" i="5"/>
  <c r="I380" i="5"/>
  <c r="I379" i="5"/>
  <c r="I382" i="5"/>
  <c r="I2293" i="5"/>
  <c r="I2291" i="5"/>
  <c r="I1762" i="5"/>
  <c r="I1759" i="5"/>
  <c r="I2204" i="5"/>
  <c r="I2205" i="5"/>
  <c r="I2202" i="5"/>
  <c r="I178" i="5"/>
  <c r="I174" i="5"/>
  <c r="I176" i="5"/>
  <c r="I1035" i="5"/>
  <c r="I1034" i="5"/>
  <c r="I1037" i="5"/>
  <c r="I1036" i="5"/>
  <c r="I1375" i="5"/>
  <c r="I1075" i="5"/>
  <c r="I1079" i="5"/>
  <c r="I1076" i="5"/>
  <c r="I1454" i="5"/>
  <c r="I1457" i="5"/>
  <c r="I1871" i="5"/>
  <c r="I419" i="5"/>
  <c r="I418" i="5"/>
  <c r="I417" i="5"/>
  <c r="I422" i="5"/>
  <c r="I1226" i="5"/>
  <c r="I1228" i="5"/>
  <c r="I1230" i="5"/>
  <c r="I1229" i="5"/>
  <c r="I710" i="5"/>
  <c r="I1455" i="5"/>
  <c r="I1110" i="5"/>
  <c r="I811" i="5"/>
  <c r="I2201" i="5"/>
  <c r="I2087" i="5"/>
  <c r="I17" i="5"/>
  <c r="I12" i="5"/>
  <c r="I15" i="5"/>
  <c r="I1285" i="5"/>
  <c r="I2305" i="5"/>
  <c r="I2306" i="5"/>
  <c r="I1848" i="5"/>
  <c r="I1846" i="5"/>
  <c r="I1847" i="5"/>
  <c r="I297" i="5"/>
  <c r="I300" i="5"/>
  <c r="I302" i="5"/>
  <c r="I1445" i="5"/>
  <c r="I1447" i="5"/>
  <c r="I709" i="5"/>
  <c r="I707" i="5"/>
  <c r="I1453" i="5"/>
  <c r="I1458" i="5"/>
  <c r="I2083" i="5"/>
  <c r="I1449" i="5"/>
  <c r="I299" i="5"/>
  <c r="I301" i="5"/>
  <c r="I919" i="5"/>
  <c r="I923" i="5"/>
  <c r="I1448" i="5"/>
  <c r="I138" i="5"/>
  <c r="I136" i="5"/>
  <c r="I1936" i="5"/>
  <c r="I1596" i="5"/>
  <c r="I1598" i="5"/>
  <c r="I841" i="5"/>
  <c r="I634" i="5"/>
  <c r="I366" i="5"/>
  <c r="I365" i="5"/>
  <c r="I367" i="5"/>
  <c r="I1186" i="5"/>
  <c r="I1184" i="5"/>
  <c r="I1187" i="5"/>
  <c r="I1185" i="5"/>
  <c r="I1068" i="5"/>
  <c r="I1067" i="5"/>
  <c r="I1667" i="5"/>
  <c r="I1476" i="5"/>
  <c r="I1474" i="5"/>
  <c r="I1777" i="5"/>
  <c r="I1776" i="5"/>
  <c r="I855" i="5"/>
  <c r="I853" i="5"/>
  <c r="I852" i="5"/>
  <c r="I856" i="5"/>
  <c r="I2037" i="5"/>
  <c r="I2036" i="5"/>
  <c r="I1692" i="5"/>
  <c r="I1662" i="5"/>
  <c r="I632" i="5"/>
  <c r="I1935" i="5"/>
  <c r="I2265" i="5"/>
  <c r="I2356" i="5"/>
  <c r="I2354" i="5"/>
  <c r="I2363" i="5"/>
  <c r="I1329" i="5"/>
  <c r="I1619" i="5"/>
  <c r="I891" i="5"/>
  <c r="I1931" i="5"/>
  <c r="I599" i="5"/>
  <c r="I600" i="5"/>
  <c r="I308" i="5"/>
  <c r="H1743" i="5"/>
  <c r="I1774" i="5"/>
  <c r="I1932" i="5"/>
  <c r="I1937" i="5"/>
  <c r="I859" i="5"/>
  <c r="I1969" i="5"/>
  <c r="I2318" i="5"/>
  <c r="I2321" i="5"/>
  <c r="I2365" i="5"/>
  <c r="I63" i="5"/>
  <c r="I102" i="5"/>
  <c r="I1310" i="5"/>
  <c r="I538" i="5"/>
  <c r="I539" i="5"/>
  <c r="I1173" i="5"/>
  <c r="I1855" i="5"/>
  <c r="I2364" i="5"/>
  <c r="I107" i="5"/>
  <c r="I110" i="5"/>
  <c r="I505" i="5"/>
  <c r="I1090" i="5"/>
  <c r="I1331" i="5"/>
  <c r="I1489" i="5"/>
  <c r="I96" i="5"/>
  <c r="I2045" i="5"/>
  <c r="I1363" i="5"/>
  <c r="I1200" i="5"/>
  <c r="I1720" i="5"/>
  <c r="I108" i="5"/>
  <c r="I631" i="5"/>
  <c r="I960" i="5"/>
  <c r="I1244" i="5"/>
  <c r="I2355" i="5"/>
  <c r="I2357" i="5"/>
  <c r="I1368" i="5"/>
  <c r="I1428" i="5"/>
  <c r="I1433" i="5"/>
  <c r="I2043" i="5"/>
  <c r="I2044" i="5"/>
  <c r="I2047" i="5"/>
  <c r="I861" i="5"/>
  <c r="I866" i="5"/>
  <c r="I2285" i="5"/>
  <c r="I1829" i="5"/>
  <c r="I64" i="5"/>
  <c r="I2367" i="5"/>
  <c r="I1430" i="5"/>
  <c r="I1202" i="5"/>
  <c r="I2212" i="5"/>
  <c r="I2042" i="5"/>
  <c r="I2287" i="5"/>
  <c r="I1621" i="5"/>
  <c r="I2166" i="5"/>
  <c r="I863" i="5"/>
  <c r="I962" i="5"/>
  <c r="I1934" i="5"/>
  <c r="I1088" i="5"/>
  <c r="I1092" i="5"/>
  <c r="I2353" i="5"/>
  <c r="I1201" i="5"/>
  <c r="I2362" i="5"/>
  <c r="I2163" i="5"/>
  <c r="I2168" i="5"/>
  <c r="I2165" i="5"/>
  <c r="I1772" i="5"/>
  <c r="I1778" i="5"/>
  <c r="I1852" i="5"/>
  <c r="I619" i="5"/>
  <c r="I1247" i="5"/>
  <c r="I1620" i="5"/>
  <c r="I864" i="5"/>
  <c r="I1248" i="5"/>
  <c r="I1251" i="5"/>
  <c r="I334" i="5"/>
  <c r="I61" i="5"/>
  <c r="I1119" i="5"/>
  <c r="I862" i="5"/>
  <c r="I949" i="5"/>
  <c r="I1736" i="5"/>
  <c r="I1203" i="5"/>
  <c r="I1978" i="5"/>
  <c r="I2228" i="5"/>
  <c r="I442" i="5"/>
  <c r="I630" i="5"/>
  <c r="I860" i="5"/>
  <c r="I1245" i="5"/>
  <c r="I1429" i="5"/>
  <c r="I60" i="5"/>
  <c r="I1364" i="5"/>
  <c r="I956" i="5"/>
  <c r="I957" i="5"/>
  <c r="I775" i="5"/>
  <c r="I1856" i="5"/>
  <c r="I1204" i="5"/>
  <c r="I2126" i="5"/>
  <c r="I1624" i="5"/>
  <c r="I947" i="5"/>
  <c r="I950" i="5"/>
  <c r="I1317" i="5"/>
  <c r="I427" i="5"/>
  <c r="I1623" i="5"/>
  <c r="I1250" i="5"/>
  <c r="I1176" i="5"/>
  <c r="I954" i="5"/>
  <c r="I1853" i="5"/>
  <c r="I1859" i="5"/>
  <c r="I2122" i="5"/>
  <c r="I1206" i="5"/>
  <c r="I480" i="5"/>
  <c r="I482" i="5"/>
  <c r="I1972" i="5"/>
  <c r="I1973" i="5"/>
  <c r="I1367" i="5"/>
  <c r="I109" i="5"/>
  <c r="I2319" i="5"/>
  <c r="I1487" i="5"/>
  <c r="I1362" i="5"/>
  <c r="I1622" i="5"/>
  <c r="I1089" i="5"/>
  <c r="I2125" i="5"/>
  <c r="I2127" i="5"/>
  <c r="I1741" i="5"/>
  <c r="I1742" i="5"/>
  <c r="I1512" i="5"/>
  <c r="I1212" i="5"/>
  <c r="I1641" i="5"/>
  <c r="I1642" i="5"/>
  <c r="I127" i="5"/>
  <c r="I992" i="5"/>
  <c r="I577" i="5"/>
  <c r="I1831" i="5"/>
  <c r="I1520" i="5"/>
  <c r="I346" i="5"/>
  <c r="I1511" i="5"/>
  <c r="I2390" i="5"/>
  <c r="I902" i="5"/>
  <c r="I1995" i="5"/>
  <c r="I1603" i="5"/>
  <c r="I1608" i="5"/>
  <c r="I561" i="5"/>
  <c r="I2171" i="5"/>
  <c r="I2173" i="5"/>
  <c r="I476" i="5"/>
  <c r="I846" i="5"/>
  <c r="I887" i="5"/>
  <c r="I1337" i="5"/>
  <c r="I200" i="5"/>
  <c r="I30" i="5"/>
  <c r="I31" i="5"/>
  <c r="I1795" i="5"/>
  <c r="I1814" i="5"/>
  <c r="I1769" i="5"/>
  <c r="I1987" i="5"/>
  <c r="I1413" i="5"/>
  <c r="I1404" i="5"/>
  <c r="I1405" i="5"/>
  <c r="I1402" i="5"/>
  <c r="I1808" i="5"/>
  <c r="I798" i="5"/>
  <c r="I794" i="5"/>
  <c r="I2393" i="5"/>
  <c r="I1606" i="5"/>
  <c r="I2119" i="5"/>
  <c r="I903" i="5"/>
  <c r="I1287" i="5"/>
  <c r="I1996" i="5"/>
  <c r="I2000" i="5"/>
  <c r="I1999" i="5"/>
  <c r="I473" i="5"/>
  <c r="I35" i="5"/>
  <c r="I1817" i="5"/>
  <c r="I1668" i="5"/>
  <c r="I2415" i="5"/>
  <c r="I2417" i="5"/>
  <c r="I1408" i="5"/>
  <c r="I347" i="5"/>
  <c r="I792" i="5"/>
  <c r="I799" i="5"/>
  <c r="I1286" i="5"/>
  <c r="I162" i="5"/>
  <c r="I2100" i="5"/>
  <c r="I906" i="5"/>
  <c r="I283" i="5"/>
  <c r="I2374" i="5"/>
  <c r="I1669" i="5"/>
  <c r="I2388" i="5"/>
  <c r="I1946" i="5"/>
  <c r="I1952" i="5"/>
  <c r="I2416" i="5"/>
  <c r="I1336" i="5"/>
  <c r="I2253" i="5"/>
  <c r="I2255" i="5"/>
  <c r="I167" i="5"/>
  <c r="I1519" i="5"/>
  <c r="I667" i="5"/>
  <c r="I795" i="5"/>
  <c r="I747" i="5"/>
  <c r="I1947" i="5"/>
  <c r="I1828" i="5"/>
  <c r="I1994" i="5"/>
  <c r="I385" i="5"/>
  <c r="I166" i="5"/>
  <c r="I1196" i="5"/>
  <c r="I1717" i="5"/>
  <c r="I618" i="5"/>
  <c r="I1518" i="5"/>
  <c r="I1804" i="5"/>
  <c r="I1805" i="5"/>
  <c r="I1602" i="5"/>
  <c r="I261" i="5"/>
  <c r="I475" i="5"/>
  <c r="I1867" i="5"/>
  <c r="I893" i="5"/>
  <c r="I886" i="5"/>
  <c r="I1989" i="5"/>
  <c r="I1990" i="5"/>
  <c r="I890" i="5"/>
  <c r="I139" i="5"/>
  <c r="I2031" i="5"/>
  <c r="I399" i="5"/>
  <c r="I1637" i="5"/>
  <c r="I1209" i="5"/>
  <c r="I1869" i="5"/>
  <c r="I1718" i="5"/>
  <c r="I748" i="5"/>
  <c r="I263" i="5"/>
  <c r="I471" i="5"/>
  <c r="I2373" i="5"/>
  <c r="I2375" i="5"/>
  <c r="I1210" i="5"/>
  <c r="I2296" i="5"/>
  <c r="I1605" i="5"/>
  <c r="I1997" i="5"/>
  <c r="I1213" i="5"/>
  <c r="I1665" i="5"/>
  <c r="I1283" i="5"/>
  <c r="I1288" i="5"/>
  <c r="I1870" i="5"/>
  <c r="I1721" i="5"/>
  <c r="I796" i="5"/>
  <c r="I2224" i="5"/>
  <c r="I2389" i="5"/>
  <c r="I1604" i="5"/>
  <c r="I2392" i="5"/>
  <c r="I474" i="5"/>
  <c r="I1939" i="5"/>
  <c r="I115" i="5"/>
  <c r="I1951" i="5"/>
  <c r="I189" i="5"/>
  <c r="I848" i="5"/>
  <c r="I326" i="5"/>
  <c r="I330" i="5"/>
  <c r="I1950" i="5"/>
  <c r="I287" i="5"/>
  <c r="I1784" i="5"/>
  <c r="I1948" i="5"/>
  <c r="I2414" i="5"/>
  <c r="I888" i="5"/>
  <c r="I286" i="5"/>
  <c r="I342" i="5"/>
  <c r="I198" i="5"/>
  <c r="I1799" i="5"/>
  <c r="I1800" i="5"/>
  <c r="I1284" i="5"/>
  <c r="I129" i="5"/>
  <c r="I329" i="5"/>
  <c r="I1830" i="5"/>
  <c r="I668" i="5"/>
  <c r="I670" i="5"/>
  <c r="I264" i="5"/>
  <c r="I1781" i="5"/>
  <c r="I1787" i="5"/>
  <c r="I2413" i="5"/>
  <c r="I885" i="5"/>
  <c r="I563" i="5"/>
  <c r="I565" i="5"/>
  <c r="I285" i="5"/>
  <c r="I2412" i="5"/>
  <c r="I203" i="5"/>
  <c r="I892" i="5"/>
  <c r="I1886" i="5"/>
  <c r="I740" i="5"/>
  <c r="I976" i="5"/>
  <c r="I982" i="5"/>
  <c r="I938" i="5"/>
  <c r="I2024" i="5"/>
  <c r="I2027" i="5"/>
  <c r="I1653" i="5"/>
  <c r="I1656" i="5"/>
  <c r="I650" i="5"/>
  <c r="I210" i="5"/>
  <c r="I1131" i="5"/>
  <c r="I428" i="5"/>
  <c r="I1542" i="5"/>
  <c r="I1913" i="5"/>
  <c r="I23" i="5"/>
  <c r="I804" i="5"/>
  <c r="I1941" i="5"/>
  <c r="I1942" i="5"/>
  <c r="I1494" i="5"/>
  <c r="I2184" i="5"/>
  <c r="I2189" i="5"/>
  <c r="I977" i="5"/>
  <c r="I1343" i="5"/>
  <c r="I995" i="5"/>
  <c r="I681" i="5"/>
  <c r="I807" i="5"/>
  <c r="I680" i="5"/>
  <c r="I2379" i="5"/>
  <c r="I2381" i="5"/>
  <c r="I1540" i="5"/>
  <c r="I1912" i="5"/>
  <c r="I1502" i="5"/>
  <c r="I1507" i="5"/>
  <c r="I1688" i="5"/>
  <c r="I978" i="5"/>
  <c r="I1647" i="5"/>
  <c r="I1066" i="5"/>
  <c r="I1539" i="5"/>
  <c r="I1303" i="5"/>
  <c r="I1307" i="5"/>
  <c r="I1567" i="5"/>
  <c r="I1497" i="5"/>
  <c r="I2026" i="5"/>
  <c r="I1450" i="5"/>
  <c r="I1493" i="5"/>
  <c r="I1344" i="5"/>
  <c r="I996" i="5"/>
  <c r="I679" i="5"/>
  <c r="I21" i="5"/>
  <c r="I745" i="5"/>
  <c r="I750" i="5"/>
  <c r="I2252" i="5"/>
  <c r="I333" i="5"/>
  <c r="I2378" i="5"/>
  <c r="I496" i="5"/>
  <c r="I1882" i="5"/>
  <c r="I1786" i="5"/>
  <c r="I1910" i="5"/>
  <c r="I1335" i="5"/>
  <c r="I226" i="5"/>
  <c r="I1911" i="5"/>
  <c r="I739" i="5"/>
  <c r="I2230" i="5"/>
  <c r="I1342" i="5"/>
  <c r="I998" i="5"/>
  <c r="I682" i="5"/>
  <c r="I25" i="5"/>
  <c r="I1711" i="5"/>
  <c r="I1714" i="5"/>
  <c r="I757" i="5"/>
  <c r="I755" i="5"/>
  <c r="I759" i="5"/>
  <c r="I595" i="5"/>
  <c r="I1129" i="5"/>
  <c r="I1132" i="5"/>
  <c r="I708" i="5"/>
  <c r="I942" i="5"/>
  <c r="I944" i="5"/>
  <c r="I732" i="5"/>
  <c r="I758" i="5"/>
  <c r="I753" i="5"/>
  <c r="I730" i="5"/>
  <c r="I997" i="5"/>
  <c r="I805" i="5"/>
  <c r="I254" i="5"/>
  <c r="I255" i="5"/>
  <c r="I981" i="5"/>
  <c r="I597" i="5"/>
  <c r="I897" i="5"/>
  <c r="I898" i="5"/>
  <c r="I1495" i="5"/>
  <c r="I1016" i="5"/>
  <c r="I1050" i="5"/>
  <c r="I1390" i="5"/>
  <c r="I2053" i="5"/>
  <c r="I1431" i="5"/>
  <c r="I2227" i="5"/>
  <c r="I2231" i="5"/>
  <c r="I1346" i="5"/>
  <c r="I702" i="5"/>
  <c r="I610" i="5"/>
  <c r="I1341" i="5"/>
  <c r="I121" i="5"/>
  <c r="I803" i="5"/>
  <c r="I1885" i="5"/>
  <c r="I40" i="5"/>
  <c r="I43" i="5"/>
  <c r="I980" i="5"/>
  <c r="I704" i="5"/>
  <c r="I425" i="5"/>
  <c r="I429" i="5"/>
  <c r="I1884" i="5"/>
  <c r="I1783" i="5"/>
  <c r="I1498" i="5"/>
  <c r="I1499" i="5"/>
  <c r="I1503" i="5"/>
  <c r="I1864" i="5"/>
  <c r="I756" i="5"/>
  <c r="I1039" i="5"/>
  <c r="I611" i="5"/>
  <c r="I122" i="5"/>
  <c r="I2299" i="5"/>
  <c r="I2301" i="5"/>
  <c r="I1648" i="5"/>
  <c r="I2310" i="5"/>
  <c r="I701" i="5"/>
  <c r="I493" i="5"/>
  <c r="I1399" i="5"/>
  <c r="I2408" i="5"/>
  <c r="I1538" i="5"/>
  <c r="I1544" i="5"/>
  <c r="I937" i="5"/>
  <c r="I195" i="5"/>
  <c r="I684" i="5"/>
  <c r="I209" i="5"/>
  <c r="I705" i="5"/>
  <c r="I1135" i="5"/>
  <c r="I1140" i="5"/>
  <c r="I120" i="5"/>
  <c r="I746" i="5"/>
  <c r="I335" i="5"/>
  <c r="I84" i="5"/>
  <c r="I1238" i="5"/>
  <c r="I706" i="5"/>
  <c r="I2314" i="5"/>
  <c r="I497" i="5"/>
  <c r="I1352" i="5"/>
  <c r="I253" i="5"/>
  <c r="I1690" i="5"/>
  <c r="I2383" i="5"/>
  <c r="I1979" i="5"/>
  <c r="I700" i="5"/>
  <c r="I711" i="5"/>
  <c r="I153" i="5"/>
  <c r="I119" i="5"/>
  <c r="I1137" i="5"/>
  <c r="I1646" i="5"/>
  <c r="I2313" i="5"/>
  <c r="I495" i="5"/>
  <c r="I16" i="5"/>
  <c r="I1691" i="5"/>
  <c r="I1673" i="5"/>
  <c r="I1138" i="5"/>
  <c r="I211" i="5"/>
  <c r="I598" i="5"/>
  <c r="I256" i="5"/>
  <c r="I212" i="5"/>
  <c r="I749" i="5"/>
  <c r="I323" i="5"/>
  <c r="I1730" i="5"/>
  <c r="I54" i="5"/>
  <c r="I56" i="5"/>
  <c r="I52" i="5"/>
  <c r="I53" i="5"/>
  <c r="I55" i="5"/>
  <c r="I580" i="5"/>
  <c r="I581" i="5"/>
  <c r="I1120" i="5"/>
  <c r="J38" i="1"/>
  <c r="L38" i="1"/>
  <c r="I243" i="5"/>
  <c r="I242" i="5"/>
  <c r="I245" i="5"/>
  <c r="I241" i="5"/>
  <c r="I2249" i="5"/>
  <c r="I2244" i="5"/>
  <c r="I2243" i="5"/>
  <c r="I1423" i="5"/>
  <c r="I1419" i="5"/>
  <c r="I1424" i="5"/>
  <c r="I1420" i="5"/>
  <c r="I1422" i="5"/>
  <c r="I1417" i="5"/>
  <c r="I880" i="5"/>
  <c r="I877" i="5"/>
  <c r="I882" i="5"/>
  <c r="I872" i="5"/>
  <c r="I874" i="5"/>
  <c r="I879" i="5"/>
  <c r="I313" i="5"/>
  <c r="I314" i="5"/>
  <c r="I312" i="5"/>
  <c r="I1276" i="5"/>
  <c r="I1277" i="5"/>
  <c r="I1275" i="5"/>
  <c r="I1274" i="5"/>
  <c r="I1279" i="5"/>
  <c r="I1278" i="5"/>
  <c r="I660" i="5"/>
  <c r="I2368" i="5"/>
  <c r="I789" i="5"/>
  <c r="I1326" i="5"/>
  <c r="I1327" i="5"/>
  <c r="I1022" i="5"/>
  <c r="I1020" i="5"/>
  <c r="I1021" i="5"/>
  <c r="I1025" i="5"/>
  <c r="I217" i="5"/>
  <c r="I218" i="5"/>
  <c r="I216" i="5"/>
  <c r="I272" i="5"/>
  <c r="I268" i="5"/>
  <c r="I271" i="5"/>
  <c r="J27" i="1"/>
  <c r="L27" i="1"/>
  <c r="I1758" i="5"/>
  <c r="I1761" i="5"/>
  <c r="I229" i="5"/>
  <c r="I37" i="5"/>
  <c r="I914" i="5"/>
  <c r="I915" i="5"/>
  <c r="I912" i="5"/>
  <c r="I1922" i="5"/>
  <c r="I1921" i="5"/>
  <c r="I1918" i="5"/>
  <c r="I1920" i="5"/>
  <c r="I1409" i="5"/>
  <c r="I1412" i="5"/>
  <c r="I1263" i="5"/>
  <c r="I1262" i="5"/>
  <c r="I1265" i="5"/>
  <c r="I457" i="5"/>
  <c r="I662" i="5"/>
  <c r="I663" i="5"/>
  <c r="I348" i="5"/>
  <c r="I353" i="5"/>
  <c r="I350" i="5"/>
  <c r="I352" i="5"/>
  <c r="I351" i="5"/>
  <c r="I1740" i="5"/>
  <c r="I1743" i="5"/>
  <c r="I1956" i="5"/>
  <c r="I1957" i="5"/>
  <c r="I1958" i="5"/>
  <c r="I1955" i="5"/>
  <c r="I1589" i="5"/>
  <c r="I1590" i="5"/>
  <c r="I1148" i="5"/>
  <c r="I1961" i="5"/>
  <c r="I1964" i="5"/>
  <c r="I1966" i="5"/>
  <c r="I1697" i="5"/>
  <c r="I1698" i="5"/>
  <c r="I1696" i="5"/>
  <c r="I1699" i="5"/>
  <c r="I2280" i="5"/>
  <c r="I2281" i="5"/>
  <c r="I2278" i="5"/>
  <c r="I2277" i="5"/>
  <c r="I1463" i="5"/>
  <c r="I1466" i="5"/>
  <c r="I1464" i="5"/>
  <c r="I966" i="5"/>
  <c r="I1679" i="5"/>
  <c r="I1676" i="5"/>
  <c r="I1680" i="5"/>
  <c r="I1677" i="5"/>
  <c r="I2234" i="5"/>
  <c r="I2236" i="5"/>
  <c r="I2238" i="5"/>
  <c r="I1760" i="5"/>
  <c r="I1296" i="5"/>
  <c r="I783" i="5"/>
  <c r="I1320" i="5"/>
  <c r="I1321" i="5"/>
  <c r="I551" i="5"/>
  <c r="I2103" i="5"/>
  <c r="I2104" i="5"/>
  <c r="I72" i="5"/>
  <c r="I972" i="5"/>
  <c r="I971" i="5"/>
  <c r="I230" i="5"/>
  <c r="I233" i="5"/>
  <c r="I231" i="5"/>
  <c r="I2066" i="5"/>
  <c r="I2071" i="5"/>
  <c r="I2065" i="5"/>
  <c r="I2063" i="5"/>
  <c r="I2067" i="5"/>
  <c r="I2068" i="5"/>
  <c r="I2069" i="5"/>
  <c r="I2064" i="5"/>
  <c r="I625" i="5"/>
  <c r="I627" i="5"/>
  <c r="I624" i="5"/>
  <c r="I623" i="5"/>
  <c r="I1837" i="5"/>
  <c r="I1816" i="5"/>
  <c r="I1819" i="5"/>
  <c r="I1541" i="5"/>
  <c r="I612" i="5"/>
  <c r="I613" i="5"/>
  <c r="I1813" i="5"/>
  <c r="I1815" i="5"/>
  <c r="I1872" i="5"/>
  <c r="I907" i="5"/>
  <c r="I1490" i="5"/>
  <c r="I1914" i="5"/>
  <c r="I258" i="5"/>
  <c r="I1369" i="5"/>
  <c r="I963" i="5"/>
  <c r="I1643" i="5"/>
  <c r="I1425" i="5"/>
  <c r="I204" i="5"/>
  <c r="I498" i="5"/>
  <c r="I213" i="5"/>
  <c r="I685" i="5"/>
  <c r="I973" i="5"/>
  <c r="I1650" i="5"/>
  <c r="I1923" i="5"/>
  <c r="I808" i="5"/>
  <c r="I582" i="5"/>
  <c r="I2105" i="5"/>
  <c r="I26" i="5"/>
  <c r="I1322" i="5"/>
  <c r="I916" i="5"/>
  <c r="I968" i="5"/>
  <c r="I219" i="5"/>
  <c r="I664" i="5"/>
  <c r="I1266" i="5"/>
  <c r="I316" i="5"/>
  <c r="I2282" i="5"/>
  <c r="J236" i="1"/>
  <c r="L236" i="1"/>
  <c r="J224" i="1"/>
  <c r="L224" i="1"/>
  <c r="J111" i="1"/>
  <c r="L111" i="1"/>
  <c r="J308" i="1"/>
  <c r="L308" i="1"/>
  <c r="J235" i="1"/>
  <c r="L235" i="1"/>
  <c r="J229" i="1"/>
  <c r="L229" i="1"/>
  <c r="J398" i="1"/>
  <c r="L398" i="1"/>
  <c r="J402" i="1"/>
  <c r="L402" i="1"/>
  <c r="J256" i="1"/>
  <c r="L256" i="1"/>
  <c r="J53" i="1"/>
  <c r="L53" i="1"/>
  <c r="J151" i="1"/>
  <c r="L151" i="1"/>
  <c r="J316" i="1"/>
  <c r="L316" i="1"/>
  <c r="J397" i="1"/>
  <c r="L397" i="1"/>
  <c r="J352" i="1"/>
  <c r="L352" i="1"/>
  <c r="J234" i="1"/>
  <c r="L234" i="1"/>
  <c r="J265" i="1"/>
  <c r="L265" i="1"/>
  <c r="J173" i="1"/>
  <c r="L173" i="1"/>
  <c r="J81" i="1"/>
  <c r="L81" i="1"/>
  <c r="J109" i="1"/>
  <c r="L109" i="1"/>
  <c r="J48" i="1"/>
  <c r="L48" i="1"/>
  <c r="J364" i="1"/>
  <c r="L364" i="1"/>
  <c r="J108" i="1"/>
  <c r="L108" i="1"/>
  <c r="J309" i="1"/>
  <c r="L309" i="1"/>
  <c r="J349" i="1"/>
  <c r="L349" i="1"/>
  <c r="J365" i="1"/>
  <c r="L365" i="1"/>
  <c r="J250" i="1"/>
  <c r="L250" i="1"/>
  <c r="J225" i="1"/>
  <c r="L225" i="1"/>
  <c r="J41" i="1"/>
  <c r="L41" i="1"/>
  <c r="J303" i="1"/>
  <c r="L303" i="1"/>
  <c r="J164" i="1"/>
  <c r="L164" i="1"/>
  <c r="J317" i="1"/>
  <c r="L317" i="1"/>
  <c r="J307" i="1"/>
  <c r="L307" i="1"/>
  <c r="J238" i="1"/>
  <c r="L238" i="1"/>
  <c r="J233" i="1"/>
  <c r="L233" i="1"/>
  <c r="J277" i="1"/>
  <c r="L277" i="1"/>
  <c r="J172" i="1"/>
  <c r="L172" i="1"/>
  <c r="J282" i="1"/>
  <c r="L282" i="1"/>
  <c r="J245" i="1"/>
  <c r="L245" i="1"/>
  <c r="J215" i="1"/>
  <c r="L215" i="1"/>
  <c r="J82" i="1"/>
  <c r="L82" i="1"/>
  <c r="J254" i="1"/>
  <c r="L254" i="1"/>
  <c r="J270" i="1"/>
  <c r="L270" i="1"/>
  <c r="J115" i="1"/>
  <c r="L115" i="1"/>
  <c r="J231" i="1"/>
  <c r="L231" i="1"/>
  <c r="J220" i="1"/>
  <c r="L220" i="1"/>
  <c r="J33" i="1"/>
  <c r="L33" i="1"/>
  <c r="J28" i="1"/>
  <c r="L28" i="1"/>
  <c r="J77" i="1"/>
  <c r="L77" i="1"/>
  <c r="J150" i="1"/>
  <c r="L150" i="1"/>
  <c r="J271" i="1"/>
  <c r="L271" i="1"/>
  <c r="J331" i="1"/>
  <c r="L331" i="1"/>
  <c r="J351" i="1"/>
  <c r="L351" i="1"/>
  <c r="J32" i="1"/>
  <c r="L32" i="1"/>
  <c r="J373" i="1"/>
  <c r="L373" i="1"/>
  <c r="J85" i="1"/>
  <c r="L85" i="1"/>
  <c r="J171" i="1"/>
  <c r="L171" i="1"/>
  <c r="J107" i="1"/>
  <c r="L107" i="1"/>
  <c r="J304" i="1"/>
  <c r="L304" i="1"/>
  <c r="J371" i="1"/>
  <c r="L371" i="1"/>
  <c r="J36" i="1"/>
  <c r="L36" i="1"/>
  <c r="J89" i="1"/>
  <c r="L89" i="1"/>
  <c r="J170" i="1"/>
  <c r="L170" i="1"/>
  <c r="J116" i="1"/>
  <c r="L116" i="1"/>
  <c r="J374" i="1"/>
  <c r="L374" i="1"/>
  <c r="I1722" i="5"/>
  <c r="I849" i="5"/>
  <c r="I2014" i="5"/>
  <c r="I1085" i="5"/>
  <c r="I446" i="5"/>
  <c r="I449" i="5"/>
  <c r="I447" i="5"/>
  <c r="I448" i="5"/>
  <c r="I838" i="5"/>
  <c r="I605" i="5"/>
  <c r="I603" i="5"/>
  <c r="I649" i="5"/>
  <c r="I648" i="5"/>
  <c r="I651" i="5"/>
  <c r="I463" i="5"/>
  <c r="I462" i="5"/>
  <c r="I2176" i="5"/>
  <c r="I2179" i="5"/>
  <c r="I2178" i="5"/>
  <c r="I103" i="5"/>
  <c r="I1355" i="5"/>
  <c r="I1356" i="5"/>
  <c r="I1357" i="5"/>
  <c r="I1347" i="5"/>
  <c r="I1693" i="5"/>
  <c r="I2039" i="5"/>
  <c r="I2089" i="5"/>
  <c r="I1549" i="5"/>
  <c r="I1059" i="5"/>
  <c r="I1060" i="5"/>
  <c r="I1061" i="5"/>
  <c r="I1062" i="5"/>
  <c r="I1839" i="5"/>
  <c r="I1840" i="5"/>
  <c r="I1836" i="5"/>
  <c r="I1841" i="5"/>
  <c r="I1385" i="5"/>
  <c r="I2235" i="5"/>
  <c r="I2237" i="5"/>
  <c r="I341" i="5"/>
  <c r="I343" i="5"/>
  <c r="I355" i="5"/>
  <c r="I65" i="5"/>
  <c r="I1107" i="5"/>
  <c r="I97" i="5"/>
  <c r="I2335" i="5"/>
  <c r="I2336" i="5"/>
  <c r="I277" i="5"/>
  <c r="I278" i="5"/>
  <c r="I279" i="5"/>
  <c r="I2239" i="5"/>
  <c r="I145" i="5"/>
  <c r="I1189" i="5"/>
  <c r="I951" i="5"/>
  <c r="I2312" i="5"/>
  <c r="I2311" i="5"/>
  <c r="I2315" i="5"/>
  <c r="I1372" i="5"/>
  <c r="I1373" i="5"/>
  <c r="I1374" i="5"/>
  <c r="I2177" i="5"/>
  <c r="I265" i="5"/>
  <c r="I512" i="5"/>
  <c r="I2307" i="5"/>
  <c r="I2004" i="5"/>
  <c r="I2003" i="5"/>
  <c r="I2005" i="5"/>
  <c r="I1442" i="5"/>
  <c r="I74" i="5"/>
  <c r="I73" i="5"/>
  <c r="I1271" i="5"/>
  <c r="I123" i="5"/>
  <c r="I1591" i="5"/>
  <c r="I2050" i="5"/>
  <c r="I2052" i="5"/>
  <c r="I2209" i="5"/>
  <c r="I2211" i="5"/>
  <c r="I2210" i="5"/>
  <c r="I2208" i="5"/>
  <c r="I2215" i="5"/>
  <c r="I2214" i="5"/>
  <c r="I2213" i="5"/>
  <c r="I674" i="5"/>
  <c r="I676" i="5"/>
  <c r="I675" i="5"/>
  <c r="I1167" i="5"/>
  <c r="I1170" i="5"/>
  <c r="I1165" i="5"/>
  <c r="I1166" i="5"/>
  <c r="I80" i="5"/>
  <c r="I81" i="5"/>
  <c r="I82" i="5"/>
  <c r="I1878" i="5"/>
  <c r="I1876" i="5"/>
  <c r="I1875" i="5"/>
  <c r="I1879" i="5"/>
  <c r="I1833" i="5"/>
  <c r="I337" i="5"/>
  <c r="I1513" i="5"/>
  <c r="I635" i="5"/>
  <c r="I817" i="5"/>
  <c r="I1561" i="5"/>
  <c r="I1411" i="5"/>
  <c r="I1410" i="5"/>
  <c r="I2248" i="5"/>
  <c r="I2242" i="5"/>
  <c r="I2246" i="5"/>
  <c r="I2245" i="5"/>
  <c r="I2247" i="5"/>
  <c r="I1707" i="5"/>
  <c r="I1748" i="5"/>
  <c r="I1746" i="5"/>
  <c r="I1747" i="5"/>
  <c r="I85" i="5"/>
  <c r="I464" i="5"/>
  <c r="I57" i="5"/>
  <c r="I1114" i="5"/>
  <c r="I2358" i="5"/>
  <c r="I780" i="5"/>
  <c r="I779" i="5"/>
  <c r="I784" i="5"/>
  <c r="I781" i="5"/>
  <c r="I782" i="5"/>
  <c r="I531" i="5"/>
  <c r="I532" i="5"/>
  <c r="I524" i="5"/>
  <c r="I526" i="5"/>
  <c r="I527" i="5"/>
  <c r="I529" i="5"/>
  <c r="I525" i="5"/>
  <c r="I544" i="5"/>
  <c r="I546" i="5"/>
  <c r="I545" i="5"/>
  <c r="I543" i="5"/>
  <c r="I542" i="5"/>
  <c r="I2332" i="5"/>
  <c r="I1111" i="5"/>
  <c r="I1113" i="5"/>
  <c r="I438" i="5"/>
  <c r="I437" i="5"/>
  <c r="I439" i="5"/>
  <c r="I1626" i="5"/>
  <c r="I1358" i="5"/>
  <c r="I553" i="5"/>
  <c r="I556" i="5"/>
  <c r="I552" i="5"/>
  <c r="I554" i="5"/>
  <c r="I550" i="5"/>
  <c r="I555" i="5"/>
  <c r="I1482" i="5"/>
  <c r="I1480" i="5"/>
  <c r="I1481" i="5"/>
  <c r="I1483" i="5"/>
  <c r="I1926" i="5"/>
  <c r="I1928" i="5"/>
  <c r="I1927" i="5"/>
  <c r="I1070" i="5"/>
  <c r="I309" i="5"/>
  <c r="I130" i="5"/>
  <c r="I985" i="5"/>
  <c r="I987" i="5"/>
  <c r="I823" i="5"/>
  <c r="I822" i="5"/>
  <c r="I820" i="5"/>
  <c r="I824" i="5"/>
  <c r="I826" i="5"/>
  <c r="I821" i="5"/>
  <c r="I825" i="5"/>
  <c r="I827" i="5"/>
  <c r="I454" i="5"/>
  <c r="I455" i="5"/>
  <c r="I458" i="5"/>
  <c r="I456" i="5"/>
  <c r="I453" i="5"/>
  <c r="I459" i="5"/>
  <c r="I656" i="5"/>
  <c r="I654" i="5"/>
  <c r="I657" i="5"/>
  <c r="I1124" i="5"/>
  <c r="I1123" i="5"/>
  <c r="I1125" i="5"/>
  <c r="I735" i="5"/>
  <c r="I734" i="5"/>
  <c r="I733" i="5"/>
  <c r="I729" i="5"/>
  <c r="I731" i="5"/>
  <c r="I736" i="5"/>
  <c r="I489" i="5"/>
  <c r="I591" i="5"/>
  <c r="I1530" i="5"/>
  <c r="I1535" i="5"/>
  <c r="I1584" i="5"/>
  <c r="I2348" i="5"/>
  <c r="I175" i="5"/>
  <c r="I13" i="5"/>
  <c r="I18" i="5"/>
  <c r="I520" i="5"/>
  <c r="I2380" i="5"/>
  <c r="I2384" i="5"/>
  <c r="I487" i="5"/>
  <c r="I1532" i="5"/>
  <c r="I2346" i="5"/>
  <c r="I173" i="5"/>
  <c r="I180" i="5"/>
  <c r="I1055" i="5"/>
  <c r="I1056" i="5"/>
  <c r="I14" i="5"/>
  <c r="I90" i="5"/>
  <c r="I2192" i="5"/>
  <c r="I2193" i="5"/>
  <c r="I1580" i="5"/>
  <c r="I1585" i="5"/>
  <c r="I1042" i="5"/>
  <c r="I1045" i="5"/>
  <c r="I616" i="5"/>
  <c r="I620" i="5"/>
  <c r="I2340" i="5"/>
  <c r="I2343" i="5"/>
  <c r="I586" i="5"/>
  <c r="I488" i="5"/>
  <c r="I517" i="5"/>
  <c r="I522" i="5"/>
  <c r="I89" i="5"/>
  <c r="I590" i="5"/>
  <c r="I589" i="5"/>
  <c r="I592" i="5"/>
  <c r="I519" i="5"/>
  <c r="I828" i="5"/>
  <c r="I86" i="5"/>
  <c r="I1376" i="5"/>
  <c r="I1359" i="5"/>
  <c r="I1414" i="5"/>
  <c r="I1063" i="5"/>
  <c r="I2180" i="5"/>
  <c r="I1484" i="5"/>
  <c r="I2054" i="5"/>
  <c r="I465" i="5"/>
  <c r="I1749" i="5"/>
  <c r="I450" i="5"/>
  <c r="I92" i="5"/>
  <c r="I2349" i="5"/>
  <c r="I557" i="5"/>
  <c r="I547" i="5"/>
  <c r="I533" i="5"/>
  <c r="I490" i="5"/>
  <c r="I280" i="5"/>
  <c r="I606" i="5"/>
  <c r="I2337" i="5"/>
  <c r="L119" i="1"/>
  <c r="J121" i="1"/>
  <c r="E16" i="2"/>
  <c r="L286" i="1"/>
  <c r="E20" i="2"/>
  <c r="L56" i="1"/>
  <c r="J58" i="1"/>
  <c r="E12" i="2"/>
  <c r="L320" i="1"/>
  <c r="J322" i="1"/>
  <c r="E22" i="2"/>
  <c r="L175" i="1"/>
  <c r="J177" i="1"/>
  <c r="E18" i="2"/>
  <c r="L404" i="1"/>
  <c r="J406" i="1"/>
  <c r="E31" i="2"/>
  <c r="L376" i="1"/>
  <c r="J378" i="1"/>
  <c r="E29" i="2"/>
  <c r="L97" i="1"/>
  <c r="J99" i="1"/>
  <c r="E14" i="2"/>
  <c r="L333" i="1"/>
  <c r="J335" i="1"/>
  <c r="E24" i="2"/>
  <c r="E14" i="4"/>
  <c r="E16" i="3"/>
  <c r="C16" i="3"/>
  <c r="J16" i="3"/>
  <c r="M14" i="4"/>
  <c r="D16" i="3"/>
  <c r="F16" i="3"/>
  <c r="I14" i="4"/>
  <c r="L16" i="3"/>
  <c r="M16" i="3"/>
  <c r="H16" i="3"/>
  <c r="G14" i="4"/>
  <c r="C14" i="4"/>
  <c r="D14" i="4"/>
  <c r="J14" i="4"/>
  <c r="F14" i="4"/>
  <c r="B14" i="4"/>
  <c r="K14" i="4"/>
  <c r="B16" i="3"/>
  <c r="G16" i="3"/>
  <c r="H14" i="4"/>
  <c r="K16" i="3"/>
  <c r="L14" i="4"/>
  <c r="I16" i="3"/>
  <c r="H22" i="3"/>
  <c r="I22" i="3"/>
  <c r="D20" i="4"/>
  <c r="M20" i="4"/>
  <c r="L20" i="4"/>
  <c r="B20" i="4"/>
  <c r="G22" i="3"/>
  <c r="E22" i="3"/>
  <c r="F20" i="4"/>
  <c r="J22" i="3"/>
  <c r="M22" i="3"/>
  <c r="J20" i="4"/>
  <c r="C22" i="3"/>
  <c r="I20" i="4"/>
  <c r="E20" i="4"/>
  <c r="G20" i="4"/>
  <c r="K20" i="4"/>
  <c r="C20" i="4"/>
  <c r="F22" i="3"/>
  <c r="K22" i="3"/>
  <c r="H20" i="4"/>
  <c r="L22" i="3"/>
  <c r="B22" i="3"/>
  <c r="D22" i="3"/>
  <c r="H26" i="3"/>
  <c r="B26" i="3"/>
  <c r="H24" i="4"/>
  <c r="E26" i="3"/>
  <c r="I24" i="4"/>
  <c r="C26" i="3"/>
  <c r="M24" i="4"/>
  <c r="C24" i="4"/>
  <c r="I26" i="3"/>
  <c r="K26" i="3"/>
  <c r="D26" i="3"/>
  <c r="J24" i="4"/>
  <c r="F24" i="4"/>
  <c r="B24" i="4"/>
  <c r="D24" i="4"/>
  <c r="F26" i="3"/>
  <c r="G24" i="4"/>
  <c r="L24" i="4"/>
  <c r="G26" i="3"/>
  <c r="J26" i="3"/>
  <c r="K24" i="4"/>
  <c r="E24" i="4"/>
  <c r="L26" i="3"/>
  <c r="M26" i="3"/>
  <c r="B30" i="3"/>
  <c r="C28" i="4"/>
  <c r="M28" i="4"/>
  <c r="I30" i="3"/>
  <c r="K28" i="4"/>
  <c r="F30" i="3"/>
  <c r="J28" i="4"/>
  <c r="E30" i="3"/>
  <c r="D28" i="4"/>
  <c r="H28" i="4"/>
  <c r="I28" i="4"/>
  <c r="J30" i="3"/>
  <c r="L30" i="3"/>
  <c r="G30" i="3"/>
  <c r="K30" i="3"/>
  <c r="H30" i="3"/>
  <c r="E28" i="4"/>
  <c r="F28" i="4"/>
  <c r="C30" i="3"/>
  <c r="D30" i="3"/>
  <c r="G28" i="4"/>
  <c r="B28" i="4"/>
  <c r="L28" i="4"/>
  <c r="M30" i="3"/>
  <c r="C22" i="4"/>
  <c r="J24" i="3"/>
  <c r="F22" i="4"/>
  <c r="L22" i="4"/>
  <c r="M22" i="4"/>
  <c r="E24" i="3"/>
  <c r="F24" i="3"/>
  <c r="H22" i="4"/>
  <c r="L24" i="3"/>
  <c r="M24" i="3"/>
  <c r="D24" i="3"/>
  <c r="E22" i="4"/>
  <c r="B24" i="3"/>
  <c r="H24" i="3"/>
  <c r="I22" i="4"/>
  <c r="D22" i="4"/>
  <c r="K22" i="4"/>
  <c r="C24" i="3"/>
  <c r="K24" i="3"/>
  <c r="J22" i="4"/>
  <c r="B22" i="4"/>
  <c r="G24" i="3"/>
  <c r="I24" i="3"/>
  <c r="G22" i="4"/>
  <c r="E16" i="4"/>
  <c r="D18" i="3"/>
  <c r="M16" i="4"/>
  <c r="B16" i="4"/>
  <c r="L18" i="3"/>
  <c r="H16" i="4"/>
  <c r="F18" i="3"/>
  <c r="J16" i="4"/>
  <c r="C16" i="4"/>
  <c r="F16" i="4"/>
  <c r="M18" i="3"/>
  <c r="J18" i="3"/>
  <c r="K16" i="4"/>
  <c r="H18" i="3"/>
  <c r="B18" i="3"/>
  <c r="C18" i="3"/>
  <c r="I16" i="4"/>
  <c r="K18" i="3"/>
  <c r="D16" i="4"/>
  <c r="G16" i="4"/>
  <c r="E18" i="3"/>
  <c r="L16" i="4"/>
  <c r="G18" i="3"/>
  <c r="I18" i="3"/>
  <c r="D30" i="4"/>
  <c r="K30" i="4"/>
  <c r="K32" i="3"/>
  <c r="J30" i="4"/>
  <c r="G32" i="3"/>
  <c r="M32" i="3"/>
  <c r="D32" i="3"/>
  <c r="M30" i="4"/>
  <c r="E32" i="3"/>
  <c r="J32" i="3"/>
  <c r="H30" i="4"/>
  <c r="H32" i="3"/>
  <c r="B32" i="3"/>
  <c r="L32" i="3"/>
  <c r="C30" i="4"/>
  <c r="I30" i="4"/>
  <c r="F32" i="3"/>
  <c r="F30" i="4"/>
  <c r="G30" i="4"/>
  <c r="C32" i="3"/>
  <c r="L30" i="4"/>
  <c r="I32" i="3"/>
  <c r="E30" i="4"/>
  <c r="B30" i="4"/>
  <c r="J12" i="4"/>
  <c r="I14" i="3"/>
  <c r="D14" i="3"/>
  <c r="C12" i="4"/>
  <c r="L14" i="3"/>
  <c r="G12" i="4"/>
  <c r="H14" i="3"/>
  <c r="D12" i="4"/>
  <c r="B14" i="3"/>
  <c r="G14" i="3"/>
  <c r="C14" i="3"/>
  <c r="K14" i="3"/>
  <c r="I12" i="4"/>
  <c r="F14" i="3"/>
  <c r="M14" i="3"/>
  <c r="L12" i="4"/>
  <c r="M12" i="4"/>
  <c r="F12" i="4"/>
  <c r="J14" i="3"/>
  <c r="B12" i="4"/>
  <c r="K12" i="4"/>
  <c r="E14" i="3"/>
  <c r="E12" i="4"/>
  <c r="H12" i="4"/>
  <c r="H20" i="3"/>
  <c r="B20" i="3"/>
  <c r="I18" i="4"/>
  <c r="C20" i="3"/>
  <c r="D18" i="4"/>
  <c r="E18" i="4"/>
  <c r="F18" i="4"/>
  <c r="L18" i="4"/>
  <c r="D20" i="3"/>
  <c r="K18" i="4"/>
  <c r="F20" i="3"/>
  <c r="M18" i="4"/>
  <c r="G18" i="4"/>
  <c r="K20" i="3"/>
  <c r="J20" i="3"/>
  <c r="G20" i="3"/>
  <c r="H18" i="4"/>
  <c r="J18" i="4"/>
  <c r="M20" i="3"/>
  <c r="C18" i="4"/>
  <c r="L20" i="3"/>
  <c r="I20" i="3"/>
  <c r="B18" i="4"/>
  <c r="E20" i="3"/>
</calcChain>
</file>

<file path=xl/sharedStrings.xml><?xml version="1.0" encoding="utf-8"?>
<sst xmlns="http://schemas.openxmlformats.org/spreadsheetml/2006/main" count="4360" uniqueCount="764">
  <si>
    <t>Const Cost</t>
  </si>
  <si>
    <t>12/31 Const</t>
  </si>
  <si>
    <t>Space Type</t>
  </si>
  <si>
    <t>Per GSF</t>
  </si>
  <si>
    <t>ENR Cost</t>
  </si>
  <si>
    <t>Cost</t>
  </si>
  <si>
    <t>Const Costs</t>
  </si>
  <si>
    <t>and Univ</t>
  </si>
  <si>
    <t>BOR No</t>
  </si>
  <si>
    <t>Projects</t>
  </si>
  <si>
    <t>ENR</t>
  </si>
  <si>
    <t>Factor</t>
  </si>
  <si>
    <t>GSF</t>
  </si>
  <si>
    <t>in $</t>
  </si>
  <si>
    <t xml:space="preserve">  $</t>
  </si>
  <si>
    <t xml:space="preserve"> $</t>
  </si>
  <si>
    <t>Classrooms</t>
  </si>
  <si>
    <t>USF</t>
  </si>
  <si>
    <t>FAMU</t>
  </si>
  <si>
    <t>FSU</t>
  </si>
  <si>
    <t>UCF</t>
  </si>
  <si>
    <t>UNF</t>
  </si>
  <si>
    <t>FIU</t>
  </si>
  <si>
    <t>FAU</t>
  </si>
  <si>
    <t>UF</t>
  </si>
  <si>
    <t>Academic Advisement Center</t>
  </si>
  <si>
    <t>Appleton Museum Expansion</t>
  </si>
  <si>
    <t>College of Business Addition</t>
  </si>
  <si>
    <t>Communications Building</t>
  </si>
  <si>
    <t>UWF</t>
  </si>
  <si>
    <t>Psychology Building</t>
  </si>
  <si>
    <t>New College Fine Arts Gallery/Studio</t>
  </si>
  <si>
    <t>04-97</t>
  </si>
  <si>
    <t>TOTAL</t>
  </si>
  <si>
    <t>Weighted Average Construction Cost for Classrooms</t>
  </si>
  <si>
    <t>Teaching Laboratories</t>
  </si>
  <si>
    <t>05-93</t>
  </si>
  <si>
    <t>Arts Complex</t>
  </si>
  <si>
    <t>Computer Center Expansion</t>
  </si>
  <si>
    <t>08-94</t>
  </si>
  <si>
    <t>Astronomy Laboratory</t>
  </si>
  <si>
    <t>Weighted Average Construction Cost for Teaching Laboratories</t>
  </si>
  <si>
    <t>Study</t>
  </si>
  <si>
    <t>Engineering/Science Library Complex</t>
  </si>
  <si>
    <t>02-84</t>
  </si>
  <si>
    <t>Sarasota Campus Branch Library</t>
  </si>
  <si>
    <t>01-84</t>
  </si>
  <si>
    <t>Coleman Library Addition</t>
  </si>
  <si>
    <t>04-88</t>
  </si>
  <si>
    <t>J. Wayne Reitz Union</t>
  </si>
  <si>
    <t>01-95</t>
  </si>
  <si>
    <t>Weighted Average Construction Cost for Study</t>
  </si>
  <si>
    <t>Research Laboratories</t>
  </si>
  <si>
    <t>UF-IFAS</t>
  </si>
  <si>
    <t>02-81</t>
  </si>
  <si>
    <t>10-87</t>
  </si>
  <si>
    <t>01-93</t>
  </si>
  <si>
    <t xml:space="preserve"> 12-93</t>
  </si>
  <si>
    <t>Biotechnology Center</t>
  </si>
  <si>
    <t xml:space="preserve"> 01-94</t>
  </si>
  <si>
    <t>Science Research Facility</t>
  </si>
  <si>
    <t>Archeology Conservatory and Museum</t>
  </si>
  <si>
    <t>Weighted Average Construction Cost for Research Laboratories</t>
  </si>
  <si>
    <t>Offices</t>
  </si>
  <si>
    <t>Multi-Purpose Stadium</t>
  </si>
  <si>
    <t>Police Building</t>
  </si>
  <si>
    <t>12-94</t>
  </si>
  <si>
    <t>CUTR</t>
  </si>
  <si>
    <t>Mildred and Claude Pepper Building</t>
  </si>
  <si>
    <t>Housing Administration Building</t>
  </si>
  <si>
    <t>09-96</t>
  </si>
  <si>
    <t>Multipurpose Educational Complex</t>
  </si>
  <si>
    <t>Public Safety Facility</t>
  </si>
  <si>
    <t xml:space="preserve">Campus Support Complex </t>
  </si>
  <si>
    <t>Weighted Average Construction Cost for Offices</t>
  </si>
  <si>
    <t>Auditorium/Exhibition</t>
  </si>
  <si>
    <t>University Center Renovation/Expansion</t>
  </si>
  <si>
    <t>Lifelong Learning Center</t>
  </si>
  <si>
    <t>Weighted Average Construction Cost for Auditorium/Exhibition</t>
  </si>
  <si>
    <t>Instructional Media</t>
  </si>
  <si>
    <t>Public Broadcasting Facilities</t>
  </si>
  <si>
    <t>WUSF-TV/FM Broadcasting Facility</t>
  </si>
  <si>
    <t>WUWF Public Radio Station/TV</t>
  </si>
  <si>
    <t>09-91</t>
  </si>
  <si>
    <t>Weighted Average Construction Cost for Instructional Media</t>
  </si>
  <si>
    <t>Student Academic Support</t>
  </si>
  <si>
    <t>Student Union</t>
  </si>
  <si>
    <t xml:space="preserve"> 12-92</t>
  </si>
  <si>
    <t>Recreational Sports Facility</t>
  </si>
  <si>
    <t>Graham Center Addition</t>
  </si>
  <si>
    <t>Conference Center</t>
  </si>
  <si>
    <t>Weighted Average Construction Cost for Student Academic Support</t>
  </si>
  <si>
    <t>Gymnasium</t>
  </si>
  <si>
    <t>Teaching Gymnasium</t>
  </si>
  <si>
    <t>07-91</t>
  </si>
  <si>
    <t>Tampa Recreational/Sun Dome</t>
  </si>
  <si>
    <t>Fitness Center</t>
  </si>
  <si>
    <t>Leach Center Expansion</t>
  </si>
  <si>
    <t xml:space="preserve"> Weighted Average Construction Cost for Gymnasium</t>
  </si>
  <si>
    <t>Campus Support Services</t>
  </si>
  <si>
    <t>Campus Support and Utilities</t>
  </si>
  <si>
    <t xml:space="preserve"> 04-94</t>
  </si>
  <si>
    <t>Campus Service Support Facility</t>
  </si>
  <si>
    <t>HVAC Facility</t>
  </si>
  <si>
    <t>03-95</t>
  </si>
  <si>
    <t>Campus Support Complex</t>
  </si>
  <si>
    <t>Weighted Average Construction Cost for Campus Support Services</t>
  </si>
  <si>
    <t>per GSF</t>
  </si>
  <si>
    <t>Teaching Labs</t>
  </si>
  <si>
    <t>Research Labs</t>
  </si>
  <si>
    <t>Auditorium/Exhibits</t>
  </si>
  <si>
    <t xml:space="preserve">             Engineering News Record index.</t>
  </si>
  <si>
    <t>Classroom Building - Phase I</t>
  </si>
  <si>
    <t>Health and Public Affairs Building</t>
  </si>
  <si>
    <t>Science Lecture Lab/Demonstration Classrooms</t>
  </si>
  <si>
    <t>IFAS Aquatic Food Products Laboratory</t>
  </si>
  <si>
    <t>Anchin Center/Education II Addition</t>
  </si>
  <si>
    <t>Physical Sciences Building</t>
  </si>
  <si>
    <t>Brain Institute</t>
  </si>
  <si>
    <t>Physics Building</t>
  </si>
  <si>
    <t>Engineering Res. Cntr. For Part. Sci. &amp; Tech.</t>
  </si>
  <si>
    <t>Central Florida Combined REC, Apopka</t>
  </si>
  <si>
    <t>General Classroom Building - Phase I</t>
  </si>
  <si>
    <t>Pediatrics Research</t>
  </si>
  <si>
    <t>Health Sciences Research</t>
  </si>
  <si>
    <t>Student Life Building</t>
  </si>
  <si>
    <t>Academic Center/University Center, East Complex (Ph. A)</t>
  </si>
  <si>
    <t>Academic Center/University Center, West Complex (Ph. B)</t>
  </si>
  <si>
    <t>FGCU</t>
  </si>
  <si>
    <t>Campus Support Building</t>
  </si>
  <si>
    <t>Classroom Building/Academic 3</t>
  </si>
  <si>
    <t>FLMNH Exhibition Hall (Powell Hall)</t>
  </si>
  <si>
    <t>Stavros Center</t>
  </si>
  <si>
    <t>UF (E&amp;G),</t>
  </si>
  <si>
    <t>USF (Tampa)</t>
  </si>
  <si>
    <t>and</t>
  </si>
  <si>
    <t>UF (Health Ctr)</t>
  </si>
  <si>
    <t>(Palm Beach)</t>
  </si>
  <si>
    <t>FIU (North Miami)</t>
  </si>
  <si>
    <t>and USF</t>
  </si>
  <si>
    <t>Space</t>
  </si>
  <si>
    <t>(Panama City)</t>
  </si>
  <si>
    <t>FSU (Asolo)</t>
  </si>
  <si>
    <t>(Health Ctr)</t>
  </si>
  <si>
    <t>(St. Pete)</t>
  </si>
  <si>
    <t>Category</t>
  </si>
  <si>
    <t>Auditoriums/Exhibition</t>
  </si>
  <si>
    <t>Gymnasiums</t>
  </si>
  <si>
    <t xml:space="preserve">       Actual cost experience has been adjusted for changes in construction by applying the Engineering News Record Index for </t>
  </si>
  <si>
    <t>UF (IFAS) and UNF</t>
  </si>
  <si>
    <t xml:space="preserve">       Construction Management projects have been added to the database.</t>
  </si>
  <si>
    <t xml:space="preserve">       such as inspections services, artwork, furnishings and equipment, contingency and professional fees.</t>
  </si>
  <si>
    <t>Life Long Learning Center Addition</t>
  </si>
  <si>
    <t>Engineering Building II</t>
  </si>
  <si>
    <t>Fine Arts Building</t>
  </si>
  <si>
    <t>Student Union IV</t>
  </si>
  <si>
    <t>WUSF- TV</t>
  </si>
  <si>
    <t>New College Marine Biology Building</t>
  </si>
  <si>
    <t>Ft. Myers Branch Campus - Phase I</t>
  </si>
  <si>
    <t>Business &amp; Industry Building</t>
  </si>
  <si>
    <t>Panama City Branch Campus - Phase I</t>
  </si>
  <si>
    <t>09-83</t>
  </si>
  <si>
    <t>Engineering Building</t>
  </si>
  <si>
    <t>Physical Science Building</t>
  </si>
  <si>
    <t>Public Health Building</t>
  </si>
  <si>
    <t>Communication and Information Science Bldg</t>
  </si>
  <si>
    <t>10-89</t>
  </si>
  <si>
    <t>Southeast Davie Campus</t>
  </si>
  <si>
    <t>Joint Center for Conflict Resolution</t>
  </si>
  <si>
    <t>05-78</t>
  </si>
  <si>
    <t>12-80</t>
  </si>
  <si>
    <t>Computer Services/Systems Science</t>
  </si>
  <si>
    <t>Fine and Performing Arts</t>
  </si>
  <si>
    <t>12-89</t>
  </si>
  <si>
    <t>Art Complex</t>
  </si>
  <si>
    <t>Education Building</t>
  </si>
  <si>
    <t>DF Schmidt Fine Art Center</t>
  </si>
  <si>
    <t>Health Science Building</t>
  </si>
  <si>
    <t>School of Business &amp; Industry Addition</t>
  </si>
  <si>
    <t>Veterinary Medicine Academic Wing</t>
  </si>
  <si>
    <t>Animal Science</t>
  </si>
  <si>
    <t>Dairy Science</t>
  </si>
  <si>
    <t>03-84</t>
  </si>
  <si>
    <t>Chemistry Building</t>
  </si>
  <si>
    <t>Entomology/Nematology Building</t>
  </si>
  <si>
    <t>Belle Glade Facility</t>
  </si>
  <si>
    <t>Bio-Science Academic Facility</t>
  </si>
  <si>
    <t>Microbiology Cell Science</t>
  </si>
  <si>
    <t>12-92</t>
  </si>
  <si>
    <t>Solar Energy Center</t>
  </si>
  <si>
    <t>Journalism &amp; Communications</t>
  </si>
  <si>
    <t>Educational Research Development Center</t>
  </si>
  <si>
    <t>06-78</t>
  </si>
  <si>
    <t>Student Services Building - NMC/BV</t>
  </si>
  <si>
    <t>Nursing &amp; Allied Health</t>
  </si>
  <si>
    <t>Campus Support Complex - BV</t>
  </si>
  <si>
    <t>Broward Campus - Downtown Ft. Lauderdale</t>
  </si>
  <si>
    <t>Sponsored Research Office Building</t>
  </si>
  <si>
    <t>Social Science Building</t>
  </si>
  <si>
    <t>Student Services Support Facility</t>
  </si>
  <si>
    <t>H. Lee Moffitt Cancer Center Addition</t>
  </si>
  <si>
    <t>Police &amp; Traffic Administration</t>
  </si>
  <si>
    <t>11-77</t>
  </si>
  <si>
    <t>Educational Research Developmental Center</t>
  </si>
  <si>
    <t>Activities</t>
  </si>
  <si>
    <t>Boathouse Pavilion Replacement</t>
  </si>
  <si>
    <t>07-79</t>
  </si>
  <si>
    <t>Student Services Facilities</t>
  </si>
  <si>
    <t>08-79</t>
  </si>
  <si>
    <t>Addition to Student Life Center</t>
  </si>
  <si>
    <t>02-88</t>
  </si>
  <si>
    <t>Student Rec/Fitness Center</t>
  </si>
  <si>
    <t>Reitz Student Union Addition</t>
  </si>
  <si>
    <t>04-90</t>
  </si>
  <si>
    <t>12-81</t>
  </si>
  <si>
    <t>Multi-Purpose Gymnasium/Natatorium</t>
  </si>
  <si>
    <t>Fieldhouse and Track</t>
  </si>
  <si>
    <t>02-90</t>
  </si>
  <si>
    <t>Maintenance Complex</t>
  </si>
  <si>
    <t>9704</t>
  </si>
  <si>
    <t>Duplicating Center</t>
  </si>
  <si>
    <t>03-80</t>
  </si>
  <si>
    <t>Physical Plant Expansion</t>
  </si>
  <si>
    <t>Hazardous Waste Mgmt Fac</t>
  </si>
  <si>
    <t>Plant Operations Building</t>
  </si>
  <si>
    <t xml:space="preserve"> 09-93</t>
  </si>
  <si>
    <t>FAU (Broward),</t>
  </si>
  <si>
    <t>and FAU</t>
  </si>
  <si>
    <t>Projects Included in the Construction Cost Base by NASF Type</t>
  </si>
  <si>
    <t>Univ</t>
  </si>
  <si>
    <t>BOR No.</t>
  </si>
  <si>
    <t>Const. Delivery Method</t>
  </si>
  <si>
    <t>NASF by Type</t>
  </si>
  <si>
    <t>% of NASF         by Type</t>
  </si>
  <si>
    <t>Space Type Recommended to be Included in Construction Base</t>
  </si>
  <si>
    <t>159</t>
  </si>
  <si>
    <t>Bid</t>
  </si>
  <si>
    <t>05/78</t>
  </si>
  <si>
    <t xml:space="preserve"> </t>
  </si>
  <si>
    <t xml:space="preserve">  Classroom</t>
  </si>
  <si>
    <t xml:space="preserve">  Teaching Laboratories</t>
  </si>
  <si>
    <t xml:space="preserve">  Research Laboratories</t>
  </si>
  <si>
    <t xml:space="preserve">  Offices</t>
  </si>
  <si>
    <t xml:space="preserve">  Library</t>
  </si>
  <si>
    <t xml:space="preserve">  Instructional Media</t>
  </si>
  <si>
    <t xml:space="preserve">  Student Services</t>
  </si>
  <si>
    <t xml:space="preserve">  Campus Support Services</t>
  </si>
  <si>
    <t>108</t>
  </si>
  <si>
    <t>02/81</t>
  </si>
  <si>
    <t>125</t>
  </si>
  <si>
    <t>Engineering/Library Complex</t>
  </si>
  <si>
    <t>02/84</t>
  </si>
  <si>
    <t>151</t>
  </si>
  <si>
    <t>03/84</t>
  </si>
  <si>
    <t>154</t>
  </si>
  <si>
    <t>Immokalee Agricultural Research Center</t>
  </si>
  <si>
    <t>12/86</t>
  </si>
  <si>
    <t>184</t>
  </si>
  <si>
    <t>Microkelvin Lab Program</t>
  </si>
  <si>
    <t>10/87</t>
  </si>
  <si>
    <t xml:space="preserve">  Mechanical Room</t>
  </si>
  <si>
    <t>139</t>
  </si>
  <si>
    <t>04/88</t>
  </si>
  <si>
    <t xml:space="preserve">  Classrooms</t>
  </si>
  <si>
    <t xml:space="preserve">  Auditorium/Exhibition</t>
  </si>
  <si>
    <t>173</t>
  </si>
  <si>
    <t>11/88</t>
  </si>
  <si>
    <t>105</t>
  </si>
  <si>
    <t>Student Recreation/Fitness Center</t>
  </si>
  <si>
    <t>12/89</t>
  </si>
  <si>
    <t>190</t>
  </si>
  <si>
    <t>116</t>
  </si>
  <si>
    <t>04/90</t>
  </si>
  <si>
    <t>122</t>
  </si>
  <si>
    <t>12/92</t>
  </si>
  <si>
    <t>152</t>
  </si>
  <si>
    <t>01/93</t>
  </si>
  <si>
    <t>146</t>
  </si>
  <si>
    <t>Hazardous Waste Management Facility</t>
  </si>
  <si>
    <t>05/93</t>
  </si>
  <si>
    <t>Physical Therapy Educational Building</t>
  </si>
  <si>
    <t>10/93</t>
  </si>
  <si>
    <t>12/93</t>
  </si>
  <si>
    <t>01/94</t>
  </si>
  <si>
    <t>03/94</t>
  </si>
  <si>
    <t>01/95</t>
  </si>
  <si>
    <t xml:space="preserve">  Study</t>
  </si>
  <si>
    <t xml:space="preserve">  Other Assignable</t>
  </si>
  <si>
    <t>Specific Pathogen Free Animal Facility</t>
  </si>
  <si>
    <t>10/96</t>
  </si>
  <si>
    <t xml:space="preserve">  Office/Computer</t>
  </si>
  <si>
    <t>CM</t>
  </si>
  <si>
    <t xml:space="preserve">  Teaching Labs</t>
  </si>
  <si>
    <t xml:space="preserve">  Research Labs</t>
  </si>
  <si>
    <t xml:space="preserve">  Support Services</t>
  </si>
  <si>
    <t xml:space="preserve">  Student Academic Support</t>
  </si>
  <si>
    <t>Engineering Res. Cntr. For Particle Sci. &amp; Tech.</t>
  </si>
  <si>
    <t>244</t>
  </si>
  <si>
    <t>Public Broadcasting Facility</t>
  </si>
  <si>
    <t>239</t>
  </si>
  <si>
    <t>Panama City Branch Campus</t>
  </si>
  <si>
    <t>09/83</t>
  </si>
  <si>
    <t>286</t>
  </si>
  <si>
    <t>Multi-Purpose Gymnasium/Natorium</t>
  </si>
  <si>
    <t>10/89</t>
  </si>
  <si>
    <t xml:space="preserve">  Gymnasium</t>
  </si>
  <si>
    <t>209</t>
  </si>
  <si>
    <t>National Magnetic Laboratory</t>
  </si>
  <si>
    <t>08/91</t>
  </si>
  <si>
    <t>204</t>
  </si>
  <si>
    <t>University Center - Phase A</t>
  </si>
  <si>
    <t>12/91</t>
  </si>
  <si>
    <t>08/94</t>
  </si>
  <si>
    <t>11/94</t>
  </si>
  <si>
    <t>05/96</t>
  </si>
  <si>
    <t>07/97</t>
  </si>
  <si>
    <t xml:space="preserve">  Teaching Gymnasium</t>
  </si>
  <si>
    <t>334</t>
  </si>
  <si>
    <t>12/80</t>
  </si>
  <si>
    <t>335</t>
  </si>
  <si>
    <t>11/81</t>
  </si>
  <si>
    <t>353</t>
  </si>
  <si>
    <t>381</t>
  </si>
  <si>
    <t>06/93</t>
  </si>
  <si>
    <t>09/93</t>
  </si>
  <si>
    <t>431</t>
  </si>
  <si>
    <t>10/83</t>
  </si>
  <si>
    <t>448</t>
  </si>
  <si>
    <t>Business Administration Building</t>
  </si>
  <si>
    <t>09/87</t>
  </si>
  <si>
    <t>442</t>
  </si>
  <si>
    <t>02/90</t>
  </si>
  <si>
    <t>456</t>
  </si>
  <si>
    <t>03/90</t>
  </si>
  <si>
    <t>476</t>
  </si>
  <si>
    <t>452</t>
  </si>
  <si>
    <t>467</t>
  </si>
  <si>
    <t>CEBA III Research Facility/CREOL</t>
  </si>
  <si>
    <t>11/93</t>
  </si>
  <si>
    <t>09/94</t>
  </si>
  <si>
    <t>03/95</t>
  </si>
  <si>
    <t>02/96</t>
  </si>
  <si>
    <t>09/96</t>
  </si>
  <si>
    <t>559</t>
  </si>
  <si>
    <t>08/80</t>
  </si>
  <si>
    <t>565</t>
  </si>
  <si>
    <t>01/84</t>
  </si>
  <si>
    <t>550B</t>
  </si>
  <si>
    <t>Fine Arts</t>
  </si>
  <si>
    <t>01/87</t>
  </si>
  <si>
    <t>587</t>
  </si>
  <si>
    <t>WUSF Broadcasting Facility</t>
  </si>
  <si>
    <t>517</t>
  </si>
  <si>
    <t>06/89</t>
  </si>
  <si>
    <t>516</t>
  </si>
  <si>
    <t>513</t>
  </si>
  <si>
    <t>12/90</t>
  </si>
  <si>
    <t>534</t>
  </si>
  <si>
    <t>521</t>
  </si>
  <si>
    <t>Fine Arts Center at Naples</t>
  </si>
  <si>
    <t xml:space="preserve">  Teaching Laboratories              </t>
  </si>
  <si>
    <t>535</t>
  </si>
  <si>
    <t>11/95</t>
  </si>
  <si>
    <t>04/97</t>
  </si>
  <si>
    <t>Stavros Center/Second Floor Addition</t>
  </si>
  <si>
    <t>WUSF-TV</t>
  </si>
  <si>
    <t>609</t>
  </si>
  <si>
    <t>603</t>
  </si>
  <si>
    <t>12/81</t>
  </si>
  <si>
    <t>621</t>
  </si>
  <si>
    <t>Broward Campus - DT Ft. Lauderdale</t>
  </si>
  <si>
    <t>630</t>
  </si>
  <si>
    <t>8/88</t>
  </si>
  <si>
    <t xml:space="preserve">  Office</t>
  </si>
  <si>
    <t>629</t>
  </si>
  <si>
    <t>Science/Engineering Building</t>
  </si>
  <si>
    <t>03/88</t>
  </si>
  <si>
    <t>640</t>
  </si>
  <si>
    <t>02/92</t>
  </si>
  <si>
    <t>686</t>
  </si>
  <si>
    <t>658</t>
  </si>
  <si>
    <t>678</t>
  </si>
  <si>
    <t>04/93</t>
  </si>
  <si>
    <t>08/97</t>
  </si>
  <si>
    <t>725</t>
  </si>
  <si>
    <t>06/78</t>
  </si>
  <si>
    <t>750</t>
  </si>
  <si>
    <t>756</t>
  </si>
  <si>
    <t>03/89</t>
  </si>
  <si>
    <t>771</t>
  </si>
  <si>
    <t>Classroom Lab/Office Building</t>
  </si>
  <si>
    <t>762</t>
  </si>
  <si>
    <t>01/90</t>
  </si>
  <si>
    <t>785</t>
  </si>
  <si>
    <t>09/91</t>
  </si>
  <si>
    <t>12/94</t>
  </si>
  <si>
    <t>12/97</t>
  </si>
  <si>
    <t>824</t>
  </si>
  <si>
    <t>03/80</t>
  </si>
  <si>
    <t>834</t>
  </si>
  <si>
    <t>858</t>
  </si>
  <si>
    <t>12/87</t>
  </si>
  <si>
    <t>861</t>
  </si>
  <si>
    <t>08/88</t>
  </si>
  <si>
    <t>865</t>
  </si>
  <si>
    <t>888</t>
  </si>
  <si>
    <t>09/97</t>
  </si>
  <si>
    <t>922</t>
  </si>
  <si>
    <t>07/79</t>
  </si>
  <si>
    <t>938</t>
  </si>
  <si>
    <t>JEM Computer &amp; Information Sciences Bldg.</t>
  </si>
  <si>
    <t>941</t>
  </si>
  <si>
    <t>Student Life Center Addition</t>
  </si>
  <si>
    <t>02/88</t>
  </si>
  <si>
    <t>955</t>
  </si>
  <si>
    <t>07/91</t>
  </si>
  <si>
    <t>967</t>
  </si>
  <si>
    <t>04/94</t>
  </si>
  <si>
    <t>02/95</t>
  </si>
  <si>
    <t>02/97</t>
  </si>
  <si>
    <t>Classroom Building / Academic 3</t>
  </si>
  <si>
    <t xml:space="preserve">  Office Computer</t>
  </si>
  <si>
    <t>Bio-Medical Science Building</t>
  </si>
  <si>
    <t>Co-Ed Multi-Use Indoor Athletic Facility</t>
  </si>
  <si>
    <t>Bio-Medical Science Center</t>
  </si>
  <si>
    <t>School of Business and Industry, West Wing</t>
  </si>
  <si>
    <t>Ware Rhaney Expansion/Remodeling</t>
  </si>
  <si>
    <t>Engineering Building III</t>
  </si>
  <si>
    <t>Business School Hospitality Program Improvements</t>
  </si>
  <si>
    <t>Southwest Recreation Center Expansion Phase II</t>
  </si>
  <si>
    <t>Reitz Union Expansion</t>
  </si>
  <si>
    <t>North Florida Research &amp; Education Center, Phase II</t>
  </si>
  <si>
    <t>Indian River Research &amp; Education Center</t>
  </si>
  <si>
    <t>Center for Public Safety</t>
  </si>
  <si>
    <t>Health &amp; Public Affairs II</t>
  </si>
  <si>
    <t>Recreational Services Facility</t>
  </si>
  <si>
    <t>Science, Math &amp; Technology Building</t>
  </si>
  <si>
    <t>Business Administration Building II</t>
  </si>
  <si>
    <t>Biological Sciences Annex</t>
  </si>
  <si>
    <t>Honors College</t>
  </si>
  <si>
    <t>Multi-Lingual Multi-Cultural Center</t>
  </si>
  <si>
    <t>Teaching Center-Academy</t>
  </si>
  <si>
    <t>n/a</t>
  </si>
  <si>
    <t>Multi-Function Support Complex</t>
  </si>
  <si>
    <t>School of Architecture</t>
  </si>
  <si>
    <t>Science &amp; Engineering</t>
  </si>
  <si>
    <t xml:space="preserve">  Research Labs </t>
  </si>
  <si>
    <t>FAMU/FSU</t>
  </si>
  <si>
    <t>FAMU/</t>
  </si>
  <si>
    <t>Challenger Learning Center</t>
  </si>
  <si>
    <t>School of Business &amp; Industry, West Wing</t>
  </si>
  <si>
    <t>Pharmacy Building</t>
  </si>
  <si>
    <t>Teaching Gym</t>
  </si>
  <si>
    <t>Academic 4 - Fine Arts</t>
  </si>
  <si>
    <t>M. E. Rinker Sr. Hall, School of Building Construction</t>
  </si>
  <si>
    <t xml:space="preserve">  Stud Acad Suppt.</t>
  </si>
  <si>
    <t>629A</t>
  </si>
  <si>
    <t>Campus Support Services Building</t>
  </si>
  <si>
    <t>Life Behavioral Science Complex</t>
  </si>
  <si>
    <t>Hibel Museum of Art, North Palm Beach Campus</t>
  </si>
  <si>
    <t>Student Services Facility in Parking Garage #2</t>
  </si>
  <si>
    <t>Tibbals Learning Center</t>
  </si>
  <si>
    <t>School of Journalism, Media &amp; Graphic Arts Building</t>
  </si>
  <si>
    <t>Coleman Library Expansion Phase II</t>
  </si>
  <si>
    <t xml:space="preserve"> Study</t>
  </si>
  <si>
    <t>Pharmacy Building &amp; Pharmaceutical Research Center</t>
  </si>
  <si>
    <t>Student Support Services Building</t>
  </si>
  <si>
    <t>Life Behavioral Science Complex Phase II</t>
  </si>
  <si>
    <t>Health Care &amp; Wellness Center</t>
  </si>
  <si>
    <t>FIU/FMC Cooperative Use Facility</t>
  </si>
  <si>
    <t>Multipurpose Building</t>
  </si>
  <si>
    <t>Constans Theatre Addition</t>
  </si>
  <si>
    <t>Accounting Classroom Building</t>
  </si>
  <si>
    <t>McGuire Center for Lepidoptera Research</t>
  </si>
  <si>
    <t>Medical School/Basic Sciences Complex</t>
  </si>
  <si>
    <t xml:space="preserve">  Stud Academic Support</t>
  </si>
  <si>
    <t>Alumni Center</t>
  </si>
  <si>
    <t>Student Support Center</t>
  </si>
  <si>
    <t>Quinn Hall COBA Building Expansion</t>
  </si>
  <si>
    <t>Natural &amp; Environmental Science Building</t>
  </si>
  <si>
    <t xml:space="preserve">  Other</t>
  </si>
  <si>
    <t>Recreation Center</t>
  </si>
  <si>
    <t>Recreational Center</t>
  </si>
  <si>
    <t>Health &amp; Life Sciences Phase II</t>
  </si>
  <si>
    <t>International House Village/Classroom Facility</t>
  </si>
  <si>
    <t>Health Leisure &amp; Sports Facility</t>
  </si>
  <si>
    <t xml:space="preserve">  Teaching Gym</t>
  </si>
  <si>
    <t>College of Business</t>
  </si>
  <si>
    <t>DeSantis Pavillion</t>
  </si>
  <si>
    <t>Jupiter Library Expansion &amp; Classroom Building</t>
  </si>
  <si>
    <t>Mary Ann Harn Cofrin Pavilion</t>
  </si>
  <si>
    <t>Psychology Center Phase 1 and 2</t>
  </si>
  <si>
    <t>Asolo Theatre/Visitors Services Center</t>
  </si>
  <si>
    <t>Main Galleries Expansion</t>
  </si>
  <si>
    <t>College of Law</t>
  </si>
  <si>
    <t>Health Care &amp; Education Ctr Children's Medical Services Facility</t>
  </si>
  <si>
    <t>College of Nursing Expansion and Renovations</t>
  </si>
  <si>
    <t>Nanotechnology 1 Facility</t>
  </si>
  <si>
    <t>USF-SM Instructional Facility Building</t>
  </si>
  <si>
    <t>FAU/Scripps Joint Use Facility</t>
  </si>
  <si>
    <t>College of Nursing</t>
  </si>
  <si>
    <t>Louis &amp; Anne Green Memory &amp; Wellness Center</t>
  </si>
  <si>
    <t>Marine Biology</t>
  </si>
  <si>
    <t>Patrica &amp; Phillip Frost Museum</t>
  </si>
  <si>
    <t>Central Utilities Plan Sub Station - Part B</t>
  </si>
  <si>
    <t>Lifelong Learning Complex</t>
  </si>
  <si>
    <t>School of Law</t>
  </si>
  <si>
    <t>Library Addition</t>
  </si>
  <si>
    <t>BID</t>
  </si>
  <si>
    <t>Health Education Center</t>
  </si>
  <si>
    <t>Student Health Center</t>
  </si>
  <si>
    <t>000</t>
  </si>
  <si>
    <t>Veterinary Medicine Food Animal Facility</t>
  </si>
  <si>
    <t>DB</t>
  </si>
  <si>
    <t>Powell Structures and Materials Testing Laboratory</t>
  </si>
  <si>
    <t>Whitney Center for Marine Studies</t>
  </si>
  <si>
    <t>New Chemistry Research Building</t>
  </si>
  <si>
    <t>FSU New Classroom Building</t>
  </si>
  <si>
    <t>Marine Science Partnership</t>
  </si>
  <si>
    <t>FAU/HBOI Marine Science Partnership</t>
  </si>
  <si>
    <t>Library Expansion/Renovation</t>
  </si>
  <si>
    <t>Psychology</t>
  </si>
  <si>
    <t>GRADUATE SCHOOL OF BUSINESS</t>
  </si>
  <si>
    <t>Graduate School of Business</t>
  </si>
  <si>
    <t>Social Science Building - Building #51</t>
  </si>
  <si>
    <t xml:space="preserve">  Student Academic Support </t>
  </si>
  <si>
    <t>Academic 5 Bldg</t>
  </si>
  <si>
    <t xml:space="preserve">       Construction Management projects have been added to the database.  A factor of 20.3 is included for BOG allowable add-ons</t>
  </si>
  <si>
    <t>USF Sar/Manatee</t>
  </si>
  <si>
    <t>New College and</t>
  </si>
  <si>
    <t>FIU (Univ Park)</t>
  </si>
  <si>
    <t xml:space="preserve">Construction Cost Workpapers </t>
  </si>
  <si>
    <t>New Classroom Building</t>
  </si>
  <si>
    <t>BOARD OF GOVERNORS</t>
  </si>
  <si>
    <t xml:space="preserve">STATE UNIVERSITY SYSTEM OF FLORIDA </t>
  </si>
  <si>
    <t>Nanoscale Research Facility</t>
  </si>
  <si>
    <t>Graham Center at Pugh Hall</t>
  </si>
  <si>
    <t>Graham Center at Pugh Center</t>
  </si>
  <si>
    <t>Indian River REC Biological and Agricultural Research</t>
  </si>
  <si>
    <t>Psychology Building Phase II</t>
  </si>
  <si>
    <t>Life Sciences</t>
  </si>
  <si>
    <t>Academic Center</t>
  </si>
  <si>
    <t>Administrative Services Center</t>
  </si>
  <si>
    <t xml:space="preserve">  Campus Support</t>
  </si>
  <si>
    <t>Student Activity Center Davie</t>
  </si>
  <si>
    <t>Bldg 22 Computer Center Expansion</t>
  </si>
  <si>
    <t>D/B</t>
  </si>
  <si>
    <t>Joint Military Sciences Leadership Center</t>
  </si>
  <si>
    <t>Materials Research Building</t>
  </si>
  <si>
    <t>Student Success Center</t>
  </si>
  <si>
    <t>Port St. Lucie  - Phase II Classroom Facility</t>
  </si>
  <si>
    <t>COB Office Depot Center for Executive Education</t>
  </si>
  <si>
    <t>Marleen &amp; Harold Forkas Alumni Center</t>
  </si>
  <si>
    <t>679</t>
  </si>
  <si>
    <t>Bio Medical Science Center</t>
  </si>
  <si>
    <t>Biomedical Sciences Building</t>
  </si>
  <si>
    <t>George Steinbrenner Band Building</t>
  </si>
  <si>
    <t>207</t>
  </si>
  <si>
    <t>Parking Services Building</t>
  </si>
  <si>
    <t>Brooks College of Health Addition</t>
  </si>
  <si>
    <t>College of Education &amp; Human Services</t>
  </si>
  <si>
    <t>Hospitality Management</t>
  </si>
  <si>
    <t>Teaching Gymnasium MultiPurpose Center</t>
  </si>
  <si>
    <t xml:space="preserve">Factor= </t>
  </si>
  <si>
    <t>Hough Hall Graduate Studies Building</t>
  </si>
  <si>
    <t>Pathogen Research Facility</t>
  </si>
  <si>
    <t>284A</t>
  </si>
  <si>
    <t>Student Success Center Phase II</t>
  </si>
  <si>
    <t>USF-StP Science/Tech/General Academic</t>
  </si>
  <si>
    <t>College of Nursing &amp; Health Sciences Lab Clinic</t>
  </si>
  <si>
    <t>Academic 7</t>
  </si>
  <si>
    <t>College of Nursing&amp;Health Sciences</t>
  </si>
  <si>
    <t>Student Success Center-Phase II</t>
  </si>
  <si>
    <t>Hazardous Waste Expansion</t>
  </si>
  <si>
    <t>Counseling &amp; Wellness Center</t>
  </si>
  <si>
    <t>Dental Clinic</t>
  </si>
  <si>
    <t>Classroom</t>
  </si>
  <si>
    <t>Physical Sciences Phase II</t>
  </si>
  <si>
    <t>Arts Complex II - Performance</t>
  </si>
  <si>
    <t>Partnership III Building</t>
  </si>
  <si>
    <t>Visual and Performing Arts Teaching Facility</t>
  </si>
  <si>
    <t>Patel Center for Global Solutions</t>
  </si>
  <si>
    <t>Davie Campus FAU/UF Joint Use Facility</t>
  </si>
  <si>
    <t>General Classroom Building Phase I</t>
  </si>
  <si>
    <t xml:space="preserve">Offices </t>
  </si>
  <si>
    <t>Science &amp; Technology</t>
  </si>
  <si>
    <t xml:space="preserve">  Instructional Media </t>
  </si>
  <si>
    <t>Dental Clinic - Naples</t>
  </si>
  <si>
    <t>Physical Science Building Phase II</t>
  </si>
  <si>
    <t>Physical Sciences Building Phase II</t>
  </si>
  <si>
    <t>Visual &amp; Performing Arts Teaching Facility</t>
  </si>
  <si>
    <t>528</t>
  </si>
  <si>
    <t>550</t>
  </si>
  <si>
    <t>Science &amp; Humanities Building</t>
  </si>
  <si>
    <t xml:space="preserve">   Research Laboratories</t>
  </si>
  <si>
    <t>Science &amp; Humanities</t>
  </si>
  <si>
    <t>Academic 8</t>
  </si>
  <si>
    <t xml:space="preserve">   Classrooms</t>
  </si>
  <si>
    <t xml:space="preserve">   Teaching Laboratories</t>
  </si>
  <si>
    <t xml:space="preserve">   Study</t>
  </si>
  <si>
    <t xml:space="preserve">   Auditorium/Exhibition</t>
  </si>
  <si>
    <t xml:space="preserve">   Offices</t>
  </si>
  <si>
    <t xml:space="preserve">   Campus Support Services</t>
  </si>
  <si>
    <t>NCF</t>
  </si>
  <si>
    <t>New Academic Center</t>
  </si>
  <si>
    <t xml:space="preserve">   Office/Computer</t>
  </si>
  <si>
    <t xml:space="preserve">   Other</t>
  </si>
  <si>
    <t>Tibbals Learning Center Phase II</t>
  </si>
  <si>
    <t>Aeropropulsion Mechatronics</t>
  </si>
  <si>
    <t xml:space="preserve">   Research labs</t>
  </si>
  <si>
    <t xml:space="preserve">   Instructional Media</t>
  </si>
  <si>
    <t xml:space="preserve">   Support Services</t>
  </si>
  <si>
    <t>Office/Computer</t>
  </si>
  <si>
    <t>Aeropropulsion Mechatronics and Energy Building</t>
  </si>
  <si>
    <t>College of Education Multipurpose Facility</t>
  </si>
  <si>
    <t xml:space="preserve">   Teaching Gymnasium</t>
  </si>
  <si>
    <t>Interdisciplinary Science Teaching &amp; Research Fac</t>
  </si>
  <si>
    <t>Interdisciplinary Science Teaching &amp; Research Facility</t>
  </si>
  <si>
    <t>Harn Museum Asian Art Wing</t>
  </si>
  <si>
    <t>Innovation Hub</t>
  </si>
  <si>
    <t xml:space="preserve">   Research Labs</t>
  </si>
  <si>
    <t>IFAS Professional Development</t>
  </si>
  <si>
    <t>IFAS Professinoal Development</t>
  </si>
  <si>
    <t>School of International &amp; Public Affairs</t>
  </si>
  <si>
    <t>Research &amp; Academic Center @ Lake Nona</t>
  </si>
  <si>
    <t>Institute on Aging Clinical Translational Research</t>
  </si>
  <si>
    <t xml:space="preserve">Institute on Aging Clinical Translational Research </t>
  </si>
  <si>
    <t>Chemical Engineering Building Addition</t>
  </si>
  <si>
    <t>Morgridge International Reading Center</t>
  </si>
  <si>
    <t>Support Services</t>
  </si>
  <si>
    <t>Multi-Purpose Student Center</t>
  </si>
  <si>
    <t>USFSP</t>
  </si>
  <si>
    <t>Health/Wellness/Counseling Center</t>
  </si>
  <si>
    <t>US Century Bank Arena Expansion</t>
  </si>
  <si>
    <t xml:space="preserve">   Other Assignable</t>
  </si>
  <si>
    <t>Disability Resource Center</t>
  </si>
  <si>
    <t>Cellulosic Ethanol Plant</t>
  </si>
  <si>
    <t>Health &amp; Wellness Center</t>
  </si>
  <si>
    <t>CM at Risk</t>
  </si>
  <si>
    <t>College of Business Education Center</t>
  </si>
  <si>
    <t>*Bid costs collected up until 2011. Beginning in 2012 actual costs collected upon completion.</t>
  </si>
  <si>
    <t xml:space="preserve">(a)  </t>
  </si>
  <si>
    <t xml:space="preserve"> (a)   Actual cost experience has been adjusted for changes in construction by applying the Engineering News Record Index for </t>
  </si>
  <si>
    <t>Bid date prior</t>
  </si>
  <si>
    <t xml:space="preserve">to 2012. </t>
  </si>
  <si>
    <t>Academic Health Center 4</t>
  </si>
  <si>
    <t xml:space="preserve">   Teaching Labs</t>
  </si>
  <si>
    <t xml:space="preserve">   Stud. Acad. Suppt.</t>
  </si>
  <si>
    <t xml:space="preserve">Johnston Annex/Honors Scholars Fellows House </t>
  </si>
  <si>
    <t>Institute on Aging/Clinical Translational Research Building</t>
  </si>
  <si>
    <t xml:space="preserve">  </t>
  </si>
  <si>
    <t xml:space="preserve">   Stiud. Acad. Suppt.</t>
  </si>
  <si>
    <t>East Campus Data Center</t>
  </si>
  <si>
    <t>Johnston Annex/Honors Scholars Fellows House</t>
  </si>
  <si>
    <t>ENR - Month of CO</t>
  </si>
  <si>
    <t>Institute on Aging/Critical Translational Research Building</t>
  </si>
  <si>
    <t>Certificate of Occupancy date after 2012</t>
  </si>
  <si>
    <t>Classroom Building II - ROTC</t>
  </si>
  <si>
    <t>Heavner Hall</t>
  </si>
  <si>
    <t>Management and New Growth Opportunities (MANGO)</t>
  </si>
  <si>
    <t>AHC5 - Academic Health Center 5</t>
  </si>
  <si>
    <t>FPU</t>
  </si>
  <si>
    <t>Innovation, Science and Technology Building</t>
  </si>
  <si>
    <t>Heavener Hall</t>
  </si>
  <si>
    <t>Factor =</t>
  </si>
  <si>
    <t>Factor=</t>
  </si>
  <si>
    <t>**This is no longer a required category as of July 1, 2014, as referenced in the "Space Formula Factors Spreadsheet"</t>
  </si>
  <si>
    <t>Study*</t>
  </si>
  <si>
    <t>Instructional Media*</t>
  </si>
  <si>
    <t>Gymnasium*</t>
  </si>
  <si>
    <t>Campus Support Services*</t>
  </si>
  <si>
    <t>Harrell Medical Education Building</t>
  </si>
  <si>
    <t>Asian Art Study Center</t>
  </si>
  <si>
    <t>Jun - 15</t>
  </si>
  <si>
    <t>Pharmacy Building Phase II</t>
  </si>
  <si>
    <t>Parking Garage 6</t>
  </si>
  <si>
    <t>Chemistry/ Chemical Biology Building</t>
  </si>
  <si>
    <t xml:space="preserve">   Auditorium/Exhibiton</t>
  </si>
  <si>
    <t>Kate Tiedemann College of Business</t>
  </si>
  <si>
    <t>Office Building One - FAU Building 104</t>
  </si>
  <si>
    <t>Global UCF</t>
  </si>
  <si>
    <t>Wayne Densch Center Student Athlete Leadership</t>
  </si>
  <si>
    <t>Student Academic Success Center</t>
  </si>
  <si>
    <t>Campus Support</t>
  </si>
  <si>
    <t>Innovation Hub Research - Emergent Technologies Institute</t>
  </si>
  <si>
    <t>Chemistry/Chemical Biology Building</t>
  </si>
  <si>
    <t>Kate Tiedeman College of Business</t>
  </si>
  <si>
    <t>Shelled Building, skews figures</t>
  </si>
  <si>
    <t xml:space="preserve">Research I </t>
  </si>
  <si>
    <t xml:space="preserve">Research </t>
  </si>
  <si>
    <t xml:space="preserve">Office </t>
  </si>
  <si>
    <t xml:space="preserve">Construction Cost </t>
  </si>
  <si>
    <t>Recreation Center Expansion</t>
  </si>
  <si>
    <t>Other Assignable</t>
  </si>
  <si>
    <t>FAMU Student Services Building Renovation &amp; Addition</t>
  </si>
  <si>
    <t>Student Services Building Renovation &amp; Addition</t>
  </si>
  <si>
    <t>Skinner Jones Hall (N&amp;S)</t>
  </si>
  <si>
    <t>Innovation Hub Phase 2</t>
  </si>
  <si>
    <t>Office</t>
  </si>
  <si>
    <t xml:space="preserve"> Innovation Hub Phase 2</t>
  </si>
  <si>
    <t>Heiser Natural Sciences Complex Addition</t>
  </si>
  <si>
    <t>Other Assignable (Gym)</t>
  </si>
  <si>
    <t>*Construcion cost estimates for these categories include pre-2003 adjusted data due to small pool size.</t>
  </si>
  <si>
    <t xml:space="preserve">Jim Moran School of Entrepreneurship/Jim Moran Institute </t>
  </si>
  <si>
    <t xml:space="preserve">IFAS Bee Unit Facility </t>
  </si>
  <si>
    <t>Jan-18</t>
  </si>
  <si>
    <t xml:space="preserve">Office/Computer </t>
  </si>
  <si>
    <t xml:space="preserve">Universtiy Park Center </t>
  </si>
  <si>
    <t>Completion Date</t>
  </si>
  <si>
    <t xml:space="preserve">UF </t>
  </si>
  <si>
    <t>Jim Moran School of Entrepreneurship/Jim Moran Institute</t>
  </si>
  <si>
    <t>University Park Center</t>
  </si>
  <si>
    <t>Trevor Colbourn Hall/Colbourn Hall Demolition</t>
  </si>
  <si>
    <t xml:space="preserve">Trevor Colbourn Hall Colbourn Hall </t>
  </si>
  <si>
    <t xml:space="preserve">Schmidt Family Complex for Academic and Athletic Excellence </t>
  </si>
  <si>
    <t xml:space="preserve">Earth, Ocean &amp; Atmospheric Science Building (EOAS) </t>
  </si>
  <si>
    <t>Dec-2019</t>
  </si>
  <si>
    <t>Research Lab</t>
  </si>
  <si>
    <t xml:space="preserve">Technology Services Building Renovation </t>
  </si>
  <si>
    <t>April-2019</t>
  </si>
  <si>
    <t xml:space="preserve">Other/Assignable </t>
  </si>
  <si>
    <t xml:space="preserve">Dr. Phillips Academic Commons </t>
  </si>
  <si>
    <t>CREOL Expansion</t>
  </si>
  <si>
    <t>Sept.-19</t>
  </si>
  <si>
    <t xml:space="preserve">Downtown Parking Garage </t>
  </si>
  <si>
    <t xml:space="preserve">Campus Support Services </t>
  </si>
  <si>
    <t xml:space="preserve">Downtown Energy Plant </t>
  </si>
  <si>
    <t>Oct. 2019</t>
  </si>
  <si>
    <t>UCF Communication and Media Building Renovation</t>
  </si>
  <si>
    <t>Institute of Black Culture &amp; Institute of Hispanic Latino Culture Facility</t>
  </si>
  <si>
    <t>Office Computer</t>
  </si>
  <si>
    <t>Laboratory Sciences Annex Phase I, II, and III</t>
  </si>
  <si>
    <t xml:space="preserve">FAU </t>
  </si>
  <si>
    <t>Earth, Ocean &amp; Atmospheric Science Building (EOAS)</t>
  </si>
  <si>
    <t xml:space="preserve">Institute of Black Culture &amp; Institute of Hispanic Latino Culture Facility </t>
  </si>
  <si>
    <t>SUS Construction Cost Database report pursuant to section 1013.64(6)(d)1, F.S.</t>
  </si>
  <si>
    <t>John C. Hitt Library Renovation Phase 1A</t>
  </si>
  <si>
    <t xml:space="preserve">Auditorium/Exhibition </t>
  </si>
  <si>
    <t>**This is no longer a valid category as of July 1, 2014, as referenced in the "Space Formula Factors Spreadsheet"</t>
  </si>
  <si>
    <r>
      <t xml:space="preserve">  </t>
    </r>
    <r>
      <rPr>
        <sz val="9"/>
        <rFont val="Arial"/>
        <family val="2"/>
      </rPr>
      <t>Office/Computer</t>
    </r>
  </si>
  <si>
    <r>
      <t xml:space="preserve">   </t>
    </r>
    <r>
      <rPr>
        <sz val="9"/>
        <rFont val="Arial"/>
        <family val="2"/>
      </rPr>
      <t>Study</t>
    </r>
  </si>
  <si>
    <r>
      <t xml:space="preserve">   </t>
    </r>
    <r>
      <rPr>
        <sz val="9"/>
        <rFont val="Arial"/>
        <family val="2"/>
      </rPr>
      <t>Auditorium/Exhibition</t>
    </r>
  </si>
  <si>
    <r>
      <t xml:space="preserve">   </t>
    </r>
    <r>
      <rPr>
        <sz val="9"/>
        <rFont val="Arial"/>
        <family val="2"/>
      </rPr>
      <t>Other Assignable</t>
    </r>
  </si>
  <si>
    <r>
      <t xml:space="preserve">  </t>
    </r>
    <r>
      <rPr>
        <sz val="9"/>
        <rFont val="Arial"/>
        <family val="2"/>
      </rPr>
      <t>Study</t>
    </r>
  </si>
  <si>
    <r>
      <t xml:space="preserve">  </t>
    </r>
    <r>
      <rPr>
        <sz val="9"/>
        <rFont val="Arial"/>
        <family val="2"/>
      </rPr>
      <t>Auditorium/Exhibition</t>
    </r>
  </si>
  <si>
    <t>(Projects Between July 1, 2003 and December 31, 2021)</t>
  </si>
  <si>
    <t>FAMU Student Affairs Center for Access and Student Success (CASS)</t>
  </si>
  <si>
    <t>Student Affairs Center for Access and Student Success</t>
  </si>
  <si>
    <t>Based on Projects from January 1, 2003 to December 31, 2021</t>
  </si>
  <si>
    <t>December 2021</t>
  </si>
  <si>
    <t>December 31, 2021 Revision of Construction Cost by Zone for New Facilities (a)</t>
  </si>
  <si>
    <t xml:space="preserve">       December, 2021.  Regional cost differences are based on 2021 calendar year construction cost indices provided by FDOE.</t>
  </si>
  <si>
    <t>NOTE:  Actual cost experience (2002-2021) has been adjusted for changes</t>
  </si>
  <si>
    <t xml:space="preserve">             in construction cost by applying the revised December, 2021</t>
  </si>
  <si>
    <t xml:space="preserve"> Classrooms</t>
  </si>
  <si>
    <t xml:space="preserve"> Instructional Media</t>
  </si>
  <si>
    <t xml:space="preserve"> Office/Computer</t>
  </si>
  <si>
    <t xml:space="preserve"> Campus Support Services</t>
  </si>
  <si>
    <t xml:space="preserve"> Other Assignable</t>
  </si>
  <si>
    <t>December 31, 2021 - Revision of Project Cost by Zone for New Facilities (a)</t>
  </si>
  <si>
    <t xml:space="preserve">College of Education Center Addition </t>
  </si>
  <si>
    <t>College of Education Center Addition</t>
  </si>
  <si>
    <t>These figures have been adjusted from 2015 submission.</t>
  </si>
  <si>
    <t>2021 Construction Cost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</si>
</sst>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164" formatCode="General_)"/>
    <numFmt numFmtId="165" formatCode="0.00_)"/>
    <numFmt numFmtId="166" formatCode="0.00000_)"/>
    <numFmt numFmtId="167" formatCode="&quot;$&quot;#,##0.00"/>
    <numFmt numFmtId="168" formatCode="0.00000"/>
    <numFmt numFmtId="174" formatCode="0_);\(0\)"/>
    <numFmt numFmtId="175" formatCode="#,##0;[Red]#,##0"/>
    <numFmt numFmtId="177" formatCode="0.0000;[Red]0.0000"/>
    <numFmt numFmtId="181" formatCode="[$-409]mmm\-yy;@"/>
    <numFmt numFmtId="182" formatCode="&quot;$&quot;#,##0"/>
  </numFmts>
  <fonts count="26" x14ac:knownFonts="1">
    <font>
      <sz val="8"/>
      <name val="Helv"/>
    </font>
    <font>
      <sz val="10"/>
      <name val="MS Sans Serif"/>
      <family val="2"/>
    </font>
    <font>
      <b/>
      <sz val="8"/>
      <name val="Helv"/>
    </font>
    <font>
      <sz val="8"/>
      <name val="Helv"/>
    </font>
    <font>
      <sz val="10"/>
      <name val="Helv"/>
    </font>
    <font>
      <b/>
      <sz val="10"/>
      <name val="Helv"/>
    </font>
    <font>
      <sz val="10"/>
      <name val="Courier"/>
      <family val="3"/>
    </font>
    <font>
      <sz val="8"/>
      <name val="MS Sans Serif"/>
      <family val="2"/>
    </font>
    <font>
      <sz val="8"/>
      <name val="Helv"/>
    </font>
    <font>
      <sz val="8"/>
      <name val="Courier"/>
      <family val="3"/>
    </font>
    <font>
      <sz val="8"/>
      <name val="Courier"/>
      <family val="3"/>
    </font>
    <font>
      <b/>
      <sz val="10"/>
      <name val="Courier"/>
    </font>
    <font>
      <b/>
      <sz val="10"/>
      <name val="Arial"/>
      <family val="2"/>
    </font>
    <font>
      <sz val="8"/>
      <name val="Arial"/>
      <family val="2"/>
    </font>
    <font>
      <b/>
      <sz val="8"/>
      <color indexed="10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10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b/>
      <sz val="8.5"/>
      <name val="Arial"/>
      <family val="2"/>
    </font>
    <font>
      <b/>
      <u/>
      <sz val="8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8"/>
      <color rgb="FFFF0000"/>
      <name val="Helv"/>
    </font>
  </fonts>
  <fills count="15">
    <fill>
      <patternFill patternType="none"/>
    </fill>
    <fill>
      <patternFill patternType="gray125"/>
    </fill>
    <fill>
      <patternFill patternType="gray0625"/>
    </fill>
    <fill>
      <patternFill patternType="solid">
        <fgColor indexed="13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4">
    <xf numFmtId="164" fontId="0" fillId="0" borderId="0"/>
    <xf numFmtId="8" fontId="1" fillId="0" borderId="0" applyFont="0" applyFill="0" applyBorder="0" applyAlignment="0" applyProtection="0"/>
    <xf numFmtId="37" fontId="6" fillId="0" borderId="0"/>
    <xf numFmtId="9" fontId="1" fillId="0" borderId="0" applyFont="0" applyFill="0" applyBorder="0" applyAlignment="0" applyProtection="0"/>
  </cellStyleXfs>
  <cellXfs count="396">
    <xf numFmtId="164" fontId="0" fillId="0" borderId="0" xfId="0"/>
    <xf numFmtId="164" fontId="0" fillId="0" borderId="0" xfId="0" applyProtection="1"/>
    <xf numFmtId="165" fontId="0" fillId="0" borderId="0" xfId="0" applyNumberFormat="1" applyProtection="1"/>
    <xf numFmtId="37" fontId="0" fillId="0" borderId="0" xfId="0" applyNumberFormat="1" applyProtection="1"/>
    <xf numFmtId="164" fontId="3" fillId="0" borderId="0" xfId="0" applyFont="1" applyAlignment="1" applyProtection="1">
      <alignment horizontal="centerContinuous"/>
    </xf>
    <xf numFmtId="165" fontId="5" fillId="0" borderId="0" xfId="0" quotePrefix="1" applyNumberFormat="1" applyFont="1" applyAlignment="1" applyProtection="1">
      <alignment horizontal="left"/>
    </xf>
    <xf numFmtId="167" fontId="0" fillId="0" borderId="0" xfId="0" applyNumberFormat="1"/>
    <xf numFmtId="37" fontId="6" fillId="0" borderId="0" xfId="2"/>
    <xf numFmtId="37" fontId="7" fillId="0" borderId="0" xfId="2" applyFont="1"/>
    <xf numFmtId="37" fontId="7" fillId="0" borderId="0" xfId="2" applyFont="1" applyFill="1"/>
    <xf numFmtId="37" fontId="6" fillId="0" borderId="0" xfId="2" applyFill="1"/>
    <xf numFmtId="10" fontId="6" fillId="0" borderId="0" xfId="2" applyNumberFormat="1" applyProtection="1"/>
    <xf numFmtId="164" fontId="0" fillId="0" borderId="0" xfId="0" applyFill="1"/>
    <xf numFmtId="164" fontId="0" fillId="2" borderId="0" xfId="0" applyFill="1"/>
    <xf numFmtId="37" fontId="6" fillId="3" borderId="0" xfId="2" applyFill="1"/>
    <xf numFmtId="164" fontId="8" fillId="0" borderId="0" xfId="0" applyFont="1" applyFill="1"/>
    <xf numFmtId="37" fontId="6" fillId="0" borderId="0" xfId="2" applyFont="1" applyFill="1"/>
    <xf numFmtId="39" fontId="6" fillId="0" borderId="0" xfId="2" applyNumberFormat="1" applyFill="1"/>
    <xf numFmtId="10" fontId="0" fillId="0" borderId="0" xfId="0" applyNumberFormat="1"/>
    <xf numFmtId="164" fontId="8" fillId="0" borderId="0" xfId="0" applyFont="1"/>
    <xf numFmtId="37" fontId="9" fillId="0" borderId="0" xfId="2" applyFont="1" applyFill="1"/>
    <xf numFmtId="37" fontId="9" fillId="0" borderId="0" xfId="2" applyFont="1"/>
    <xf numFmtId="164" fontId="2" fillId="0" borderId="0" xfId="0" applyFont="1" applyFill="1"/>
    <xf numFmtId="37" fontId="10" fillId="0" borderId="0" xfId="2" applyFont="1" applyFill="1"/>
    <xf numFmtId="37" fontId="10" fillId="0" borderId="0" xfId="2" applyFont="1"/>
    <xf numFmtId="164" fontId="0" fillId="0" borderId="0" xfId="0" applyFont="1" applyFill="1"/>
    <xf numFmtId="164" fontId="0" fillId="7" borderId="0" xfId="0" applyFill="1"/>
    <xf numFmtId="37" fontId="6" fillId="8" borderId="0" xfId="2" applyFill="1"/>
    <xf numFmtId="37" fontId="11" fillId="8" borderId="0" xfId="2" applyFont="1" applyFill="1"/>
    <xf numFmtId="164" fontId="2" fillId="9" borderId="0" xfId="0" applyFont="1" applyFill="1"/>
    <xf numFmtId="164" fontId="0" fillId="9" borderId="0" xfId="0" applyFill="1"/>
    <xf numFmtId="37" fontId="6" fillId="9" borderId="0" xfId="2" applyFill="1"/>
    <xf numFmtId="37" fontId="6" fillId="9" borderId="0" xfId="2" applyFont="1" applyFill="1"/>
    <xf numFmtId="0" fontId="12" fillId="0" borderId="0" xfId="0" applyNumberFormat="1" applyFont="1" applyAlignment="1" applyProtection="1">
      <alignment horizontal="centerContinuous"/>
    </xf>
    <xf numFmtId="165" fontId="13" fillId="0" borderId="0" xfId="0" applyNumberFormat="1" applyFont="1" applyAlignment="1" applyProtection="1">
      <alignment horizontal="centerContinuous"/>
    </xf>
    <xf numFmtId="165" fontId="13" fillId="0" borderId="0" xfId="0" applyNumberFormat="1" applyFont="1" applyAlignment="1">
      <alignment horizontal="centerContinuous"/>
    </xf>
    <xf numFmtId="164" fontId="13" fillId="0" borderId="0" xfId="0" applyFont="1"/>
    <xf numFmtId="165" fontId="12" fillId="0" borderId="0" xfId="0" applyNumberFormat="1" applyFont="1" applyFill="1" applyAlignment="1" applyProtection="1">
      <alignment horizontal="centerContinuous"/>
    </xf>
    <xf numFmtId="165" fontId="13" fillId="0" borderId="0" xfId="0" applyNumberFormat="1" applyFont="1" applyFill="1" applyAlignment="1">
      <alignment horizontal="centerContinuous"/>
    </xf>
    <xf numFmtId="165" fontId="13" fillId="0" borderId="0" xfId="0" applyNumberFormat="1" applyFont="1" applyFill="1" applyAlignment="1" applyProtection="1">
      <alignment horizontal="centerContinuous"/>
    </xf>
    <xf numFmtId="165" fontId="13" fillId="0" borderId="0" xfId="0" applyNumberFormat="1" applyFont="1" applyFill="1" applyAlignment="1">
      <alignment horizontal="left"/>
    </xf>
    <xf numFmtId="165" fontId="13" fillId="0" borderId="0" xfId="0" applyNumberFormat="1" applyFont="1" applyFill="1"/>
    <xf numFmtId="164" fontId="13" fillId="0" borderId="1" xfId="0" applyFont="1" applyBorder="1"/>
    <xf numFmtId="165" fontId="12" fillId="0" borderId="2" xfId="0" applyNumberFormat="1" applyFont="1" applyFill="1" applyBorder="1" applyProtection="1"/>
    <xf numFmtId="165" fontId="12" fillId="0" borderId="2" xfId="0" applyNumberFormat="1" applyFont="1" applyFill="1" applyBorder="1" applyAlignment="1" applyProtection="1">
      <alignment horizontal="center"/>
    </xf>
    <xf numFmtId="165" fontId="12" fillId="0" borderId="3" xfId="0" applyNumberFormat="1" applyFont="1" applyFill="1" applyBorder="1" applyAlignment="1" applyProtection="1">
      <alignment horizontal="center"/>
    </xf>
    <xf numFmtId="165" fontId="12" fillId="0" borderId="0" xfId="0" applyNumberFormat="1" applyFont="1" applyFill="1" applyAlignment="1" applyProtection="1">
      <alignment horizontal="center"/>
    </xf>
    <xf numFmtId="165" fontId="12" fillId="0" borderId="0" xfId="0" applyNumberFormat="1" applyFont="1" applyFill="1" applyAlignment="1">
      <alignment horizontal="center"/>
    </xf>
    <xf numFmtId="165" fontId="12" fillId="0" borderId="0" xfId="0" applyNumberFormat="1" applyFont="1" applyFill="1" applyBorder="1" applyAlignment="1" applyProtection="1">
      <alignment horizontal="center"/>
    </xf>
    <xf numFmtId="165" fontId="12" fillId="0" borderId="4" xfId="0" applyNumberFormat="1" applyFont="1" applyFill="1" applyBorder="1" applyAlignment="1" applyProtection="1">
      <alignment horizontal="center"/>
    </xf>
    <xf numFmtId="165" fontId="12" fillId="0" borderId="0" xfId="0" applyNumberFormat="1" applyFont="1" applyFill="1" applyProtection="1"/>
    <xf numFmtId="165" fontId="13" fillId="0" borderId="0" xfId="0" applyNumberFormat="1" applyFont="1" applyFill="1" applyProtection="1"/>
    <xf numFmtId="165" fontId="13" fillId="0" borderId="0" xfId="0" applyNumberFormat="1" applyFont="1" applyProtection="1"/>
    <xf numFmtId="165" fontId="12" fillId="0" borderId="0" xfId="0" applyNumberFormat="1" applyFont="1" applyAlignment="1" applyProtection="1">
      <alignment horizontal="left"/>
    </xf>
    <xf numFmtId="165" fontId="12" fillId="0" borderId="0" xfId="0" applyNumberFormat="1" applyFont="1" applyProtection="1"/>
    <xf numFmtId="165" fontId="12" fillId="0" borderId="0" xfId="0" quotePrefix="1" applyNumberFormat="1" applyFont="1" applyAlignment="1" applyProtection="1">
      <alignment horizontal="left"/>
    </xf>
    <xf numFmtId="165" fontId="15" fillId="0" borderId="0" xfId="0" applyNumberFormat="1" applyFont="1" applyFill="1" applyProtection="1"/>
    <xf numFmtId="165" fontId="15" fillId="0" borderId="0" xfId="0" applyNumberFormat="1" applyFont="1" applyProtection="1"/>
    <xf numFmtId="164" fontId="17" fillId="0" borderId="0" xfId="0" applyFont="1"/>
    <xf numFmtId="165" fontId="19" fillId="0" borderId="0" xfId="0" applyNumberFormat="1" applyFont="1" applyAlignment="1" applyProtection="1">
      <alignment horizontal="centerContinuous"/>
    </xf>
    <xf numFmtId="165" fontId="19" fillId="0" borderId="0" xfId="0" applyNumberFormat="1" applyFont="1" applyAlignment="1">
      <alignment horizontal="centerContinuous"/>
    </xf>
    <xf numFmtId="164" fontId="19" fillId="0" borderId="0" xfId="0" applyFont="1"/>
    <xf numFmtId="165" fontId="19" fillId="0" borderId="0" xfId="0" applyNumberFormat="1" applyFont="1" applyFill="1" applyAlignment="1">
      <alignment horizontal="centerContinuous"/>
    </xf>
    <xf numFmtId="165" fontId="19" fillId="0" borderId="0" xfId="0" applyNumberFormat="1" applyFont="1" applyFill="1" applyAlignment="1" applyProtection="1">
      <alignment horizontal="centerContinuous"/>
    </xf>
    <xf numFmtId="165" fontId="19" fillId="0" borderId="0" xfId="0" applyNumberFormat="1" applyFont="1" applyFill="1" applyAlignment="1">
      <alignment horizontal="left"/>
    </xf>
    <xf numFmtId="165" fontId="19" fillId="0" borderId="0" xfId="0" applyNumberFormat="1" applyFont="1" applyFill="1"/>
    <xf numFmtId="165" fontId="20" fillId="0" borderId="0" xfId="0" applyNumberFormat="1" applyFont="1" applyFill="1"/>
    <xf numFmtId="164" fontId="19" fillId="0" borderId="1" xfId="0" applyFont="1" applyBorder="1"/>
    <xf numFmtId="165" fontId="19" fillId="0" borderId="0" xfId="0" applyNumberFormat="1" applyFont="1" applyFill="1" applyProtection="1"/>
    <xf numFmtId="7" fontId="19" fillId="0" borderId="0" xfId="0" applyNumberFormat="1" applyFont="1" applyFill="1" applyProtection="1"/>
    <xf numFmtId="7" fontId="19" fillId="0" borderId="0" xfId="0" applyNumberFormat="1" applyFont="1" applyFill="1" applyAlignment="1" applyProtection="1">
      <alignment horizontal="center"/>
    </xf>
    <xf numFmtId="165" fontId="19" fillId="0" borderId="0" xfId="0" applyNumberFormat="1" applyFont="1" applyProtection="1"/>
    <xf numFmtId="164" fontId="19" fillId="0" borderId="0" xfId="0" applyFont="1" applyAlignment="1" applyProtection="1">
      <alignment horizontal="centerContinuous"/>
    </xf>
    <xf numFmtId="164" fontId="13" fillId="0" borderId="0" xfId="0" applyFont="1" applyProtection="1"/>
    <xf numFmtId="164" fontId="12" fillId="0" borderId="0" xfId="0" applyFont="1" applyAlignment="1" applyProtection="1">
      <alignment horizontal="centerContinuous"/>
    </xf>
    <xf numFmtId="164" fontId="19" fillId="0" borderId="0" xfId="0" applyFont="1" applyFill="1" applyAlignment="1" applyProtection="1">
      <alignment horizontal="centerContinuous"/>
    </xf>
    <xf numFmtId="164" fontId="19" fillId="0" borderId="0" xfId="0" applyFont="1" applyProtection="1"/>
    <xf numFmtId="164" fontId="12" fillId="0" borderId="2" xfId="0" applyFont="1" applyBorder="1" applyAlignment="1" applyProtection="1">
      <alignment horizontal="center"/>
    </xf>
    <xf numFmtId="164" fontId="12" fillId="0" borderId="2" xfId="0" applyFont="1" applyBorder="1" applyProtection="1"/>
    <xf numFmtId="165" fontId="12" fillId="0" borderId="2" xfId="0" applyNumberFormat="1" applyFont="1" applyBorder="1" applyAlignment="1" applyProtection="1">
      <alignment horizontal="center"/>
    </xf>
    <xf numFmtId="164" fontId="12" fillId="0" borderId="4" xfId="0" applyFont="1" applyBorder="1" applyProtection="1"/>
    <xf numFmtId="164" fontId="12" fillId="0" borderId="4" xfId="0" applyFont="1" applyBorder="1" applyAlignment="1" applyProtection="1">
      <alignment horizontal="center"/>
    </xf>
    <xf numFmtId="164" fontId="19" fillId="0" borderId="0" xfId="0" applyFont="1" applyFill="1" applyBorder="1" applyAlignment="1" applyProtection="1">
      <alignment horizontal="left"/>
    </xf>
    <xf numFmtId="164" fontId="19" fillId="0" borderId="0" xfId="0" applyFont="1" applyFill="1" applyBorder="1" applyProtection="1"/>
    <xf numFmtId="164" fontId="19" fillId="4" borderId="0" xfId="0" applyFont="1" applyFill="1" applyBorder="1" applyAlignment="1" applyProtection="1">
      <alignment horizontal="left"/>
    </xf>
    <xf numFmtId="164" fontId="19" fillId="4" borderId="0" xfId="0" applyFont="1" applyFill="1" applyBorder="1" applyProtection="1"/>
    <xf numFmtId="164" fontId="19" fillId="4" borderId="0" xfId="0" applyFont="1" applyFill="1" applyBorder="1"/>
    <xf numFmtId="164" fontId="12" fillId="0" borderId="0" xfId="0" applyFont="1" applyAlignment="1" applyProtection="1">
      <alignment horizontal="left"/>
    </xf>
    <xf numFmtId="164" fontId="12" fillId="0" borderId="0" xfId="0" applyFont="1" applyProtection="1"/>
    <xf numFmtId="164" fontId="12" fillId="0" borderId="0" xfId="0" applyFont="1"/>
    <xf numFmtId="164" fontId="19" fillId="0" borderId="0" xfId="0" applyFont="1" applyAlignment="1">
      <alignment horizontal="centerContinuous"/>
    </xf>
    <xf numFmtId="164" fontId="20" fillId="0" borderId="0" xfId="0" applyFont="1" applyProtection="1"/>
    <xf numFmtId="182" fontId="19" fillId="0" borderId="0" xfId="0" applyNumberFormat="1" applyFont="1" applyFill="1" applyBorder="1" applyAlignment="1" applyProtection="1">
      <alignment horizontal="center"/>
    </xf>
    <xf numFmtId="7" fontId="19" fillId="0" borderId="0" xfId="0" applyNumberFormat="1" applyFont="1" applyFill="1" applyBorder="1" applyAlignment="1" applyProtection="1">
      <alignment horizontal="center"/>
    </xf>
    <xf numFmtId="5" fontId="19" fillId="4" borderId="0" xfId="0" applyNumberFormat="1" applyFont="1" applyFill="1" applyBorder="1" applyAlignment="1" applyProtection="1">
      <alignment horizontal="center"/>
    </xf>
    <xf numFmtId="7" fontId="19" fillId="4" borderId="0" xfId="0" applyNumberFormat="1" applyFont="1" applyFill="1" applyBorder="1" applyAlignment="1" applyProtection="1">
      <alignment horizontal="center"/>
    </xf>
    <xf numFmtId="7" fontId="19" fillId="4" borderId="0" xfId="0" applyNumberFormat="1" applyFont="1" applyFill="1" applyBorder="1" applyAlignment="1">
      <alignment horizontal="center"/>
    </xf>
    <xf numFmtId="0" fontId="12" fillId="0" borderId="0" xfId="0" applyNumberFormat="1" applyFont="1" applyFill="1" applyAlignment="1" applyProtection="1">
      <alignment horizontal="centerContinuous"/>
    </xf>
    <xf numFmtId="164" fontId="13" fillId="0" borderId="0" xfId="0" applyFont="1" applyFill="1" applyAlignment="1" applyProtection="1">
      <alignment horizontal="centerContinuous"/>
    </xf>
    <xf numFmtId="164" fontId="13" fillId="0" borderId="0" xfId="0" applyFont="1" applyFill="1" applyAlignment="1">
      <alignment horizontal="centerContinuous"/>
    </xf>
    <xf numFmtId="164" fontId="15" fillId="0" borderId="0" xfId="0" applyFont="1" applyFill="1" applyAlignment="1" applyProtection="1">
      <alignment horizontal="centerContinuous"/>
    </xf>
    <xf numFmtId="164" fontId="13" fillId="0" borderId="0" xfId="0" applyFont="1" applyFill="1" applyProtection="1"/>
    <xf numFmtId="164" fontId="15" fillId="0" borderId="2" xfId="0" applyFont="1" applyFill="1" applyBorder="1" applyProtection="1"/>
    <xf numFmtId="164" fontId="15" fillId="0" borderId="2" xfId="0" applyFont="1" applyFill="1" applyBorder="1" applyAlignment="1" applyProtection="1">
      <alignment horizontal="center"/>
    </xf>
    <xf numFmtId="164" fontId="15" fillId="0" borderId="0" xfId="0" applyFont="1" applyFill="1" applyAlignment="1" applyProtection="1">
      <alignment horizontal="center"/>
    </xf>
    <xf numFmtId="164" fontId="15" fillId="0" borderId="0" xfId="0" applyFont="1" applyFill="1" applyProtection="1"/>
    <xf numFmtId="164" fontId="15" fillId="0" borderId="0" xfId="0" quotePrefix="1" applyFont="1" applyFill="1" applyAlignment="1" applyProtection="1">
      <alignment horizontal="center"/>
    </xf>
    <xf numFmtId="164" fontId="15" fillId="0" borderId="4" xfId="0" applyFont="1" applyFill="1" applyBorder="1" applyAlignment="1" applyProtection="1">
      <alignment horizontal="center"/>
    </xf>
    <xf numFmtId="164" fontId="15" fillId="0" borderId="4" xfId="0" applyFont="1" applyFill="1" applyBorder="1" applyProtection="1"/>
    <xf numFmtId="164" fontId="15" fillId="0" borderId="4" xfId="0" applyFont="1" applyFill="1" applyBorder="1" applyAlignment="1" applyProtection="1">
      <alignment horizontal="center" wrapText="1"/>
    </xf>
    <xf numFmtId="164" fontId="15" fillId="0" borderId="0" xfId="0" applyFont="1" applyBorder="1" applyAlignment="1" applyProtection="1">
      <alignment horizontal="center"/>
    </xf>
    <xf numFmtId="164" fontId="15" fillId="0" borderId="0" xfId="0" applyFont="1" applyBorder="1" applyProtection="1"/>
    <xf numFmtId="164" fontId="15" fillId="0" borderId="0" xfId="0" applyFont="1" applyBorder="1" applyAlignment="1" applyProtection="1">
      <alignment horizontal="left"/>
    </xf>
    <xf numFmtId="164" fontId="15" fillId="0" borderId="0" xfId="0" applyFont="1" applyFill="1" applyBorder="1" applyAlignment="1" applyProtection="1">
      <alignment horizontal="center"/>
    </xf>
    <xf numFmtId="164" fontId="15" fillId="0" borderId="0" xfId="0" applyFont="1" applyBorder="1" applyAlignment="1" applyProtection="1"/>
    <xf numFmtId="164" fontId="22" fillId="0" borderId="0" xfId="0" applyFont="1" applyFill="1" applyAlignment="1" applyProtection="1">
      <alignment horizontal="left"/>
    </xf>
    <xf numFmtId="164" fontId="13" fillId="0" borderId="0" xfId="0" applyFont="1" applyFill="1" applyBorder="1" applyAlignment="1" applyProtection="1">
      <alignment horizontal="left"/>
    </xf>
    <xf numFmtId="164" fontId="13" fillId="0" borderId="0" xfId="0" applyFont="1" applyFill="1" applyBorder="1" applyProtection="1"/>
    <xf numFmtId="2" fontId="13" fillId="0" borderId="0" xfId="0" applyNumberFormat="1" applyFont="1" applyFill="1" applyBorder="1" applyProtection="1"/>
    <xf numFmtId="164" fontId="13" fillId="0" borderId="0" xfId="0" quotePrefix="1" applyFont="1" applyFill="1" applyAlignment="1">
      <alignment horizontal="center"/>
    </xf>
    <xf numFmtId="4" fontId="13" fillId="0" borderId="0" xfId="0" applyNumberFormat="1" applyFont="1" applyFill="1" applyBorder="1" applyProtection="1"/>
    <xf numFmtId="4" fontId="13" fillId="0" borderId="0" xfId="0" applyNumberFormat="1" applyFont="1" applyFill="1" applyProtection="1"/>
    <xf numFmtId="168" fontId="13" fillId="0" borderId="0" xfId="0" applyNumberFormat="1" applyFont="1" applyFill="1" applyProtection="1"/>
    <xf numFmtId="4" fontId="13" fillId="0" borderId="0" xfId="0" applyNumberFormat="1" applyFont="1" applyFill="1"/>
    <xf numFmtId="3" fontId="13" fillId="0" borderId="0" xfId="0" applyNumberFormat="1" applyFont="1" applyFill="1" applyBorder="1" applyProtection="1"/>
    <xf numFmtId="3" fontId="13" fillId="0" borderId="0" xfId="0" applyNumberFormat="1" applyFont="1" applyFill="1" applyProtection="1"/>
    <xf numFmtId="164" fontId="15" fillId="4" borderId="0" xfId="0" applyFont="1" applyFill="1" applyBorder="1" applyAlignment="1" applyProtection="1">
      <alignment horizontal="center"/>
    </xf>
    <xf numFmtId="164" fontId="13" fillId="4" borderId="0" xfId="0" applyFont="1" applyFill="1" applyBorder="1" applyAlignment="1" applyProtection="1">
      <alignment horizontal="left"/>
    </xf>
    <xf numFmtId="164" fontId="13" fillId="4" borderId="0" xfId="0" applyFont="1" applyFill="1" applyBorder="1" applyProtection="1"/>
    <xf numFmtId="2" fontId="13" fillId="4" borderId="0" xfId="0" applyNumberFormat="1" applyFont="1" applyFill="1" applyBorder="1" applyProtection="1"/>
    <xf numFmtId="17" fontId="13" fillId="4" borderId="0" xfId="0" quotePrefix="1" applyNumberFormat="1" applyFont="1" applyFill="1" applyAlignment="1">
      <alignment horizontal="center"/>
    </xf>
    <xf numFmtId="4" fontId="13" fillId="4" borderId="0" xfId="0" applyNumberFormat="1" applyFont="1" applyFill="1" applyBorder="1" applyProtection="1"/>
    <xf numFmtId="168" fontId="13" fillId="4" borderId="0" xfId="0" applyNumberFormat="1" applyFont="1" applyFill="1" applyProtection="1"/>
    <xf numFmtId="4" fontId="13" fillId="4" borderId="0" xfId="0" applyNumberFormat="1" applyFont="1" applyFill="1"/>
    <xf numFmtId="3" fontId="13" fillId="4" borderId="0" xfId="0" applyNumberFormat="1" applyFont="1" applyFill="1" applyBorder="1" applyProtection="1"/>
    <xf numFmtId="3" fontId="13" fillId="4" borderId="0" xfId="0" applyNumberFormat="1" applyFont="1" applyFill="1" applyProtection="1"/>
    <xf numFmtId="17" fontId="13" fillId="0" borderId="0" xfId="0" quotePrefix="1" applyNumberFormat="1" applyFont="1" applyFill="1" applyAlignment="1">
      <alignment horizontal="center"/>
    </xf>
    <xf numFmtId="37" fontId="13" fillId="0" borderId="0" xfId="2" applyFont="1" applyFill="1"/>
    <xf numFmtId="3" fontId="13" fillId="0" borderId="0" xfId="2" applyNumberFormat="1" applyFont="1" applyFill="1"/>
    <xf numFmtId="17" fontId="13" fillId="0" borderId="0" xfId="2" quotePrefix="1" applyNumberFormat="1" applyFont="1" applyFill="1" applyAlignment="1">
      <alignment horizontal="center"/>
    </xf>
    <xf numFmtId="4" fontId="13" fillId="10" borderId="0" xfId="0" applyNumberFormat="1" applyFont="1" applyFill="1" applyProtection="1"/>
    <xf numFmtId="37" fontId="13" fillId="0" borderId="0" xfId="2" applyNumberFormat="1" applyFont="1" applyFill="1" applyAlignment="1" applyProtection="1">
      <alignment horizontal="left"/>
    </xf>
    <xf numFmtId="17" fontId="13" fillId="0" borderId="0" xfId="2" applyNumberFormat="1" applyFont="1" applyFill="1" applyAlignment="1" applyProtection="1">
      <alignment horizontal="center"/>
    </xf>
    <xf numFmtId="2" fontId="13" fillId="0" borderId="0" xfId="0" applyNumberFormat="1" applyFont="1" applyFill="1"/>
    <xf numFmtId="3" fontId="13" fillId="0" borderId="0" xfId="2" applyNumberFormat="1" applyFont="1" applyFill="1" applyProtection="1"/>
    <xf numFmtId="164" fontId="13" fillId="0" borderId="0" xfId="0" applyFont="1" applyFill="1"/>
    <xf numFmtId="37" fontId="15" fillId="0" borderId="0" xfId="2" applyFont="1" applyFill="1" applyAlignment="1">
      <alignment horizontal="center"/>
    </xf>
    <xf numFmtId="0" fontId="15" fillId="0" borderId="0" xfId="2" applyNumberFormat="1" applyFont="1" applyFill="1" applyAlignment="1">
      <alignment horizontal="center"/>
    </xf>
    <xf numFmtId="17" fontId="13" fillId="0" borderId="0" xfId="2" applyNumberFormat="1" applyFont="1" applyFill="1" applyAlignment="1">
      <alignment horizontal="center"/>
    </xf>
    <xf numFmtId="164" fontId="15" fillId="0" borderId="0" xfId="0" applyFont="1" applyFill="1" applyBorder="1" applyProtection="1"/>
    <xf numFmtId="164" fontId="13" fillId="0" borderId="0" xfId="0" applyFont="1" applyFill="1" applyBorder="1" applyAlignment="1" applyProtection="1">
      <alignment horizontal="center"/>
    </xf>
    <xf numFmtId="181" fontId="13" fillId="0" borderId="0" xfId="2" applyNumberFormat="1" applyFont="1" applyFill="1" applyAlignment="1">
      <alignment horizontal="center" vertical="center"/>
    </xf>
    <xf numFmtId="165" fontId="15" fillId="0" borderId="0" xfId="0" applyNumberFormat="1" applyFont="1" applyFill="1" applyBorder="1" applyProtection="1"/>
    <xf numFmtId="164" fontId="13" fillId="0" borderId="0" xfId="0" applyFont="1" applyAlignment="1">
      <alignment horizontal="center"/>
    </xf>
    <xf numFmtId="166" fontId="15" fillId="0" borderId="0" xfId="0" applyNumberFormat="1" applyFont="1" applyFill="1" applyBorder="1" applyProtection="1"/>
    <xf numFmtId="3" fontId="15" fillId="0" borderId="5" xfId="0" applyNumberFormat="1" applyFont="1" applyFill="1" applyBorder="1" applyProtection="1"/>
    <xf numFmtId="165" fontId="13" fillId="0" borderId="0" xfId="0" applyNumberFormat="1" applyFont="1" applyFill="1" applyBorder="1" applyProtection="1"/>
    <xf numFmtId="166" fontId="13" fillId="0" borderId="0" xfId="0" applyNumberFormat="1" applyFont="1" applyFill="1" applyBorder="1" applyProtection="1"/>
    <xf numFmtId="37" fontId="13" fillId="0" borderId="0" xfId="0" applyNumberFormat="1" applyFont="1" applyFill="1" applyBorder="1" applyProtection="1"/>
    <xf numFmtId="164" fontId="15" fillId="0" borderId="0" xfId="0" applyFont="1" applyFill="1" applyBorder="1" applyAlignment="1" applyProtection="1">
      <alignment horizontal="left"/>
    </xf>
    <xf numFmtId="7" fontId="15" fillId="0" borderId="0" xfId="0" applyNumberFormat="1" applyFont="1" applyFill="1" applyBorder="1" applyProtection="1"/>
    <xf numFmtId="164" fontId="22" fillId="0" borderId="0" xfId="0" applyFont="1" applyFill="1" applyBorder="1" applyAlignment="1" applyProtection="1">
      <alignment horizontal="left"/>
    </xf>
    <xf numFmtId="4" fontId="13" fillId="10" borderId="0" xfId="0" applyNumberFormat="1" applyFont="1" applyFill="1" applyBorder="1" applyProtection="1"/>
    <xf numFmtId="37" fontId="13" fillId="0" borderId="0" xfId="2" applyNumberFormat="1" applyFont="1" applyFill="1" applyProtection="1"/>
    <xf numFmtId="164" fontId="15" fillId="9" borderId="0" xfId="0" applyFont="1" applyFill="1" applyBorder="1" applyAlignment="1" applyProtection="1">
      <alignment horizontal="center"/>
    </xf>
    <xf numFmtId="164" fontId="13" fillId="9" borderId="0" xfId="0" applyFont="1" applyFill="1" applyBorder="1" applyAlignment="1" applyProtection="1">
      <alignment horizontal="center"/>
    </xf>
    <xf numFmtId="164" fontId="13" fillId="9" borderId="0" xfId="0" applyFont="1" applyFill="1"/>
    <xf numFmtId="164" fontId="13" fillId="9" borderId="0" xfId="0" applyFont="1" applyFill="1" applyBorder="1" applyProtection="1"/>
    <xf numFmtId="2" fontId="13" fillId="9" borderId="0" xfId="0" applyNumberFormat="1" applyFont="1" applyFill="1" applyBorder="1" applyProtection="1"/>
    <xf numFmtId="17" fontId="13" fillId="9" borderId="0" xfId="2" applyNumberFormat="1" applyFont="1" applyFill="1" applyAlignment="1" applyProtection="1">
      <alignment horizontal="center"/>
    </xf>
    <xf numFmtId="4" fontId="13" fillId="9" borderId="0" xfId="0" applyNumberFormat="1" applyFont="1" applyFill="1" applyBorder="1" applyProtection="1"/>
    <xf numFmtId="168" fontId="13" fillId="9" borderId="0" xfId="0" applyNumberFormat="1" applyFont="1" applyFill="1" applyProtection="1"/>
    <xf numFmtId="2" fontId="13" fillId="9" borderId="0" xfId="0" applyNumberFormat="1" applyFont="1" applyFill="1"/>
    <xf numFmtId="3" fontId="13" fillId="9" borderId="0" xfId="2" applyNumberFormat="1" applyFont="1" applyFill="1" applyProtection="1"/>
    <xf numFmtId="3" fontId="13" fillId="9" borderId="0" xfId="0" applyNumberFormat="1" applyFont="1" applyFill="1" applyProtection="1"/>
    <xf numFmtId="4" fontId="15" fillId="0" borderId="0" xfId="0" applyNumberFormat="1" applyFont="1" applyFill="1" applyBorder="1" applyProtection="1"/>
    <xf numFmtId="164" fontId="13" fillId="0" borderId="0" xfId="0" quotePrefix="1" applyFont="1" applyAlignment="1">
      <alignment horizontal="center"/>
    </xf>
    <xf numFmtId="166" fontId="13" fillId="0" borderId="0" xfId="0" applyNumberFormat="1" applyFont="1" applyProtection="1"/>
    <xf numFmtId="2" fontId="13" fillId="0" borderId="0" xfId="0" applyNumberFormat="1" applyFont="1"/>
    <xf numFmtId="3" fontId="13" fillId="0" borderId="0" xfId="0" applyNumberFormat="1" applyFont="1" applyProtection="1"/>
    <xf numFmtId="166" fontId="13" fillId="0" borderId="0" xfId="0" applyNumberFormat="1" applyFont="1" applyFill="1" applyProtection="1"/>
    <xf numFmtId="37" fontId="15" fillId="0" borderId="0" xfId="0" applyNumberFormat="1" applyFont="1" applyFill="1" applyBorder="1" applyProtection="1"/>
    <xf numFmtId="2" fontId="13" fillId="4" borderId="0" xfId="0" applyNumberFormat="1" applyFont="1" applyFill="1"/>
    <xf numFmtId="175" fontId="13" fillId="0" borderId="0" xfId="2" applyNumberFormat="1" applyFont="1" applyFill="1" applyProtection="1"/>
    <xf numFmtId="37" fontId="13" fillId="0" borderId="0" xfId="2" applyNumberFormat="1" applyFont="1" applyFill="1" applyAlignment="1" applyProtection="1"/>
    <xf numFmtId="181" fontId="13" fillId="0" borderId="0" xfId="2" applyNumberFormat="1" applyFont="1" applyFill="1" applyAlignment="1">
      <alignment horizontal="center"/>
    </xf>
    <xf numFmtId="5" fontId="13" fillId="0" borderId="0" xfId="2" applyNumberFormat="1" applyFont="1"/>
    <xf numFmtId="37" fontId="13" fillId="0" borderId="0" xfId="2" applyFont="1"/>
    <xf numFmtId="168" fontId="13" fillId="0" borderId="0" xfId="0" applyNumberFormat="1" applyFont="1" applyFill="1" applyAlignment="1" applyProtection="1">
      <alignment horizontal="right"/>
    </xf>
    <xf numFmtId="0" fontId="13" fillId="0" borderId="0" xfId="2" applyNumberFormat="1" applyFont="1" applyFill="1" applyAlignment="1" applyProtection="1">
      <alignment horizontal="left"/>
    </xf>
    <xf numFmtId="49" fontId="15" fillId="0" borderId="0" xfId="0" applyNumberFormat="1" applyFont="1" applyFill="1" applyBorder="1" applyAlignment="1" applyProtection="1">
      <alignment horizontal="center"/>
    </xf>
    <xf numFmtId="164" fontId="13" fillId="0" borderId="0" xfId="0" applyFont="1" applyFill="1" applyAlignment="1">
      <alignment horizontal="left"/>
    </xf>
    <xf numFmtId="17" fontId="13" fillId="0" borderId="0" xfId="0" applyNumberFormat="1" applyFont="1" applyFill="1" applyAlignment="1">
      <alignment horizontal="center"/>
    </xf>
    <xf numFmtId="17" fontId="13" fillId="0" borderId="0" xfId="0" applyNumberFormat="1" applyFont="1" applyFill="1" applyBorder="1" applyAlignment="1">
      <alignment horizontal="center"/>
    </xf>
    <xf numFmtId="168" fontId="13" fillId="0" borderId="0" xfId="0" applyNumberFormat="1" applyFont="1" applyFill="1" applyBorder="1" applyProtection="1"/>
    <xf numFmtId="37" fontId="13" fillId="0" borderId="0" xfId="2" applyFont="1" applyFill="1" applyAlignment="1">
      <alignment wrapText="1"/>
    </xf>
    <xf numFmtId="4" fontId="13" fillId="9" borderId="0" xfId="0" applyNumberFormat="1" applyFont="1" applyFill="1" applyProtection="1"/>
    <xf numFmtId="165" fontId="14" fillId="0" borderId="0" xfId="0" applyNumberFormat="1" applyFont="1" applyFill="1" applyBorder="1" applyProtection="1"/>
    <xf numFmtId="164" fontId="15" fillId="0" borderId="0" xfId="0" applyFont="1" applyFill="1" applyBorder="1" applyAlignment="1">
      <alignment horizontal="center"/>
    </xf>
    <xf numFmtId="164" fontId="13" fillId="0" borderId="0" xfId="0" applyFont="1" applyFill="1" applyAlignment="1">
      <alignment horizontal="center"/>
    </xf>
    <xf numFmtId="168" fontId="13" fillId="0" borderId="0" xfId="0" applyNumberFormat="1" applyFont="1" applyFill="1" applyBorder="1" applyAlignment="1" applyProtection="1">
      <alignment horizontal="right"/>
    </xf>
    <xf numFmtId="164" fontId="22" fillId="7" borderId="0" xfId="0" applyFont="1" applyFill="1" applyBorder="1" applyAlignment="1" applyProtection="1">
      <alignment horizontal="left"/>
    </xf>
    <xf numFmtId="164" fontId="15" fillId="7" borderId="0" xfId="0" applyFont="1" applyFill="1" applyBorder="1" applyProtection="1"/>
    <xf numFmtId="164" fontId="13" fillId="7" borderId="0" xfId="0" applyFont="1" applyFill="1" applyBorder="1" applyProtection="1"/>
    <xf numFmtId="165" fontId="15" fillId="7" borderId="0" xfId="0" applyNumberFormat="1" applyFont="1" applyFill="1" applyBorder="1" applyProtection="1"/>
    <xf numFmtId="164" fontId="13" fillId="7" borderId="0" xfId="0" applyFont="1" applyFill="1" applyAlignment="1">
      <alignment horizontal="center"/>
    </xf>
    <xf numFmtId="165" fontId="13" fillId="7" borderId="0" xfId="0" applyNumberFormat="1" applyFont="1" applyFill="1" applyBorder="1" applyProtection="1"/>
    <xf numFmtId="166" fontId="13" fillId="7" borderId="0" xfId="0" applyNumberFormat="1" applyFont="1" applyFill="1" applyBorder="1" applyProtection="1"/>
    <xf numFmtId="37" fontId="13" fillId="7" borderId="0" xfId="0" applyNumberFormat="1" applyFont="1" applyFill="1" applyBorder="1" applyProtection="1"/>
    <xf numFmtId="166" fontId="13" fillId="4" borderId="0" xfId="0" applyNumberFormat="1" applyFont="1" applyFill="1" applyBorder="1" applyProtection="1"/>
    <xf numFmtId="164" fontId="15" fillId="7" borderId="0" xfId="0" applyFont="1" applyFill="1" applyBorder="1" applyAlignment="1" applyProtection="1">
      <alignment horizontal="left"/>
    </xf>
    <xf numFmtId="166" fontId="15" fillId="7" borderId="0" xfId="0" applyNumberFormat="1" applyFont="1" applyFill="1" applyBorder="1" applyProtection="1"/>
    <xf numFmtId="7" fontId="15" fillId="7" borderId="0" xfId="0" applyNumberFormat="1" applyFont="1" applyFill="1" applyBorder="1" applyProtection="1"/>
    <xf numFmtId="177" fontId="13" fillId="0" borderId="0" xfId="0" applyNumberFormat="1" applyFont="1" applyFill="1" applyBorder="1" applyProtection="1"/>
    <xf numFmtId="177" fontId="13" fillId="4" borderId="0" xfId="0" applyNumberFormat="1" applyFont="1" applyFill="1" applyBorder="1" applyProtection="1"/>
    <xf numFmtId="37" fontId="13" fillId="9" borderId="0" xfId="2" applyNumberFormat="1" applyFont="1" applyFill="1" applyAlignment="1" applyProtection="1">
      <alignment horizontal="left"/>
    </xf>
    <xf numFmtId="17" fontId="13" fillId="9" borderId="0" xfId="0" applyNumberFormat="1" applyFont="1" applyFill="1" applyAlignment="1">
      <alignment horizontal="center"/>
    </xf>
    <xf numFmtId="177" fontId="13" fillId="9" borderId="0" xfId="0" applyNumberFormat="1" applyFont="1" applyFill="1" applyBorder="1" applyProtection="1"/>
    <xf numFmtId="3" fontId="13" fillId="9" borderId="0" xfId="0" applyNumberFormat="1" applyFont="1" applyFill="1" applyBorder="1" applyProtection="1"/>
    <xf numFmtId="168" fontId="13" fillId="4" borderId="0" xfId="0" applyNumberFormat="1" applyFont="1" applyFill="1" applyBorder="1" applyProtection="1"/>
    <xf numFmtId="164" fontId="13" fillId="4" borderId="0" xfId="0" quotePrefix="1" applyFont="1" applyFill="1" applyAlignment="1">
      <alignment horizontal="center"/>
    </xf>
    <xf numFmtId="37" fontId="13" fillId="0" borderId="0" xfId="0" applyNumberFormat="1" applyFont="1" applyProtection="1"/>
    <xf numFmtId="164" fontId="15" fillId="0" borderId="0" xfId="0" applyFont="1" applyAlignment="1" applyProtection="1">
      <alignment horizontal="left"/>
    </xf>
    <xf numFmtId="164" fontId="15" fillId="0" borderId="0" xfId="0" applyFont="1" applyProtection="1"/>
    <xf numFmtId="7" fontId="15" fillId="0" borderId="0" xfId="0" applyNumberFormat="1" applyFont="1" applyProtection="1"/>
    <xf numFmtId="167" fontId="13" fillId="0" borderId="0" xfId="0" applyNumberFormat="1" applyFont="1"/>
    <xf numFmtId="37" fontId="19" fillId="0" borderId="0" xfId="2" applyFont="1" applyFill="1"/>
    <xf numFmtId="37" fontId="19" fillId="0" borderId="0" xfId="2" applyFont="1"/>
    <xf numFmtId="37" fontId="19" fillId="9" borderId="0" xfId="2" applyFont="1" applyFill="1"/>
    <xf numFmtId="37" fontId="12" fillId="8" borderId="0" xfId="2" applyFont="1" applyFill="1"/>
    <xf numFmtId="37" fontId="19" fillId="8" borderId="0" xfId="2" applyFont="1" applyFill="1"/>
    <xf numFmtId="10" fontId="19" fillId="0" borderId="0" xfId="2" applyNumberFormat="1" applyFont="1" applyProtection="1"/>
    <xf numFmtId="7" fontId="12" fillId="11" borderId="0" xfId="0" applyNumberFormat="1" applyFont="1" applyFill="1" applyAlignment="1" applyProtection="1">
      <alignment horizontal="center"/>
    </xf>
    <xf numFmtId="164" fontId="19" fillId="11" borderId="0" xfId="0" applyFont="1" applyFill="1"/>
    <xf numFmtId="7" fontId="23" fillId="11" borderId="0" xfId="0" applyNumberFormat="1" applyFont="1" applyFill="1" applyAlignment="1" applyProtection="1">
      <alignment horizontal="left"/>
    </xf>
    <xf numFmtId="164" fontId="19" fillId="11" borderId="0" xfId="0" applyFont="1" applyFill="1" applyBorder="1" applyAlignment="1" applyProtection="1">
      <alignment horizontal="left"/>
    </xf>
    <xf numFmtId="164" fontId="19" fillId="11" borderId="0" xfId="0" applyFont="1" applyFill="1" applyBorder="1" applyProtection="1"/>
    <xf numFmtId="164" fontId="19" fillId="9" borderId="0" xfId="0" applyFont="1" applyFill="1"/>
    <xf numFmtId="164" fontId="19" fillId="0" borderId="1" xfId="0" applyFont="1" applyBorder="1" applyProtection="1"/>
    <xf numFmtId="167" fontId="23" fillId="11" borderId="0" xfId="0" applyNumberFormat="1" applyFont="1" applyFill="1" applyAlignment="1" applyProtection="1">
      <alignment horizontal="left"/>
    </xf>
    <xf numFmtId="164" fontId="4" fillId="0" borderId="0" xfId="0" applyFont="1"/>
    <xf numFmtId="165" fontId="12" fillId="0" borderId="0" xfId="0" applyNumberFormat="1" applyFont="1" applyFill="1"/>
    <xf numFmtId="37" fontId="17" fillId="0" borderId="0" xfId="2" applyFont="1"/>
    <xf numFmtId="37" fontId="16" fillId="0" borderId="0" xfId="2" applyNumberFormat="1" applyFont="1" applyFill="1" applyAlignment="1" applyProtection="1">
      <alignment horizontal="center"/>
    </xf>
    <xf numFmtId="37" fontId="17" fillId="0" borderId="0" xfId="2" applyNumberFormat="1" applyFont="1" applyFill="1" applyAlignment="1" applyProtection="1">
      <alignment horizontal="left"/>
    </xf>
    <xf numFmtId="5" fontId="17" fillId="0" borderId="0" xfId="2" applyNumberFormat="1" applyFont="1" applyFill="1" applyProtection="1"/>
    <xf numFmtId="37" fontId="17" fillId="0" borderId="0" xfId="2" applyNumberFormat="1" applyFont="1" applyFill="1" applyProtection="1"/>
    <xf numFmtId="37" fontId="17" fillId="0" borderId="0" xfId="2" applyNumberFormat="1" applyFont="1" applyAlignment="1" applyProtection="1">
      <alignment horizontal="left"/>
    </xf>
    <xf numFmtId="37" fontId="16" fillId="0" borderId="0" xfId="2" applyFont="1" applyFill="1"/>
    <xf numFmtId="37" fontId="17" fillId="0" borderId="0" xfId="2" applyFont="1" applyFill="1"/>
    <xf numFmtId="37" fontId="17" fillId="0" borderId="0" xfId="2" applyNumberFormat="1" applyFont="1" applyProtection="1"/>
    <xf numFmtId="10" fontId="17" fillId="0" borderId="0" xfId="2" applyNumberFormat="1" applyFont="1" applyProtection="1"/>
    <xf numFmtId="37" fontId="16" fillId="0" borderId="0" xfId="2" applyNumberFormat="1" applyFont="1" applyAlignment="1" applyProtection="1">
      <alignment horizontal="left"/>
    </xf>
    <xf numFmtId="37" fontId="16" fillId="0" borderId="0" xfId="2" applyFont="1"/>
    <xf numFmtId="37" fontId="17" fillId="0" borderId="0" xfId="2" quotePrefix="1" applyNumberFormat="1" applyFont="1" applyFill="1" applyAlignment="1" applyProtection="1">
      <alignment horizontal="left"/>
    </xf>
    <xf numFmtId="37" fontId="17" fillId="5" borderId="0" xfId="2" applyNumberFormat="1" applyFont="1" applyFill="1" applyProtection="1"/>
    <xf numFmtId="10" fontId="17" fillId="5" borderId="0" xfId="2" applyNumberFormat="1" applyFont="1" applyFill="1" applyProtection="1"/>
    <xf numFmtId="5" fontId="17" fillId="0" borderId="0" xfId="2" applyNumberFormat="1" applyFont="1" applyFill="1"/>
    <xf numFmtId="37" fontId="17" fillId="4" borderId="0" xfId="2" applyNumberFormat="1" applyFont="1" applyFill="1" applyProtection="1"/>
    <xf numFmtId="10" fontId="17" fillId="4" borderId="0" xfId="2" applyNumberFormat="1" applyFont="1" applyFill="1" applyProtection="1"/>
    <xf numFmtId="37" fontId="16" fillId="0" borderId="0" xfId="2" quotePrefix="1" applyNumberFormat="1" applyFont="1" applyAlignment="1" applyProtection="1">
      <alignment horizontal="left"/>
    </xf>
    <xf numFmtId="37" fontId="16" fillId="0" borderId="0" xfId="2" applyFont="1" applyFill="1" applyAlignment="1">
      <alignment horizontal="center"/>
    </xf>
    <xf numFmtId="10" fontId="17" fillId="0" borderId="0" xfId="2" applyNumberFormat="1" applyFont="1" applyFill="1" applyProtection="1"/>
    <xf numFmtId="37" fontId="17" fillId="0" borderId="0" xfId="2" applyNumberFormat="1" applyFont="1" applyFill="1" applyAlignment="1" applyProtection="1"/>
    <xf numFmtId="0" fontId="16" fillId="0" borderId="0" xfId="2" applyNumberFormat="1" applyFont="1" applyFill="1" applyAlignment="1">
      <alignment horizontal="center"/>
    </xf>
    <xf numFmtId="37" fontId="17" fillId="5" borderId="0" xfId="2" applyFont="1" applyFill="1"/>
    <xf numFmtId="37" fontId="16" fillId="0" borderId="0" xfId="2" applyNumberFormat="1" applyFont="1" applyFill="1" applyAlignment="1" applyProtection="1">
      <alignment horizontal="left"/>
    </xf>
    <xf numFmtId="38" fontId="17" fillId="0" borderId="0" xfId="0" applyNumberFormat="1" applyFont="1" applyBorder="1"/>
    <xf numFmtId="182" fontId="17" fillId="0" borderId="0" xfId="0" applyNumberFormat="1" applyFont="1" applyBorder="1" applyAlignment="1">
      <alignment wrapText="1"/>
    </xf>
    <xf numFmtId="3" fontId="17" fillId="0" borderId="0" xfId="0" applyNumberFormat="1" applyFont="1" applyBorder="1" applyAlignment="1"/>
    <xf numFmtId="37" fontId="17" fillId="0" borderId="0" xfId="2" applyFont="1" applyBorder="1"/>
    <xf numFmtId="10" fontId="17" fillId="0" borderId="0" xfId="2" applyNumberFormat="1" applyFont="1" applyBorder="1" applyProtection="1"/>
    <xf numFmtId="37" fontId="17" fillId="0" borderId="0" xfId="2" applyFont="1" applyFill="1" applyBorder="1"/>
    <xf numFmtId="37" fontId="17" fillId="5" borderId="0" xfId="2" applyFont="1" applyFill="1" applyBorder="1"/>
    <xf numFmtId="10" fontId="17" fillId="5" borderId="0" xfId="2" applyNumberFormat="1" applyFont="1" applyFill="1" applyBorder="1" applyProtection="1"/>
    <xf numFmtId="10" fontId="17" fillId="0" borderId="0" xfId="2" applyNumberFormat="1" applyFont="1" applyFill="1" applyBorder="1" applyProtection="1"/>
    <xf numFmtId="37" fontId="16" fillId="0" borderId="0" xfId="2" quotePrefix="1" applyNumberFormat="1" applyFont="1" applyFill="1" applyAlignment="1" applyProtection="1">
      <alignment horizontal="center"/>
    </xf>
    <xf numFmtId="181" fontId="17" fillId="0" borderId="0" xfId="2" applyNumberFormat="1" applyFont="1" applyFill="1" applyAlignment="1" applyProtection="1">
      <alignment horizontal="center"/>
    </xf>
    <xf numFmtId="37" fontId="17" fillId="0" borderId="0" xfId="2" applyNumberFormat="1" applyFont="1" applyBorder="1" applyProtection="1"/>
    <xf numFmtId="37" fontId="18" fillId="0" borderId="0" xfId="2" applyFont="1" applyFill="1"/>
    <xf numFmtId="164" fontId="17" fillId="0" borderId="0" xfId="0" applyFont="1" applyFill="1"/>
    <xf numFmtId="181" fontId="17" fillId="0" borderId="0" xfId="2" applyNumberFormat="1" applyFont="1" applyFill="1" applyAlignment="1">
      <alignment horizontal="center"/>
    </xf>
    <xf numFmtId="37" fontId="17" fillId="12" borderId="0" xfId="2" applyFont="1" applyFill="1"/>
    <xf numFmtId="10" fontId="17" fillId="12" borderId="0" xfId="2" applyNumberFormat="1" applyFont="1" applyFill="1" applyProtection="1"/>
    <xf numFmtId="37" fontId="17" fillId="0" borderId="0" xfId="2" applyFont="1" applyFill="1" applyAlignment="1">
      <alignment horizontal="center"/>
    </xf>
    <xf numFmtId="37" fontId="17" fillId="0" borderId="0" xfId="2" applyNumberFormat="1" applyFont="1" applyFill="1" applyAlignment="1" applyProtection="1">
      <alignment horizontal="left" vertical="center"/>
    </xf>
    <xf numFmtId="37" fontId="17" fillId="0" borderId="0" xfId="2" applyNumberFormat="1" applyFont="1" applyFill="1" applyAlignment="1" applyProtection="1">
      <alignment vertical="top"/>
    </xf>
    <xf numFmtId="37" fontId="17" fillId="0" borderId="0" xfId="2" applyNumberFormat="1" applyFont="1" applyFill="1" applyAlignment="1" applyProtection="1">
      <alignment horizontal="left" vertical="top" indent="1"/>
    </xf>
    <xf numFmtId="37" fontId="16" fillId="9" borderId="0" xfId="2" applyFont="1" applyFill="1" applyAlignment="1">
      <alignment horizontal="center"/>
    </xf>
    <xf numFmtId="37" fontId="17" fillId="9" borderId="0" xfId="2" applyNumberFormat="1" applyFont="1" applyFill="1" applyAlignment="1" applyProtection="1">
      <alignment vertical="top"/>
    </xf>
    <xf numFmtId="181" fontId="17" fillId="9" borderId="0" xfId="2" applyNumberFormat="1" applyFont="1" applyFill="1" applyAlignment="1">
      <alignment horizontal="center"/>
    </xf>
    <xf numFmtId="5" fontId="17" fillId="9" borderId="0" xfId="2" applyNumberFormat="1" applyFont="1" applyFill="1"/>
    <xf numFmtId="37" fontId="17" fillId="9" borderId="0" xfId="2" applyFont="1" applyFill="1"/>
    <xf numFmtId="10" fontId="17" fillId="9" borderId="0" xfId="2" applyNumberFormat="1" applyFont="1" applyFill="1" applyProtection="1"/>
    <xf numFmtId="37" fontId="16" fillId="4" borderId="0" xfId="2" applyFont="1" applyFill="1"/>
    <xf numFmtId="182" fontId="17" fillId="0" borderId="0" xfId="0" applyNumberFormat="1" applyFont="1" applyBorder="1" applyAlignment="1"/>
    <xf numFmtId="39" fontId="17" fillId="0" borderId="0" xfId="2" applyNumberFormat="1" applyFont="1" applyFill="1"/>
    <xf numFmtId="37" fontId="17" fillId="0" borderId="0" xfId="2" applyNumberFormat="1" applyFont="1" applyFill="1"/>
    <xf numFmtId="10" fontId="17" fillId="5" borderId="0" xfId="3" applyNumberFormat="1" applyFont="1" applyFill="1"/>
    <xf numFmtId="10" fontId="17" fillId="0" borderId="0" xfId="3" applyNumberFormat="1" applyFont="1" applyFill="1"/>
    <xf numFmtId="37" fontId="16" fillId="0" borderId="0" xfId="2" applyFont="1" applyFill="1" applyAlignment="1">
      <alignment horizontal="left"/>
    </xf>
    <xf numFmtId="10" fontId="17" fillId="12" borderId="0" xfId="3" applyNumberFormat="1" applyFont="1" applyFill="1"/>
    <xf numFmtId="9" fontId="17" fillId="12" borderId="0" xfId="3" applyFont="1" applyFill="1"/>
    <xf numFmtId="6" fontId="17" fillId="0" borderId="0" xfId="1" applyNumberFormat="1" applyFont="1" applyFill="1"/>
    <xf numFmtId="37" fontId="17" fillId="9" borderId="0" xfId="2" applyFont="1" applyFill="1" applyAlignment="1">
      <alignment horizontal="center"/>
    </xf>
    <xf numFmtId="37" fontId="17" fillId="9" borderId="0" xfId="2" applyNumberFormat="1" applyFont="1" applyFill="1" applyAlignment="1" applyProtection="1">
      <alignment horizontal="left"/>
    </xf>
    <xf numFmtId="6" fontId="17" fillId="9" borderId="0" xfId="1" applyNumberFormat="1" applyFont="1" applyFill="1"/>
    <xf numFmtId="10" fontId="17" fillId="9" borderId="0" xfId="3" applyNumberFormat="1" applyFont="1" applyFill="1"/>
    <xf numFmtId="37" fontId="17" fillId="0" borderId="0" xfId="2" applyNumberFormat="1" applyFont="1" applyFill="1" applyAlignment="1" applyProtection="1">
      <alignment horizontal="left" indent="1"/>
    </xf>
    <xf numFmtId="37" fontId="16" fillId="0" borderId="0" xfId="2" applyNumberFormat="1" applyFont="1" applyFill="1" applyAlignment="1" applyProtection="1"/>
    <xf numFmtId="37" fontId="16" fillId="8" borderId="0" xfId="2" applyFont="1" applyFill="1"/>
    <xf numFmtId="37" fontId="17" fillId="8" borderId="0" xfId="2" applyNumberFormat="1" applyFont="1" applyFill="1" applyAlignment="1" applyProtection="1">
      <alignment horizontal="left"/>
    </xf>
    <xf numFmtId="5" fontId="17" fillId="8" borderId="0" xfId="2" applyNumberFormat="1" applyFont="1" applyFill="1"/>
    <xf numFmtId="37" fontId="17" fillId="8" borderId="0" xfId="2" applyFont="1" applyFill="1"/>
    <xf numFmtId="37" fontId="17" fillId="8" borderId="0" xfId="2" applyNumberFormat="1" applyFont="1" applyFill="1" applyProtection="1"/>
    <xf numFmtId="10" fontId="17" fillId="8" borderId="0" xfId="2" applyNumberFormat="1" applyFont="1" applyFill="1" applyProtection="1"/>
    <xf numFmtId="37" fontId="16" fillId="8" borderId="0" xfId="2" applyNumberFormat="1" applyFont="1" applyFill="1" applyAlignment="1" applyProtection="1">
      <alignment horizontal="center"/>
    </xf>
    <xf numFmtId="37" fontId="17" fillId="13" borderId="0" xfId="2" applyNumberFormat="1" applyFont="1" applyFill="1" applyProtection="1"/>
    <xf numFmtId="10" fontId="17" fillId="13" borderId="0" xfId="2" applyNumberFormat="1" applyFont="1" applyFill="1" applyProtection="1"/>
    <xf numFmtId="37" fontId="17" fillId="9" borderId="0" xfId="2" applyNumberFormat="1" applyFont="1" applyFill="1" applyProtection="1"/>
    <xf numFmtId="0" fontId="16" fillId="0" borderId="0" xfId="2" quotePrefix="1" applyNumberFormat="1" applyFont="1" applyFill="1" applyAlignment="1">
      <alignment horizontal="center"/>
    </xf>
    <xf numFmtId="37" fontId="18" fillId="0" borderId="0" xfId="2" applyFont="1" applyFill="1" applyAlignment="1">
      <alignment horizontal="center"/>
    </xf>
    <xf numFmtId="182" fontId="17" fillId="0" borderId="0" xfId="1" applyNumberFormat="1" applyFont="1" applyFill="1" applyBorder="1" applyAlignment="1"/>
    <xf numFmtId="9" fontId="17" fillId="0" borderId="0" xfId="3" applyFont="1" applyFill="1"/>
    <xf numFmtId="37" fontId="17" fillId="9" borderId="0" xfId="2" applyNumberFormat="1" applyFont="1" applyFill="1" applyAlignment="1" applyProtection="1"/>
    <xf numFmtId="37" fontId="17" fillId="6" borderId="0" xfId="2" applyNumberFormat="1" applyFont="1" applyFill="1" applyProtection="1"/>
    <xf numFmtId="10" fontId="17" fillId="6" borderId="0" xfId="2" applyNumberFormat="1" applyFont="1" applyFill="1" applyProtection="1"/>
    <xf numFmtId="5" fontId="16" fillId="0" borderId="0" xfId="2" applyNumberFormat="1" applyFont="1" applyFill="1" applyAlignment="1">
      <alignment horizontal="center"/>
    </xf>
    <xf numFmtId="5" fontId="16" fillId="0" borderId="0" xfId="2" applyNumberFormat="1" applyFont="1" applyFill="1"/>
    <xf numFmtId="181" fontId="17" fillId="0" borderId="0" xfId="2" applyNumberFormat="1" applyFont="1" applyFill="1" applyAlignment="1">
      <alignment horizontal="center" vertical="center"/>
    </xf>
    <xf numFmtId="37" fontId="17" fillId="9" borderId="0" xfId="2" applyNumberFormat="1" applyFont="1" applyFill="1" applyAlignment="1" applyProtection="1">
      <alignment horizontal="left" indent="1"/>
    </xf>
    <xf numFmtId="37" fontId="16" fillId="9" borderId="0" xfId="2" applyFont="1" applyFill="1"/>
    <xf numFmtId="37" fontId="16" fillId="0" borderId="0" xfId="2" applyNumberFormat="1" applyFont="1" applyAlignment="1" applyProtection="1"/>
    <xf numFmtId="37" fontId="17" fillId="12" borderId="0" xfId="2" applyNumberFormat="1" applyFont="1" applyFill="1" applyProtection="1"/>
    <xf numFmtId="37" fontId="16" fillId="0" borderId="0" xfId="2" applyFont="1" applyAlignment="1">
      <alignment horizontal="left" indent="1"/>
    </xf>
    <xf numFmtId="37" fontId="16" fillId="0" borderId="0" xfId="2" quotePrefix="1" applyNumberFormat="1" applyFont="1" applyFill="1" applyAlignment="1" applyProtection="1">
      <alignment horizontal="left"/>
    </xf>
    <xf numFmtId="181" fontId="17" fillId="0" borderId="0" xfId="2" quotePrefix="1" applyNumberFormat="1" applyFont="1" applyFill="1" applyAlignment="1">
      <alignment horizontal="center"/>
    </xf>
    <xf numFmtId="174" fontId="16" fillId="0" borderId="0" xfId="2" applyNumberFormat="1" applyFont="1" applyFill="1" applyAlignment="1">
      <alignment horizontal="center"/>
    </xf>
    <xf numFmtId="164" fontId="17" fillId="0" borderId="0" xfId="0" applyFont="1" applyBorder="1"/>
    <xf numFmtId="37" fontId="17" fillId="0" borderId="0" xfId="2" applyNumberFormat="1" applyFont="1" applyFill="1" applyBorder="1" applyAlignment="1" applyProtection="1">
      <alignment horizontal="left"/>
    </xf>
    <xf numFmtId="5" fontId="17" fillId="0" borderId="0" xfId="2" applyNumberFormat="1" applyFont="1" applyFill="1" applyBorder="1"/>
    <xf numFmtId="174" fontId="17" fillId="0" borderId="0" xfId="2" applyNumberFormat="1" applyFont="1" applyFill="1"/>
    <xf numFmtId="37" fontId="17" fillId="0" borderId="0" xfId="2" applyFont="1" applyAlignment="1">
      <alignment horizontal="center"/>
    </xf>
    <xf numFmtId="37" fontId="16" fillId="0" borderId="0" xfId="2" applyFont="1" applyAlignment="1">
      <alignment horizontal="center"/>
    </xf>
    <xf numFmtId="37" fontId="17" fillId="0" borderId="0" xfId="2" applyFont="1" applyAlignment="1">
      <alignment horizontal="left" indent="1"/>
    </xf>
    <xf numFmtId="165" fontId="19" fillId="0" borderId="0" xfId="0" applyNumberFormat="1" applyFont="1" applyFill="1" applyAlignment="1" applyProtection="1">
      <alignment horizontal="left"/>
    </xf>
    <xf numFmtId="167" fontId="19" fillId="0" borderId="0" xfId="0" applyNumberFormat="1" applyFont="1" applyFill="1" applyAlignment="1" applyProtection="1">
      <alignment horizontal="center"/>
    </xf>
    <xf numFmtId="165" fontId="19" fillId="11" borderId="0" xfId="0" applyNumberFormat="1" applyFont="1" applyFill="1" applyAlignment="1" applyProtection="1">
      <alignment horizontal="left"/>
    </xf>
    <xf numFmtId="167" fontId="24" fillId="11" borderId="0" xfId="0" applyNumberFormat="1" applyFont="1" applyFill="1" applyAlignment="1" applyProtection="1">
      <alignment horizontal="center"/>
    </xf>
    <xf numFmtId="167" fontId="19" fillId="11" borderId="0" xfId="0" applyNumberFormat="1" applyFont="1" applyFill="1" applyAlignment="1" applyProtection="1">
      <alignment horizontal="center"/>
    </xf>
    <xf numFmtId="37" fontId="16" fillId="14" borderId="0" xfId="2" applyFont="1" applyFill="1" applyAlignment="1">
      <alignment horizontal="center"/>
    </xf>
    <xf numFmtId="37" fontId="17" fillId="14" borderId="0" xfId="2" applyNumberFormat="1" applyFont="1" applyFill="1" applyAlignment="1" applyProtection="1">
      <alignment horizontal="left"/>
    </xf>
    <xf numFmtId="5" fontId="17" fillId="14" borderId="0" xfId="2" applyNumberFormat="1" applyFont="1" applyFill="1"/>
    <xf numFmtId="37" fontId="17" fillId="14" borderId="0" xfId="2" applyFont="1" applyFill="1"/>
    <xf numFmtId="37" fontId="17" fillId="14" borderId="0" xfId="2" applyNumberFormat="1" applyFont="1" applyFill="1" applyProtection="1"/>
    <xf numFmtId="10" fontId="17" fillId="14" borderId="0" xfId="2" applyNumberFormat="1" applyFont="1" applyFill="1" applyProtection="1"/>
    <xf numFmtId="37" fontId="16" fillId="14" borderId="0" xfId="2" applyFont="1" applyFill="1"/>
    <xf numFmtId="37" fontId="16" fillId="14" borderId="0" xfId="2" applyNumberFormat="1" applyFont="1" applyFill="1" applyAlignment="1" applyProtection="1">
      <alignment horizontal="center"/>
    </xf>
    <xf numFmtId="5" fontId="17" fillId="14" borderId="0" xfId="2" applyNumberFormat="1" applyFont="1" applyFill="1" applyProtection="1"/>
    <xf numFmtId="39" fontId="17" fillId="14" borderId="0" xfId="2" applyNumberFormat="1" applyFont="1" applyFill="1"/>
    <xf numFmtId="37" fontId="17" fillId="14" borderId="0" xfId="2" quotePrefix="1" applyNumberFormat="1" applyFont="1" applyFill="1" applyAlignment="1" applyProtection="1">
      <alignment horizontal="left"/>
    </xf>
    <xf numFmtId="37" fontId="19" fillId="0" borderId="0" xfId="2" applyFont="1" applyAlignment="1">
      <alignment horizontal="center"/>
    </xf>
    <xf numFmtId="181" fontId="17" fillId="0" borderId="0" xfId="2" applyNumberFormat="1" applyFont="1" applyAlignment="1">
      <alignment horizontal="center"/>
    </xf>
    <xf numFmtId="37" fontId="6" fillId="0" borderId="0" xfId="2" applyAlignment="1">
      <alignment horizontal="center"/>
    </xf>
    <xf numFmtId="181" fontId="19" fillId="0" borderId="0" xfId="2" applyNumberFormat="1" applyFont="1" applyAlignment="1">
      <alignment horizontal="center"/>
    </xf>
    <xf numFmtId="181" fontId="18" fillId="0" borderId="0" xfId="2" applyNumberFormat="1" applyFont="1" applyFill="1" applyAlignment="1">
      <alignment horizontal="center"/>
    </xf>
    <xf numFmtId="181" fontId="17" fillId="8" borderId="0" xfId="2" applyNumberFormat="1" applyFont="1" applyFill="1" applyAlignment="1" applyProtection="1">
      <alignment horizontal="center"/>
    </xf>
    <xf numFmtId="181" fontId="17" fillId="8" borderId="0" xfId="2" applyNumberFormat="1" applyFont="1" applyFill="1" applyAlignment="1">
      <alignment horizontal="center"/>
    </xf>
    <xf numFmtId="181" fontId="17" fillId="14" borderId="0" xfId="2" applyNumberFormat="1" applyFont="1" applyFill="1" applyAlignment="1" applyProtection="1">
      <alignment horizontal="center"/>
    </xf>
    <xf numFmtId="181" fontId="17" fillId="14" borderId="0" xfId="2" applyNumberFormat="1" applyFont="1" applyFill="1" applyAlignment="1">
      <alignment horizontal="center"/>
    </xf>
    <xf numFmtId="181" fontId="17" fillId="9" borderId="0" xfId="2" quotePrefix="1" applyNumberFormat="1" applyFont="1" applyFill="1" applyAlignment="1">
      <alignment horizontal="center"/>
    </xf>
    <xf numFmtId="181" fontId="17" fillId="0" borderId="0" xfId="2" quotePrefix="1" applyNumberFormat="1" applyFont="1" applyFill="1" applyBorder="1" applyAlignment="1">
      <alignment horizontal="center"/>
    </xf>
    <xf numFmtId="181" fontId="17" fillId="0" borderId="0" xfId="2" applyNumberFormat="1" applyFont="1" applyFill="1" applyBorder="1" applyAlignment="1">
      <alignment horizontal="center"/>
    </xf>
    <xf numFmtId="181" fontId="6" fillId="0" borderId="0" xfId="2" applyNumberFormat="1" applyAlignment="1">
      <alignment horizontal="center"/>
    </xf>
    <xf numFmtId="37" fontId="16" fillId="8" borderId="0" xfId="2" applyFont="1" applyFill="1" applyAlignment="1">
      <alignment horizontal="center"/>
    </xf>
    <xf numFmtId="37" fontId="19" fillId="0" borderId="0" xfId="2" applyFont="1" applyFill="1" applyAlignment="1">
      <alignment horizontal="left"/>
    </xf>
    <xf numFmtId="37" fontId="6" fillId="0" borderId="0" xfId="2" applyFill="1" applyAlignment="1">
      <alignment horizontal="left"/>
    </xf>
    <xf numFmtId="37" fontId="6" fillId="0" borderId="0" xfId="2" applyAlignment="1">
      <alignment horizontal="left"/>
    </xf>
    <xf numFmtId="37" fontId="17" fillId="14" borderId="0" xfId="2" applyNumberFormat="1" applyFont="1" applyFill="1" applyAlignment="1" applyProtection="1">
      <alignment vertical="top"/>
    </xf>
    <xf numFmtId="37" fontId="17" fillId="14" borderId="0" xfId="2" applyFont="1" applyFill="1" applyAlignment="1">
      <alignment horizontal="center"/>
    </xf>
    <xf numFmtId="37" fontId="17" fillId="14" borderId="0" xfId="2" applyNumberFormat="1" applyFont="1" applyFill="1" applyAlignment="1" applyProtection="1">
      <alignment horizontal="left" vertical="top" indent="1"/>
    </xf>
    <xf numFmtId="164" fontId="23" fillId="11" borderId="0" xfId="0" applyFont="1" applyFill="1" applyBorder="1" applyAlignment="1" applyProtection="1">
      <alignment horizontal="center" wrapText="1"/>
    </xf>
    <xf numFmtId="164" fontId="25" fillId="0" borderId="0" xfId="0" applyFont="1" applyAlignment="1">
      <alignment horizontal="center" wrapText="1"/>
    </xf>
    <xf numFmtId="164" fontId="12" fillId="0" borderId="0" xfId="0" applyFont="1" applyAlignment="1">
      <alignment wrapText="1"/>
    </xf>
    <xf numFmtId="164" fontId="0" fillId="0" borderId="0" xfId="0" applyAlignment="1">
      <alignment wrapText="1"/>
    </xf>
    <xf numFmtId="37" fontId="21" fillId="0" borderId="0" xfId="2" applyFont="1" applyFill="1" applyBorder="1" applyAlignment="1">
      <alignment horizontal="center"/>
    </xf>
    <xf numFmtId="0" fontId="12" fillId="0" borderId="0" xfId="0" applyNumberFormat="1" applyFont="1" applyAlignment="1" applyProtection="1">
      <alignment horizontal="center"/>
    </xf>
    <xf numFmtId="37" fontId="19" fillId="0" borderId="0" xfId="2" applyNumberFormat="1" applyFont="1" applyAlignment="1" applyProtection="1">
      <alignment horizontal="center"/>
    </xf>
    <xf numFmtId="37" fontId="19" fillId="0" borderId="1" xfId="2" applyFont="1" applyBorder="1" applyAlignment="1">
      <alignment horizontal="center"/>
    </xf>
    <xf numFmtId="37" fontId="16" fillId="0" borderId="3" xfId="2" applyNumberFormat="1" applyFont="1" applyBorder="1" applyAlignment="1" applyProtection="1">
      <alignment horizontal="center" wrapText="1"/>
    </xf>
    <xf numFmtId="37" fontId="17" fillId="0" borderId="1" xfId="2" applyFont="1" applyBorder="1" applyAlignment="1">
      <alignment horizontal="center" wrapText="1"/>
    </xf>
    <xf numFmtId="37" fontId="16" fillId="0" borderId="3" xfId="2" applyNumberFormat="1" applyFont="1" applyBorder="1" applyAlignment="1" applyProtection="1">
      <alignment horizontal="center" vertical="center" wrapText="1"/>
    </xf>
    <xf numFmtId="37" fontId="17" fillId="0" borderId="1" xfId="2" applyFont="1" applyBorder="1" applyAlignment="1">
      <alignment horizontal="center" vertical="center" wrapText="1"/>
    </xf>
    <xf numFmtId="37" fontId="17" fillId="0" borderId="1" xfId="2" applyFont="1" applyBorder="1" applyAlignment="1">
      <alignment vertical="center" wrapText="1"/>
    </xf>
    <xf numFmtId="181" fontId="16" fillId="0" borderId="3" xfId="2" applyNumberFormat="1" applyFont="1" applyBorder="1" applyAlignment="1" applyProtection="1">
      <alignment horizontal="center" vertical="center" wrapText="1"/>
    </xf>
    <xf numFmtId="181" fontId="17" fillId="0" borderId="1" xfId="2" applyNumberFormat="1" applyFont="1" applyBorder="1" applyAlignment="1">
      <alignment horizontal="center" vertical="center" wrapText="1"/>
    </xf>
  </cellXfs>
  <cellStyles count="4">
    <cellStyle name="Currency" xfId="1" builtinId="4"/>
    <cellStyle name="Normal" xfId="0" builtinId="0"/>
    <cellStyle name="Normal_SUS COSTBASE 1999" xfId="2"/>
    <cellStyle name="Percent" xfId="3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pageSetUpPr fitToPage="1"/>
  </sheetPr>
  <dimension ref="A1:M40"/>
  <sheetViews>
    <sheetView showGridLines="0" zoomScale="90" zoomScaleNormal="90" workbookViewId="0">
      <selection activeCell="B32" sqref="B32"/>
    </sheetView>
  </sheetViews>
  <sheetFormatPr defaultColWidth="11.6640625" defaultRowHeight="10.5" x14ac:dyDescent="0.15"/>
  <cols>
    <col min="1" max="1" width="34.83203125" customWidth="1"/>
    <col min="2" max="3" width="18.83203125" customWidth="1"/>
    <col min="4" max="4" width="23.6640625" customWidth="1"/>
    <col min="5" max="7" width="18.83203125" customWidth="1"/>
    <col min="8" max="9" width="22.83203125" customWidth="1"/>
    <col min="10" max="12" width="18.83203125" customWidth="1"/>
    <col min="13" max="13" width="14.6640625" customWidth="1"/>
  </cols>
  <sheetData>
    <row r="1" spans="1:13" ht="12.75" x14ac:dyDescent="0.2">
      <c r="A1" s="240"/>
      <c r="B1" s="240"/>
      <c r="C1" s="240"/>
      <c r="D1" s="240"/>
      <c r="E1" s="240"/>
      <c r="F1" s="240"/>
      <c r="G1" s="240"/>
      <c r="H1" s="240"/>
      <c r="I1" s="240"/>
      <c r="J1" s="240"/>
      <c r="K1" s="240"/>
      <c r="L1" s="240"/>
      <c r="M1" s="240"/>
    </row>
    <row r="2" spans="1:13" ht="12.75" x14ac:dyDescent="0.2">
      <c r="A2" s="33" t="s">
        <v>534</v>
      </c>
      <c r="B2" s="59"/>
      <c r="C2" s="59"/>
      <c r="D2" s="59"/>
      <c r="E2" s="60"/>
      <c r="F2" s="60"/>
      <c r="G2" s="59"/>
      <c r="H2" s="59"/>
      <c r="I2" s="59"/>
      <c r="J2" s="59"/>
      <c r="K2" s="59"/>
      <c r="L2" s="59"/>
      <c r="M2" s="61"/>
    </row>
    <row r="3" spans="1:13" ht="12.75" x14ac:dyDescent="0.2">
      <c r="A3" s="33" t="s">
        <v>533</v>
      </c>
      <c r="B3" s="59"/>
      <c r="C3" s="59"/>
      <c r="D3" s="59"/>
      <c r="E3" s="60"/>
      <c r="F3" s="60"/>
      <c r="G3" s="59"/>
      <c r="H3" s="59"/>
      <c r="I3" s="59"/>
      <c r="J3" s="59"/>
      <c r="K3" s="59"/>
      <c r="L3" s="59"/>
      <c r="M3" s="61"/>
    </row>
    <row r="4" spans="1:13" ht="12.75" x14ac:dyDescent="0.2">
      <c r="A4" s="37" t="s">
        <v>750</v>
      </c>
      <c r="B4" s="37"/>
      <c r="C4" s="37"/>
      <c r="D4" s="37"/>
      <c r="E4" s="62"/>
      <c r="F4" s="62"/>
      <c r="G4" s="37"/>
      <c r="H4" s="37"/>
      <c r="I4" s="37"/>
      <c r="J4" s="37"/>
      <c r="K4" s="63"/>
      <c r="L4" s="63"/>
      <c r="M4" s="61"/>
    </row>
    <row r="5" spans="1:13" ht="12.75" x14ac:dyDescent="0.2">
      <c r="A5" s="64"/>
      <c r="B5" s="62"/>
      <c r="C5" s="62"/>
      <c r="D5" s="62"/>
      <c r="E5" s="62"/>
      <c r="F5" s="62"/>
      <c r="G5" s="62"/>
      <c r="H5" s="62"/>
      <c r="I5" s="62"/>
      <c r="J5" s="62"/>
      <c r="K5" s="62"/>
      <c r="L5" s="65"/>
      <c r="M5" s="61"/>
    </row>
    <row r="6" spans="1:13" ht="12.75" x14ac:dyDescent="0.2">
      <c r="A6" s="241" t="s">
        <v>735</v>
      </c>
      <c r="B6" s="66"/>
      <c r="C6" s="65"/>
      <c r="D6" s="65"/>
      <c r="E6" s="65"/>
      <c r="F6" s="65"/>
      <c r="G6" s="65"/>
      <c r="H6" s="65"/>
      <c r="I6" s="65"/>
      <c r="J6" s="65"/>
      <c r="K6" s="65"/>
      <c r="L6" s="65"/>
      <c r="M6" s="67"/>
    </row>
    <row r="7" spans="1:13" ht="12.2" customHeight="1" x14ac:dyDescent="0.2">
      <c r="A7" s="43"/>
      <c r="B7" s="44"/>
      <c r="C7" s="44"/>
      <c r="D7" s="44"/>
      <c r="E7" s="44" t="s">
        <v>226</v>
      </c>
      <c r="F7" s="44"/>
      <c r="G7" s="44" t="s">
        <v>19</v>
      </c>
      <c r="H7" s="45" t="s">
        <v>133</v>
      </c>
      <c r="I7" s="44" t="s">
        <v>528</v>
      </c>
      <c r="J7" s="44" t="s">
        <v>134</v>
      </c>
      <c r="K7" s="44"/>
      <c r="L7" s="44"/>
      <c r="M7" s="61"/>
    </row>
    <row r="8" spans="1:13" ht="12.75" customHeight="1" x14ac:dyDescent="0.2">
      <c r="A8" s="65"/>
      <c r="B8" s="46" t="s">
        <v>19</v>
      </c>
      <c r="C8" s="65"/>
      <c r="D8" s="46" t="s">
        <v>530</v>
      </c>
      <c r="E8" s="47" t="s">
        <v>227</v>
      </c>
      <c r="F8" s="65"/>
      <c r="G8" s="47" t="s">
        <v>135</v>
      </c>
      <c r="H8" s="48" t="s">
        <v>136</v>
      </c>
      <c r="I8" s="46" t="s">
        <v>529</v>
      </c>
      <c r="J8" s="46" t="s">
        <v>139</v>
      </c>
      <c r="K8" s="46" t="s">
        <v>17</v>
      </c>
      <c r="L8" s="65"/>
      <c r="M8" s="61"/>
    </row>
    <row r="9" spans="1:13" ht="12.75" customHeight="1" x14ac:dyDescent="0.2">
      <c r="A9" s="46" t="s">
        <v>140</v>
      </c>
      <c r="B9" s="46" t="s">
        <v>141</v>
      </c>
      <c r="C9" s="46" t="s">
        <v>29</v>
      </c>
      <c r="D9" s="46" t="s">
        <v>138</v>
      </c>
      <c r="E9" s="47" t="s">
        <v>137</v>
      </c>
      <c r="F9" s="46" t="s">
        <v>128</v>
      </c>
      <c r="G9" s="46" t="s">
        <v>18</v>
      </c>
      <c r="H9" s="46" t="s">
        <v>149</v>
      </c>
      <c r="I9" s="46" t="s">
        <v>142</v>
      </c>
      <c r="J9" s="46" t="s">
        <v>143</v>
      </c>
      <c r="K9" s="46" t="s">
        <v>144</v>
      </c>
      <c r="L9" s="46" t="s">
        <v>20</v>
      </c>
      <c r="M9" s="46" t="s">
        <v>661</v>
      </c>
    </row>
    <row r="10" spans="1:13" ht="12.75" customHeight="1" x14ac:dyDescent="0.2">
      <c r="A10" s="48" t="s">
        <v>145</v>
      </c>
      <c r="B10" s="46" t="s">
        <v>563</v>
      </c>
      <c r="C10" s="46" t="s">
        <v>563</v>
      </c>
      <c r="D10" s="46" t="s">
        <v>563</v>
      </c>
      <c r="E10" s="46" t="s">
        <v>563</v>
      </c>
      <c r="F10" s="46" t="s">
        <v>563</v>
      </c>
      <c r="G10" s="46" t="s">
        <v>563</v>
      </c>
      <c r="H10" s="46" t="s">
        <v>563</v>
      </c>
      <c r="I10" s="46" t="s">
        <v>563</v>
      </c>
      <c r="J10" s="46" t="s">
        <v>563</v>
      </c>
      <c r="K10" s="46" t="s">
        <v>563</v>
      </c>
      <c r="L10" s="46" t="s">
        <v>563</v>
      </c>
      <c r="M10" s="46" t="s">
        <v>664</v>
      </c>
    </row>
    <row r="11" spans="1:13" ht="12.75" customHeight="1" x14ac:dyDescent="0.2">
      <c r="A11" s="49"/>
      <c r="B11" s="49">
        <v>0.86</v>
      </c>
      <c r="C11" s="49">
        <v>0.91</v>
      </c>
      <c r="D11" s="49">
        <v>1</v>
      </c>
      <c r="E11" s="49">
        <v>1.01</v>
      </c>
      <c r="F11" s="49">
        <v>0.98</v>
      </c>
      <c r="G11" s="49">
        <v>0.99</v>
      </c>
      <c r="H11" s="49">
        <v>1.02</v>
      </c>
      <c r="I11" s="49">
        <v>1.01</v>
      </c>
      <c r="J11" s="49">
        <v>1.04</v>
      </c>
      <c r="K11" s="49">
        <v>1.04</v>
      </c>
      <c r="L11" s="49">
        <v>1.02</v>
      </c>
      <c r="M11" s="49">
        <v>1.02</v>
      </c>
    </row>
    <row r="12" spans="1:13" ht="12.75" customHeight="1" x14ac:dyDescent="0.2">
      <c r="A12" s="66"/>
      <c r="B12" s="65"/>
      <c r="C12" s="65"/>
      <c r="D12" s="65"/>
      <c r="E12" s="65"/>
      <c r="F12" s="65"/>
      <c r="G12" s="65"/>
      <c r="H12" s="65"/>
      <c r="I12" s="65"/>
      <c r="J12" s="65"/>
      <c r="K12" s="65"/>
      <c r="L12" s="65"/>
      <c r="M12" s="61"/>
    </row>
    <row r="13" spans="1:13" ht="12.75" customHeight="1" x14ac:dyDescent="0.2">
      <c r="A13" s="65"/>
      <c r="B13" s="65"/>
      <c r="C13" s="65"/>
      <c r="D13" s="65"/>
      <c r="E13" s="65"/>
      <c r="F13" s="65"/>
      <c r="G13" s="65"/>
      <c r="H13" s="65"/>
      <c r="I13" s="65"/>
      <c r="J13" s="65"/>
      <c r="K13" s="65"/>
      <c r="L13" s="65"/>
      <c r="M13" s="61"/>
    </row>
    <row r="14" spans="1:13" ht="12.75" customHeight="1" x14ac:dyDescent="0.2">
      <c r="A14" s="345" t="s">
        <v>16</v>
      </c>
      <c r="B14" s="346">
        <f>$B$11*'const-cost'!E12</f>
        <v>334.97858179327267</v>
      </c>
      <c r="C14" s="346">
        <f>$C$11*'const-cost'!E12</f>
        <v>354.45408073474198</v>
      </c>
      <c r="D14" s="346">
        <f>$D$11*'const-cost'!E12</f>
        <v>389.5099788293868</v>
      </c>
      <c r="E14" s="346">
        <f>$E$11*'const-cost'!E12</f>
        <v>393.40507861768066</v>
      </c>
      <c r="F14" s="346">
        <f>$F$11*'const-cost'!E12</f>
        <v>381.71977925279907</v>
      </c>
      <c r="G14" s="346">
        <f>$G$11*'const-cost'!E12</f>
        <v>385.61487904109293</v>
      </c>
      <c r="H14" s="346">
        <f>$H$11*'const-cost'!E12</f>
        <v>397.30017840597452</v>
      </c>
      <c r="I14" s="346">
        <f>$I$11*'const-cost'!E12</f>
        <v>393.40507861768066</v>
      </c>
      <c r="J14" s="346">
        <f>$J$11*'const-cost'!E12</f>
        <v>405.0903779825623</v>
      </c>
      <c r="K14" s="346">
        <f>$K$11*'const-cost'!E12</f>
        <v>405.0903779825623</v>
      </c>
      <c r="L14" s="346">
        <f>$L$11*'const-cost'!E12</f>
        <v>397.30017840597452</v>
      </c>
      <c r="M14" s="346">
        <f>$M$11*'const-cost'!E12</f>
        <v>397.30017840597452</v>
      </c>
    </row>
    <row r="15" spans="1:13" ht="12.75" customHeight="1" x14ac:dyDescent="0.2">
      <c r="A15" s="68"/>
      <c r="B15" s="346"/>
      <c r="C15" s="346"/>
      <c r="D15" s="346"/>
      <c r="E15" s="346"/>
      <c r="F15" s="346"/>
      <c r="G15" s="346"/>
      <c r="H15" s="346"/>
      <c r="I15" s="346"/>
      <c r="J15" s="346"/>
      <c r="K15" s="346"/>
      <c r="L15" s="346"/>
      <c r="M15" s="61"/>
    </row>
    <row r="16" spans="1:13" ht="12.75" customHeight="1" x14ac:dyDescent="0.2">
      <c r="A16" s="345" t="s">
        <v>35</v>
      </c>
      <c r="B16" s="346">
        <f>$B$11*'const-cost'!E14</f>
        <v>365.90165672834956</v>
      </c>
      <c r="C16" s="346">
        <f>$C$11*'const-cost'!E14</f>
        <v>387.17500886371874</v>
      </c>
      <c r="D16" s="346">
        <f>$D$11*'const-cost'!E14</f>
        <v>425.4670427073832</v>
      </c>
      <c r="E16" s="346">
        <f>$E$11*'const-cost'!E14</f>
        <v>429.72171313445705</v>
      </c>
      <c r="F16" s="346">
        <f>$F$11*'const-cost'!E14</f>
        <v>416.95770185323551</v>
      </c>
      <c r="G16" s="346">
        <f>$G$11*'const-cost'!E14</f>
        <v>421.21237228030935</v>
      </c>
      <c r="H16" s="346">
        <f>$H$11*'const-cost'!E14</f>
        <v>433.97638356153089</v>
      </c>
      <c r="I16" s="346">
        <f>$I$11*'const-cost'!E14</f>
        <v>429.72171313445705</v>
      </c>
      <c r="J16" s="346">
        <f>$J$11*'const-cost'!E14</f>
        <v>442.48572441567853</v>
      </c>
      <c r="K16" s="346">
        <f>$K$11*'const-cost'!E14</f>
        <v>442.48572441567853</v>
      </c>
      <c r="L16" s="346">
        <f>$L$11*'const-cost'!E14</f>
        <v>433.97638356153089</v>
      </c>
      <c r="M16" s="346">
        <f>$M$11*'const-cost'!E14</f>
        <v>433.97638356153089</v>
      </c>
    </row>
    <row r="17" spans="1:13" ht="12.75" customHeight="1" x14ac:dyDescent="0.2">
      <c r="A17" s="68"/>
      <c r="B17" s="346"/>
      <c r="C17" s="346"/>
      <c r="D17" s="346"/>
      <c r="E17" s="346"/>
      <c r="F17" s="346"/>
      <c r="G17" s="346"/>
      <c r="H17" s="346"/>
      <c r="I17" s="346"/>
      <c r="J17" s="346"/>
      <c r="K17" s="346"/>
      <c r="L17" s="346"/>
      <c r="M17" s="61"/>
    </row>
    <row r="18" spans="1:13" ht="12.75" customHeight="1" x14ac:dyDescent="0.2">
      <c r="A18" s="345" t="s">
        <v>42</v>
      </c>
      <c r="B18" s="346">
        <f>$B$11*'const-cost'!E16</f>
        <v>333.09336915776424</v>
      </c>
      <c r="C18" s="346">
        <f>$C$11*'const-cost'!E16</f>
        <v>352.45926271344825</v>
      </c>
      <c r="D18" s="346">
        <f>$D$11*'const-cost'!E16</f>
        <v>387.31787111367936</v>
      </c>
      <c r="E18" s="346">
        <f>$E$11*'const-cost'!E16</f>
        <v>391.19104982481616</v>
      </c>
      <c r="F18" s="346">
        <f>$F$11*'const-cost'!E16</f>
        <v>379.57151369140576</v>
      </c>
      <c r="G18" s="346">
        <f>$G$11*'const-cost'!E16</f>
        <v>383.44469240254256</v>
      </c>
      <c r="H18" s="346">
        <f>$H$11*'const-cost'!E16</f>
        <v>395.06422853595296</v>
      </c>
      <c r="I18" s="346">
        <f>$I$11*'const-cost'!E16</f>
        <v>391.19104982481616</v>
      </c>
      <c r="J18" s="346">
        <f>$J$11*'const-cost'!E16</f>
        <v>402.81058595822657</v>
      </c>
      <c r="K18" s="346">
        <f>$K$11*'const-cost'!E16</f>
        <v>402.81058595822657</v>
      </c>
      <c r="L18" s="346">
        <f>$L$11*'const-cost'!E16</f>
        <v>395.06422853595296</v>
      </c>
      <c r="M18" s="346">
        <f>$M$11*'const-cost'!E16</f>
        <v>395.06422853595296</v>
      </c>
    </row>
    <row r="19" spans="1:13" ht="12.75" customHeight="1" x14ac:dyDescent="0.2">
      <c r="A19" s="68"/>
      <c r="B19" s="346"/>
      <c r="C19" s="346"/>
      <c r="D19" s="346"/>
      <c r="E19" s="346"/>
      <c r="F19" s="346"/>
      <c r="G19" s="346"/>
      <c r="H19" s="346"/>
      <c r="I19" s="346"/>
      <c r="J19" s="346"/>
      <c r="K19" s="346"/>
      <c r="L19" s="346"/>
      <c r="M19" s="61"/>
    </row>
    <row r="20" spans="1:13" ht="12.75" customHeight="1" x14ac:dyDescent="0.2">
      <c r="A20" s="345" t="s">
        <v>52</v>
      </c>
      <c r="B20" s="346">
        <f>$B$11*'const-cost'!E18</f>
        <v>430.18226892013928</v>
      </c>
      <c r="C20" s="346">
        <f>$C$11*'const-cost'!E18</f>
        <v>455.19286595037994</v>
      </c>
      <c r="D20" s="346">
        <f>$D$11*'const-cost'!E18</f>
        <v>500.21194060481309</v>
      </c>
      <c r="E20" s="346">
        <f>$E$11*'const-cost'!E18</f>
        <v>505.2140600108612</v>
      </c>
      <c r="F20" s="346">
        <f>$F$11*'const-cost'!E18</f>
        <v>490.20770179271682</v>
      </c>
      <c r="G20" s="346">
        <f>$G$11*'const-cost'!E18</f>
        <v>495.20982119876498</v>
      </c>
      <c r="H20" s="346">
        <f>$H$11*'const-cost'!E18</f>
        <v>510.21617941690937</v>
      </c>
      <c r="I20" s="346">
        <f>$I$11*'const-cost'!E18</f>
        <v>505.2140600108612</v>
      </c>
      <c r="J20" s="346">
        <f>$J$11*'const-cost'!E18</f>
        <v>520.22041822900565</v>
      </c>
      <c r="K20" s="346">
        <f>$K$11*'const-cost'!E18</f>
        <v>520.22041822900565</v>
      </c>
      <c r="L20" s="346">
        <f>$L$11*'const-cost'!E18</f>
        <v>510.21617941690937</v>
      </c>
      <c r="M20" s="346">
        <f>$M$11*'const-cost'!E18</f>
        <v>510.21617941690937</v>
      </c>
    </row>
    <row r="21" spans="1:13" ht="12.75" customHeight="1" x14ac:dyDescent="0.2">
      <c r="A21" s="68"/>
      <c r="B21" s="346"/>
      <c r="C21" s="346"/>
      <c r="D21" s="346"/>
      <c r="E21" s="346"/>
      <c r="F21" s="346"/>
      <c r="G21" s="346"/>
      <c r="H21" s="346"/>
      <c r="I21" s="346"/>
      <c r="J21" s="346"/>
      <c r="K21" s="346"/>
      <c r="L21" s="346"/>
      <c r="M21" s="61"/>
    </row>
    <row r="22" spans="1:13" ht="12.75" customHeight="1" x14ac:dyDescent="0.2">
      <c r="A22" s="345" t="s">
        <v>63</v>
      </c>
      <c r="B22" s="346">
        <f>$B$11*'const-cost'!E20</f>
        <v>339.69139999999999</v>
      </c>
      <c r="C22" s="346">
        <f>$C$11*'const-cost'!E20</f>
        <v>359.4409</v>
      </c>
      <c r="D22" s="346">
        <f>$D$11*'const-cost'!E20</f>
        <v>394.99</v>
      </c>
      <c r="E22" s="346">
        <f>$E$11*'const-cost'!E20</f>
        <v>398.93990000000002</v>
      </c>
      <c r="F22" s="346">
        <f>$F$11*'const-cost'!E20</f>
        <v>387.09019999999998</v>
      </c>
      <c r="G22" s="346">
        <f>$G$11*'const-cost'!E20</f>
        <v>391.0401</v>
      </c>
      <c r="H22" s="346">
        <f>$H$11*'const-cost'!E20</f>
        <v>402.88980000000004</v>
      </c>
      <c r="I22" s="346">
        <f>$I$11*'const-cost'!E20</f>
        <v>398.93990000000002</v>
      </c>
      <c r="J22" s="346">
        <f>$J$11*'const-cost'!E20</f>
        <v>410.78960000000001</v>
      </c>
      <c r="K22" s="346">
        <f>$K$11*'const-cost'!E20</f>
        <v>410.78960000000001</v>
      </c>
      <c r="L22" s="346">
        <f>$L$11*'const-cost'!E20</f>
        <v>402.88980000000004</v>
      </c>
      <c r="M22" s="346">
        <f>$M$11*'const-cost'!E20</f>
        <v>402.88980000000004</v>
      </c>
    </row>
    <row r="23" spans="1:13" ht="12.75" customHeight="1" x14ac:dyDescent="0.2">
      <c r="A23" s="68"/>
      <c r="B23" s="346"/>
      <c r="C23" s="346"/>
      <c r="D23" s="346"/>
      <c r="E23" s="346"/>
      <c r="F23" s="346"/>
      <c r="G23" s="346"/>
      <c r="H23" s="346"/>
      <c r="I23" s="346"/>
      <c r="J23" s="346"/>
      <c r="K23" s="346"/>
      <c r="L23" s="346"/>
      <c r="M23" s="61"/>
    </row>
    <row r="24" spans="1:13" ht="12.75" customHeight="1" x14ac:dyDescent="0.2">
      <c r="A24" s="345" t="s">
        <v>146</v>
      </c>
      <c r="B24" s="346">
        <f>$B$11*'const-cost'!E22</f>
        <v>376.98099999999999</v>
      </c>
      <c r="C24" s="346">
        <f>$C$11*'const-cost'!E22</f>
        <v>398.89850000000001</v>
      </c>
      <c r="D24" s="346">
        <f>$D$11*'const-cost'!E22</f>
        <v>438.35</v>
      </c>
      <c r="E24" s="346">
        <f>$E$11*'const-cost'!E22</f>
        <v>442.73350000000005</v>
      </c>
      <c r="F24" s="346">
        <f>$F$11*'const-cost'!E22</f>
        <v>429.58300000000003</v>
      </c>
      <c r="G24" s="346">
        <f>$G$11*'const-cost'!E22</f>
        <v>433.9665</v>
      </c>
      <c r="H24" s="346">
        <f>$H$11*'const-cost'!E22</f>
        <v>447.11700000000002</v>
      </c>
      <c r="I24" s="346">
        <f>$I$11*'const-cost'!E22</f>
        <v>442.73350000000005</v>
      </c>
      <c r="J24" s="346">
        <f>$J$11*'const-cost'!E22</f>
        <v>455.88400000000001</v>
      </c>
      <c r="K24" s="346">
        <f>$K$11*'const-cost'!E22</f>
        <v>455.88400000000001</v>
      </c>
      <c r="L24" s="346">
        <f>$L$11*'const-cost'!E22</f>
        <v>447.11700000000002</v>
      </c>
      <c r="M24" s="346">
        <f>$M$11*'const-cost'!E22</f>
        <v>447.11700000000002</v>
      </c>
    </row>
    <row r="25" spans="1:13" ht="12.75" customHeight="1" x14ac:dyDescent="0.2">
      <c r="A25" s="68"/>
      <c r="B25" s="346"/>
      <c r="C25" s="346"/>
      <c r="D25" s="346"/>
      <c r="E25" s="346"/>
      <c r="F25" s="346"/>
      <c r="G25" s="346"/>
      <c r="H25" s="346"/>
      <c r="I25" s="346"/>
      <c r="J25" s="346"/>
      <c r="K25" s="346"/>
      <c r="L25" s="346"/>
      <c r="M25" s="61"/>
    </row>
    <row r="26" spans="1:13" ht="12.75" customHeight="1" x14ac:dyDescent="0.2">
      <c r="A26" s="345" t="s">
        <v>79</v>
      </c>
      <c r="B26" s="346">
        <f>$B$11*'const-cost'!E24</f>
        <v>243.16499999999999</v>
      </c>
      <c r="C26" s="346">
        <f>$C$11*'const-cost'!E24</f>
        <v>257.30250000000001</v>
      </c>
      <c r="D26" s="346">
        <f>$D$11*'const-cost'!E24</f>
        <v>282.75</v>
      </c>
      <c r="E26" s="346">
        <f>$E$11*'const-cost'!E24</f>
        <v>285.57749999999999</v>
      </c>
      <c r="F26" s="346">
        <f>$F$11*'const-cost'!E24</f>
        <v>277.09499999999997</v>
      </c>
      <c r="G26" s="346">
        <f>$G$11*'const-cost'!E24</f>
        <v>279.92250000000001</v>
      </c>
      <c r="H26" s="346">
        <f>$H$11*'const-cost'!E24</f>
        <v>288.40500000000003</v>
      </c>
      <c r="I26" s="346">
        <f>$I$11*'const-cost'!E24</f>
        <v>285.57749999999999</v>
      </c>
      <c r="J26" s="346">
        <f>$J$11*'const-cost'!E24</f>
        <v>294.06</v>
      </c>
      <c r="K26" s="346">
        <f>$K$11*'const-cost'!E24</f>
        <v>294.06</v>
      </c>
      <c r="L26" s="346">
        <f>$L$11*'const-cost'!E24</f>
        <v>288.40500000000003</v>
      </c>
      <c r="M26" s="346">
        <f>$M$11*'const-cost'!E24</f>
        <v>288.40500000000003</v>
      </c>
    </row>
    <row r="27" spans="1:13" ht="12.75" customHeight="1" x14ac:dyDescent="0.2">
      <c r="A27" s="68"/>
      <c r="B27" s="346"/>
      <c r="C27" s="346"/>
      <c r="D27" s="346"/>
      <c r="E27" s="346"/>
      <c r="F27" s="346"/>
      <c r="G27" s="346"/>
      <c r="H27" s="346"/>
      <c r="I27" s="346"/>
      <c r="J27" s="346"/>
      <c r="K27" s="346"/>
      <c r="L27" s="346"/>
      <c r="M27" s="61"/>
    </row>
    <row r="28" spans="1:13" ht="12.75" x14ac:dyDescent="0.2">
      <c r="A28" s="347" t="s">
        <v>85</v>
      </c>
      <c r="B28" s="239" t="s">
        <v>666</v>
      </c>
      <c r="C28" s="348"/>
      <c r="D28" s="348"/>
      <c r="E28" s="348"/>
      <c r="F28" s="348"/>
      <c r="G28" s="348"/>
      <c r="H28" s="348"/>
      <c r="I28" s="349"/>
      <c r="J28" s="349"/>
      <c r="K28" s="349"/>
      <c r="L28" s="349"/>
      <c r="M28" s="233"/>
    </row>
    <row r="29" spans="1:13" ht="12.75" x14ac:dyDescent="0.2">
      <c r="A29" s="68"/>
      <c r="B29" s="346"/>
      <c r="C29" s="346"/>
      <c r="D29" s="346"/>
      <c r="E29" s="346"/>
      <c r="F29" s="346"/>
      <c r="G29" s="346"/>
      <c r="H29" s="346"/>
      <c r="I29" s="346"/>
      <c r="J29" s="346"/>
      <c r="K29" s="346"/>
      <c r="L29" s="346"/>
      <c r="M29" s="61"/>
    </row>
    <row r="30" spans="1:13" ht="12.75" x14ac:dyDescent="0.2">
      <c r="A30" s="345" t="s">
        <v>147</v>
      </c>
      <c r="B30" s="346">
        <f>$B$11*'const-cost'!E29</f>
        <v>254.11280000000002</v>
      </c>
      <c r="C30" s="346">
        <f>$C$11*'const-cost'!E29</f>
        <v>268.88680000000005</v>
      </c>
      <c r="D30" s="346">
        <f>$D$11*'const-cost'!E29</f>
        <v>295.48</v>
      </c>
      <c r="E30" s="346">
        <f>$E$11*'const-cost'!E29</f>
        <v>298.4348</v>
      </c>
      <c r="F30" s="346">
        <f>$F$11*'const-cost'!E29</f>
        <v>289.57040000000001</v>
      </c>
      <c r="G30" s="346">
        <f>$G$11*'const-cost'!E29</f>
        <v>292.52520000000004</v>
      </c>
      <c r="H30" s="346">
        <f>$H$11*'const-cost'!E29</f>
        <v>301.38960000000003</v>
      </c>
      <c r="I30" s="346">
        <f>$I$11*'const-cost'!E29</f>
        <v>298.4348</v>
      </c>
      <c r="J30" s="346">
        <f>$J$11*'const-cost'!E29</f>
        <v>307.29920000000004</v>
      </c>
      <c r="K30" s="346">
        <f>$K$11*'const-cost'!E29</f>
        <v>307.29920000000004</v>
      </c>
      <c r="L30" s="346">
        <f>$L$11*'const-cost'!E29</f>
        <v>301.38960000000003</v>
      </c>
      <c r="M30" s="346">
        <f>$M$11*'const-cost'!E29</f>
        <v>301.38960000000003</v>
      </c>
    </row>
    <row r="31" spans="1:13" ht="12.75" x14ac:dyDescent="0.2">
      <c r="A31" s="68"/>
      <c r="B31" s="346"/>
      <c r="C31" s="346"/>
      <c r="D31" s="346"/>
      <c r="E31" s="346"/>
      <c r="F31" s="346"/>
      <c r="G31" s="346"/>
      <c r="H31" s="346"/>
      <c r="I31" s="346"/>
      <c r="J31" s="346"/>
      <c r="K31" s="346"/>
      <c r="L31" s="346"/>
      <c r="M31" s="61"/>
    </row>
    <row r="32" spans="1:13" ht="12.75" x14ac:dyDescent="0.2">
      <c r="A32" s="345" t="s">
        <v>99</v>
      </c>
      <c r="B32" s="346">
        <f>$B$11*'const-cost'!E31</f>
        <v>308.94639999999998</v>
      </c>
      <c r="C32" s="346">
        <f>$C$11*'const-cost'!E31</f>
        <v>326.90840000000003</v>
      </c>
      <c r="D32" s="346">
        <f>$D$11*'const-cost'!E31</f>
        <v>359.24</v>
      </c>
      <c r="E32" s="346">
        <f>$E$11*'const-cost'!E31</f>
        <v>362.83240000000001</v>
      </c>
      <c r="F32" s="346">
        <f>$F$11*'const-cost'!E31</f>
        <v>352.05520000000001</v>
      </c>
      <c r="G32" s="346">
        <f>$G$11*'const-cost'!E31</f>
        <v>355.64760000000001</v>
      </c>
      <c r="H32" s="346">
        <f>$H$11*'const-cost'!E31</f>
        <v>366.4248</v>
      </c>
      <c r="I32" s="346">
        <f>$I$11*'const-cost'!E31</f>
        <v>362.83240000000001</v>
      </c>
      <c r="J32" s="346">
        <f>$J$11*'const-cost'!E31</f>
        <v>373.6096</v>
      </c>
      <c r="K32" s="346">
        <f>$K$11*'const-cost'!E31</f>
        <v>373.6096</v>
      </c>
      <c r="L32" s="346">
        <f>$L$11*'const-cost'!E31</f>
        <v>366.4248</v>
      </c>
      <c r="M32" s="346">
        <f>$M$11*'const-cost'!E31</f>
        <v>366.4248</v>
      </c>
    </row>
    <row r="33" spans="1:13" ht="12.75" x14ac:dyDescent="0.2">
      <c r="A33" s="68"/>
      <c r="B33" s="69"/>
      <c r="C33" s="69"/>
      <c r="D33" s="69"/>
      <c r="E33" s="69"/>
      <c r="F33" s="70"/>
      <c r="G33" s="69"/>
      <c r="H33" s="69"/>
      <c r="I33" s="69"/>
      <c r="J33" s="69"/>
      <c r="K33" s="70"/>
      <c r="L33" s="69"/>
      <c r="M33" s="61"/>
    </row>
    <row r="34" spans="1:13" ht="12.75" x14ac:dyDescent="0.2">
      <c r="A34" s="68"/>
      <c r="B34" s="68"/>
      <c r="C34" s="68"/>
      <c r="D34" s="68"/>
      <c r="E34" s="68"/>
      <c r="F34" s="68"/>
      <c r="G34" s="68"/>
      <c r="H34" s="68"/>
      <c r="I34" s="68"/>
      <c r="J34" s="68"/>
      <c r="K34" s="68"/>
      <c r="L34" s="68"/>
      <c r="M34" s="61"/>
    </row>
    <row r="35" spans="1:13" ht="12.75" x14ac:dyDescent="0.2">
      <c r="A35" s="71"/>
      <c r="B35" s="71"/>
      <c r="C35" s="71"/>
      <c r="D35" s="71"/>
      <c r="E35" s="71"/>
      <c r="F35" s="71"/>
      <c r="G35" s="71"/>
      <c r="H35" s="71"/>
      <c r="I35" s="71"/>
      <c r="J35" s="71"/>
      <c r="K35" s="71"/>
      <c r="L35" s="71"/>
      <c r="M35" s="61"/>
    </row>
    <row r="36" spans="1:13" ht="12.75" x14ac:dyDescent="0.2">
      <c r="A36" s="71"/>
      <c r="B36" s="71"/>
      <c r="C36" s="71"/>
      <c r="D36" s="71"/>
      <c r="E36" s="71"/>
      <c r="F36" s="71"/>
      <c r="G36" s="71"/>
      <c r="H36" s="71"/>
      <c r="I36" s="71"/>
      <c r="J36" s="71"/>
      <c r="K36" s="71"/>
      <c r="L36" s="71"/>
      <c r="M36" s="61"/>
    </row>
    <row r="37" spans="1:13" ht="12.75" x14ac:dyDescent="0.2">
      <c r="A37" s="53"/>
      <c r="B37" s="54"/>
      <c r="C37" s="54"/>
      <c r="D37" s="54"/>
      <c r="E37" s="54"/>
      <c r="F37" s="54"/>
      <c r="G37" s="54"/>
      <c r="H37" s="54"/>
      <c r="I37" s="54"/>
      <c r="J37" s="71"/>
      <c r="K37" s="71"/>
      <c r="L37" s="71"/>
      <c r="M37" s="61"/>
    </row>
    <row r="38" spans="1:13" ht="12.75" x14ac:dyDescent="0.2">
      <c r="A38" s="53" t="s">
        <v>642</v>
      </c>
      <c r="B38" s="54"/>
      <c r="C38" s="54"/>
      <c r="D38" s="54"/>
      <c r="E38" s="54"/>
      <c r="F38" s="54"/>
      <c r="G38" s="54"/>
      <c r="H38" s="54"/>
      <c r="I38" s="54"/>
      <c r="J38" s="71"/>
      <c r="K38" s="71"/>
      <c r="L38" s="71"/>
      <c r="M38" s="61"/>
    </row>
    <row r="39" spans="1:13" ht="12.75" x14ac:dyDescent="0.2">
      <c r="A39" s="55" t="s">
        <v>751</v>
      </c>
      <c r="B39" s="54"/>
      <c r="C39" s="50"/>
      <c r="D39" s="54"/>
      <c r="E39" s="54"/>
      <c r="F39" s="54"/>
      <c r="G39" s="54"/>
      <c r="H39" s="54"/>
      <c r="I39" s="54"/>
      <c r="J39" s="71"/>
      <c r="K39" s="71"/>
      <c r="L39" s="71"/>
      <c r="M39" s="61"/>
    </row>
    <row r="40" spans="1:13" ht="12.75" x14ac:dyDescent="0.2">
      <c r="A40" s="55" t="s">
        <v>150</v>
      </c>
      <c r="B40" s="61"/>
      <c r="C40" s="61"/>
      <c r="D40" s="61"/>
      <c r="E40" s="61"/>
      <c r="F40" s="61"/>
      <c r="G40" s="61"/>
      <c r="H40" s="61"/>
      <c r="I40" s="61"/>
      <c r="J40" s="61"/>
      <c r="K40" s="61"/>
      <c r="L40" s="61"/>
      <c r="M40" s="61"/>
    </row>
  </sheetData>
  <phoneticPr fontId="3" type="noConversion"/>
  <printOptions horizontalCentered="1" gridLinesSet="0"/>
  <pageMargins left="0.5" right="0.5" top="1" bottom="0.25" header="0.5" footer="0"/>
  <pageSetup scale="63" orientation="landscape" horizontalDpi="300" verticalDpi="300" r:id="rId1"/>
  <headerFooter alignWithMargins="0">
    <oddFooter>&amp;L&amp;F&amp;C&amp;P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4" transitionEvaluation="1"/>
  <dimension ref="A1:L44"/>
  <sheetViews>
    <sheetView showGridLines="0" topLeftCell="A4" zoomScaleNormal="100" workbookViewId="0">
      <selection activeCell="E20" sqref="E20"/>
    </sheetView>
  </sheetViews>
  <sheetFormatPr defaultColWidth="11.6640625" defaultRowHeight="10.5" x14ac:dyDescent="0.15"/>
  <cols>
    <col min="1" max="1" width="16.1640625" customWidth="1"/>
    <col min="2" max="2" width="12.6640625" customWidth="1"/>
    <col min="3" max="3" width="47" customWidth="1"/>
    <col min="4" max="4" width="3" customWidth="1"/>
    <col min="5" max="5" width="17.33203125" customWidth="1"/>
    <col min="7" max="7" width="10.6640625" customWidth="1"/>
    <col min="8" max="9" width="12.6640625" customWidth="1"/>
    <col min="10" max="10" width="10.6640625" customWidth="1"/>
    <col min="11" max="11" width="12.1640625" customWidth="1"/>
    <col min="12" max="13" width="14.6640625" customWidth="1"/>
  </cols>
  <sheetData>
    <row r="1" spans="1:12" ht="10.15" customHeight="1" x14ac:dyDescent="0.2">
      <c r="A1" s="72"/>
      <c r="B1" s="72"/>
      <c r="C1" s="72"/>
      <c r="D1" s="72"/>
      <c r="E1" s="72"/>
      <c r="F1" s="90"/>
      <c r="G1" s="72"/>
      <c r="H1" s="72"/>
      <c r="I1" s="4"/>
      <c r="J1" s="4"/>
      <c r="K1" s="4"/>
      <c r="L1" s="4"/>
    </row>
    <row r="2" spans="1:12" ht="12.75" x14ac:dyDescent="0.2">
      <c r="A2" s="33" t="s">
        <v>533</v>
      </c>
      <c r="B2" s="72"/>
      <c r="C2" s="72"/>
      <c r="D2" s="72"/>
      <c r="E2" s="59"/>
      <c r="F2" s="76"/>
      <c r="G2" s="71"/>
      <c r="H2" s="71"/>
      <c r="I2" s="1"/>
      <c r="J2" s="2"/>
      <c r="K2" s="3"/>
      <c r="L2" s="3"/>
    </row>
    <row r="3" spans="1:12" ht="12.75" x14ac:dyDescent="0.2">
      <c r="A3" s="33" t="s">
        <v>534</v>
      </c>
      <c r="B3" s="72"/>
      <c r="C3" s="72"/>
      <c r="D3" s="72"/>
      <c r="E3" s="59"/>
      <c r="F3" s="76"/>
      <c r="G3" s="71"/>
      <c r="H3" s="71"/>
      <c r="I3" s="1"/>
      <c r="J3" s="2"/>
      <c r="K3" s="3"/>
      <c r="L3" s="3"/>
    </row>
    <row r="4" spans="1:12" ht="12.75" x14ac:dyDescent="0.2">
      <c r="A4" s="74" t="s">
        <v>763</v>
      </c>
      <c r="B4" s="72"/>
      <c r="C4" s="72"/>
      <c r="D4" s="72"/>
      <c r="E4" s="59"/>
      <c r="F4" s="91"/>
      <c r="G4" s="71"/>
      <c r="H4" s="71"/>
      <c r="I4" s="1"/>
      <c r="J4" s="2"/>
      <c r="K4" s="3"/>
      <c r="L4" s="3"/>
    </row>
    <row r="5" spans="1:12" ht="12.75" x14ac:dyDescent="0.2">
      <c r="A5" s="74" t="s">
        <v>748</v>
      </c>
      <c r="B5" s="75"/>
      <c r="C5" s="75"/>
      <c r="D5" s="75"/>
      <c r="E5" s="63"/>
      <c r="F5" s="76"/>
      <c r="G5" s="71"/>
      <c r="H5" s="71"/>
      <c r="I5" s="1"/>
      <c r="J5" s="2"/>
      <c r="K5" s="3"/>
      <c r="L5" s="3"/>
    </row>
    <row r="6" spans="1:12" ht="12.75" x14ac:dyDescent="0.2">
      <c r="A6" s="72"/>
      <c r="B6" s="75"/>
      <c r="C6" s="75"/>
      <c r="D6" s="75"/>
      <c r="E6" s="75"/>
      <c r="F6" s="76"/>
      <c r="G6" s="76"/>
      <c r="H6" s="76"/>
      <c r="I6" s="1"/>
      <c r="J6" s="1"/>
      <c r="K6" s="1"/>
      <c r="L6" s="1"/>
    </row>
    <row r="7" spans="1:12" ht="12.2" customHeight="1" x14ac:dyDescent="0.2">
      <c r="A7" s="72"/>
      <c r="B7" s="72"/>
      <c r="C7" s="72"/>
      <c r="D7" s="72"/>
      <c r="E7" s="72"/>
      <c r="F7" s="76"/>
      <c r="G7" s="76"/>
      <c r="H7" s="76"/>
      <c r="I7" s="1"/>
      <c r="J7" s="1"/>
      <c r="K7" s="1"/>
      <c r="L7" s="1"/>
    </row>
    <row r="8" spans="1:12" ht="12.75" x14ac:dyDescent="0.2">
      <c r="A8" s="76"/>
      <c r="B8" s="76"/>
      <c r="C8" s="76"/>
      <c r="D8" s="76"/>
      <c r="E8" s="76"/>
      <c r="F8" s="76"/>
      <c r="G8" s="76"/>
      <c r="H8" s="76"/>
      <c r="I8" s="1"/>
      <c r="J8" s="1"/>
      <c r="K8" s="1"/>
      <c r="L8" s="1"/>
    </row>
    <row r="9" spans="1:12" ht="12.2" customHeight="1" x14ac:dyDescent="0.2">
      <c r="A9" s="77"/>
      <c r="B9" s="78"/>
      <c r="C9" s="78"/>
      <c r="D9" s="78"/>
      <c r="E9" s="79" t="s">
        <v>0</v>
      </c>
      <c r="F9" s="76"/>
      <c r="G9" s="71"/>
      <c r="H9" s="71"/>
      <c r="I9" s="1"/>
      <c r="J9" s="2"/>
      <c r="K9" s="3"/>
      <c r="L9" s="3"/>
    </row>
    <row r="10" spans="1:12" ht="12.75" x14ac:dyDescent="0.2">
      <c r="A10" s="80" t="s">
        <v>2</v>
      </c>
      <c r="B10" s="80"/>
      <c r="C10" s="80"/>
      <c r="D10" s="80"/>
      <c r="E10" s="81" t="s">
        <v>107</v>
      </c>
      <c r="F10" s="76"/>
      <c r="G10" s="76"/>
      <c r="H10" s="76"/>
      <c r="I10" s="1"/>
      <c r="J10" s="1"/>
      <c r="K10" s="1"/>
      <c r="L10" s="1"/>
    </row>
    <row r="11" spans="1:12" ht="12.2" customHeight="1" x14ac:dyDescent="0.2">
      <c r="A11" s="76"/>
      <c r="B11" s="76"/>
      <c r="C11" s="76"/>
      <c r="D11" s="76"/>
      <c r="E11" s="71"/>
      <c r="F11" s="76"/>
      <c r="G11" s="71"/>
      <c r="H11" s="71"/>
      <c r="I11" s="1"/>
      <c r="J11" s="2"/>
      <c r="K11" s="3"/>
      <c r="L11" s="3"/>
    </row>
    <row r="12" spans="1:12" ht="12.75" customHeight="1" x14ac:dyDescent="0.2">
      <c r="A12" s="82" t="s">
        <v>16</v>
      </c>
      <c r="B12" s="83"/>
      <c r="C12" s="83"/>
      <c r="D12" s="83"/>
      <c r="E12" s="92">
        <f>CSCTHIST!J58</f>
        <v>389.5099788293868</v>
      </c>
      <c r="F12" s="76"/>
      <c r="G12" s="71"/>
      <c r="H12" s="71"/>
      <c r="I12" s="1"/>
      <c r="J12" s="2"/>
      <c r="K12" s="3"/>
      <c r="L12" s="3"/>
    </row>
    <row r="13" spans="1:12" ht="12.75" customHeight="1" x14ac:dyDescent="0.2">
      <c r="A13" s="83"/>
      <c r="B13" s="83"/>
      <c r="C13" s="83"/>
      <c r="D13" s="83"/>
      <c r="E13" s="93"/>
      <c r="F13" s="76"/>
      <c r="G13" s="71"/>
      <c r="H13" s="71"/>
      <c r="I13" s="1"/>
      <c r="J13" s="2"/>
      <c r="K13" s="3"/>
      <c r="L13" s="3"/>
    </row>
    <row r="14" spans="1:12" ht="12.75" customHeight="1" x14ac:dyDescent="0.2">
      <c r="A14" s="84" t="s">
        <v>108</v>
      </c>
      <c r="B14" s="85"/>
      <c r="C14" s="85"/>
      <c r="D14" s="85"/>
      <c r="E14" s="94">
        <f>CSCTHIST!J99</f>
        <v>425.4670427073832</v>
      </c>
      <c r="F14" s="76"/>
      <c r="G14" s="71"/>
      <c r="H14" s="71"/>
      <c r="I14" s="1"/>
      <c r="J14" s="2"/>
      <c r="K14" s="3"/>
      <c r="L14" s="3"/>
    </row>
    <row r="15" spans="1:12" ht="12.75" customHeight="1" x14ac:dyDescent="0.2">
      <c r="A15" s="85"/>
      <c r="B15" s="85"/>
      <c r="C15" s="85"/>
      <c r="D15" s="85"/>
      <c r="E15" s="95"/>
      <c r="F15" s="76"/>
      <c r="G15" s="71"/>
      <c r="H15" s="71"/>
      <c r="I15" s="1"/>
      <c r="J15" s="2"/>
      <c r="K15" s="3"/>
      <c r="L15" s="3"/>
    </row>
    <row r="16" spans="1:12" ht="12.75" customHeight="1" x14ac:dyDescent="0.2">
      <c r="A16" s="84" t="s">
        <v>667</v>
      </c>
      <c r="B16" s="85"/>
      <c r="C16" s="85"/>
      <c r="D16" s="85"/>
      <c r="E16" s="94">
        <f>CSCTHIST!J121</f>
        <v>387.31787111367936</v>
      </c>
      <c r="F16" s="76"/>
      <c r="G16" s="71"/>
      <c r="H16" s="71"/>
      <c r="I16" s="1"/>
      <c r="J16" s="2"/>
      <c r="K16" s="3"/>
      <c r="L16" s="3"/>
    </row>
    <row r="17" spans="1:12" ht="12.75" customHeight="1" x14ac:dyDescent="0.2">
      <c r="A17" s="85"/>
      <c r="B17" s="85"/>
      <c r="C17" s="85"/>
      <c r="D17" s="85"/>
      <c r="E17" s="95"/>
      <c r="F17" s="76"/>
      <c r="G17" s="71"/>
      <c r="H17" s="71"/>
      <c r="I17" s="1"/>
      <c r="J17" s="2"/>
      <c r="K17" s="3"/>
      <c r="L17" s="3"/>
    </row>
    <row r="18" spans="1:12" ht="12.75" customHeight="1" x14ac:dyDescent="0.2">
      <c r="A18" s="84" t="s">
        <v>109</v>
      </c>
      <c r="B18" s="85"/>
      <c r="C18" s="85"/>
      <c r="D18" s="85"/>
      <c r="E18" s="94">
        <f>CSCTHIST!J177</f>
        <v>500.21194060481309</v>
      </c>
      <c r="F18" s="76"/>
      <c r="G18" s="71"/>
      <c r="H18" s="71"/>
      <c r="I18" s="1"/>
      <c r="J18" s="2"/>
      <c r="K18" s="3"/>
      <c r="L18" s="3"/>
    </row>
    <row r="19" spans="1:12" ht="12.75" customHeight="1" x14ac:dyDescent="0.2">
      <c r="A19" s="85"/>
      <c r="B19" s="85"/>
      <c r="C19" s="85"/>
      <c r="D19" s="85"/>
      <c r="E19" s="95"/>
      <c r="F19" s="76"/>
      <c r="G19" s="71"/>
      <c r="H19" s="71"/>
      <c r="I19" s="1"/>
      <c r="J19" s="2"/>
      <c r="K19" s="3"/>
      <c r="L19" s="3"/>
    </row>
    <row r="20" spans="1:12" ht="12.75" customHeight="1" x14ac:dyDescent="0.2">
      <c r="A20" s="84" t="s">
        <v>63</v>
      </c>
      <c r="B20" s="85"/>
      <c r="C20" s="85"/>
      <c r="D20" s="85"/>
      <c r="E20" s="94">
        <f>CSCTHIST!J288</f>
        <v>394.99</v>
      </c>
      <c r="F20" s="76"/>
      <c r="G20" s="71"/>
      <c r="H20" s="71"/>
      <c r="I20" s="1"/>
      <c r="J20" s="2"/>
      <c r="K20" s="3"/>
      <c r="L20" s="3"/>
    </row>
    <row r="21" spans="1:12" ht="12.75" customHeight="1" x14ac:dyDescent="0.2">
      <c r="A21" s="85"/>
      <c r="B21" s="85"/>
      <c r="C21" s="85"/>
      <c r="D21" s="85"/>
      <c r="E21" s="95"/>
      <c r="F21" s="76"/>
      <c r="G21" s="71"/>
      <c r="H21" s="71"/>
      <c r="I21" s="1"/>
      <c r="J21" s="2"/>
      <c r="K21" s="3"/>
      <c r="L21" s="3"/>
    </row>
    <row r="22" spans="1:12" ht="12.75" customHeight="1" x14ac:dyDescent="0.2">
      <c r="A22" s="84" t="s">
        <v>110</v>
      </c>
      <c r="B22" s="85"/>
      <c r="C22" s="85"/>
      <c r="D22" s="85"/>
      <c r="E22" s="94">
        <f>CSCTHIST!J322</f>
        <v>438.35</v>
      </c>
      <c r="F22" s="76"/>
      <c r="G22" s="71"/>
      <c r="H22" s="71"/>
      <c r="I22" s="1"/>
      <c r="J22" s="2"/>
      <c r="K22" s="3"/>
      <c r="L22" s="3"/>
    </row>
    <row r="23" spans="1:12" ht="12.75" customHeight="1" x14ac:dyDescent="0.2">
      <c r="A23" s="85"/>
      <c r="B23" s="85"/>
      <c r="C23" s="85"/>
      <c r="D23" s="85"/>
      <c r="E23" s="95"/>
      <c r="F23" s="76"/>
      <c r="G23" s="71"/>
      <c r="H23" s="71"/>
      <c r="I23" s="1"/>
      <c r="J23" s="2"/>
      <c r="K23" s="3"/>
      <c r="L23" s="3"/>
    </row>
    <row r="24" spans="1:12" ht="12.75" customHeight="1" x14ac:dyDescent="0.2">
      <c r="A24" s="84" t="s">
        <v>668</v>
      </c>
      <c r="B24" s="85"/>
      <c r="C24" s="85"/>
      <c r="D24" s="85"/>
      <c r="E24" s="94">
        <f>CSCTHIST!J335</f>
        <v>282.75</v>
      </c>
      <c r="F24" s="61"/>
      <c r="G24" s="61"/>
      <c r="H24" s="61"/>
    </row>
    <row r="25" spans="1:12" ht="12.75" customHeight="1" x14ac:dyDescent="0.2">
      <c r="A25" s="85"/>
      <c r="B25" s="85"/>
      <c r="C25" s="85"/>
      <c r="D25" s="85"/>
      <c r="E25" s="95"/>
      <c r="F25" s="61"/>
      <c r="G25" s="61"/>
      <c r="H25" s="61"/>
    </row>
    <row r="26" spans="1:12" ht="12.75" customHeight="1" x14ac:dyDescent="0.2">
      <c r="A26" s="235" t="s">
        <v>85</v>
      </c>
      <c r="B26" s="236"/>
      <c r="C26" s="381" t="s">
        <v>666</v>
      </c>
      <c r="D26" s="382"/>
      <c r="E26" s="382"/>
      <c r="F26" s="237"/>
      <c r="G26" s="237"/>
      <c r="H26" s="237"/>
      <c r="I26" s="30"/>
      <c r="J26" s="30"/>
    </row>
    <row r="27" spans="1:12" ht="12.75" customHeight="1" x14ac:dyDescent="0.2">
      <c r="A27" s="86"/>
      <c r="B27" s="86"/>
      <c r="C27" s="382"/>
      <c r="D27" s="382"/>
      <c r="E27" s="382"/>
      <c r="F27" s="61"/>
      <c r="G27" s="61"/>
      <c r="H27" s="61"/>
    </row>
    <row r="28" spans="1:12" ht="12.75" customHeight="1" x14ac:dyDescent="0.2">
      <c r="A28" s="86"/>
      <c r="B28" s="86"/>
      <c r="C28" s="86"/>
      <c r="D28" s="86"/>
      <c r="E28" s="96"/>
      <c r="F28" s="61"/>
      <c r="G28" s="61"/>
      <c r="H28" s="61"/>
    </row>
    <row r="29" spans="1:12" ht="12.75" customHeight="1" x14ac:dyDescent="0.2">
      <c r="A29" s="84" t="s">
        <v>669</v>
      </c>
      <c r="B29" s="85"/>
      <c r="C29" s="85"/>
      <c r="D29" s="85"/>
      <c r="E29" s="94">
        <f>CSCTHIST!J378</f>
        <v>295.48</v>
      </c>
      <c r="F29" s="61"/>
      <c r="G29" s="61"/>
      <c r="H29" s="61"/>
    </row>
    <row r="30" spans="1:12" ht="12.75" customHeight="1" x14ac:dyDescent="0.2">
      <c r="A30" s="86"/>
      <c r="B30" s="86"/>
      <c r="C30" s="86"/>
      <c r="D30" s="86"/>
      <c r="E30" s="96"/>
      <c r="F30" s="61"/>
      <c r="G30" s="61"/>
      <c r="H30" s="61"/>
    </row>
    <row r="31" spans="1:12" ht="12.75" customHeight="1" x14ac:dyDescent="0.2">
      <c r="A31" s="84" t="s">
        <v>670</v>
      </c>
      <c r="B31" s="85"/>
      <c r="C31" s="85"/>
      <c r="D31" s="85"/>
      <c r="E31" s="94">
        <f>CSCTHIST!J406</f>
        <v>359.24</v>
      </c>
      <c r="F31" s="61"/>
      <c r="G31" s="61"/>
      <c r="H31" s="61"/>
    </row>
    <row r="32" spans="1:12" ht="12.75" x14ac:dyDescent="0.2">
      <c r="A32" s="238"/>
      <c r="B32" s="238"/>
      <c r="C32" s="238"/>
      <c r="D32" s="238"/>
      <c r="E32" s="238"/>
      <c r="F32" s="61"/>
      <c r="G32" s="61"/>
      <c r="H32" s="61"/>
    </row>
    <row r="33" spans="1:8" ht="12.75" x14ac:dyDescent="0.2">
      <c r="A33" s="76"/>
      <c r="B33" s="76"/>
      <c r="C33" s="76"/>
      <c r="D33" s="76"/>
      <c r="E33" s="76"/>
      <c r="F33" s="61"/>
      <c r="G33" s="61"/>
      <c r="H33" s="61"/>
    </row>
    <row r="34" spans="1:8" ht="12.75" x14ac:dyDescent="0.2">
      <c r="A34" s="87" t="s">
        <v>752</v>
      </c>
      <c r="B34" s="88"/>
      <c r="C34" s="88"/>
      <c r="D34" s="88"/>
      <c r="E34" s="88"/>
      <c r="F34" s="61"/>
      <c r="G34" s="61"/>
      <c r="H34" s="61"/>
    </row>
    <row r="35" spans="1:8" ht="12.75" x14ac:dyDescent="0.2">
      <c r="A35" s="87" t="s">
        <v>753</v>
      </c>
      <c r="B35" s="88"/>
      <c r="C35" s="88"/>
      <c r="D35" s="88"/>
      <c r="E35" s="88"/>
      <c r="F35" s="61"/>
      <c r="G35" s="61"/>
      <c r="H35" s="61"/>
    </row>
    <row r="36" spans="1:8" ht="12.75" x14ac:dyDescent="0.2">
      <c r="A36" s="89" t="s">
        <v>111</v>
      </c>
      <c r="B36" s="61"/>
      <c r="C36" s="61"/>
      <c r="D36" s="61"/>
      <c r="E36" s="61"/>
      <c r="F36" s="61"/>
      <c r="G36" s="61"/>
      <c r="H36" s="61"/>
    </row>
    <row r="37" spans="1:8" ht="12.75" x14ac:dyDescent="0.2">
      <c r="A37" s="61"/>
      <c r="B37" s="61"/>
      <c r="C37" s="61"/>
      <c r="D37" s="61"/>
      <c r="E37" s="61"/>
      <c r="F37" s="61"/>
      <c r="G37" s="61"/>
      <c r="H37" s="61"/>
    </row>
    <row r="38" spans="1:8" ht="29.25" customHeight="1" x14ac:dyDescent="0.2">
      <c r="A38" s="383" t="s">
        <v>702</v>
      </c>
      <c r="B38" s="384"/>
      <c r="C38" s="384"/>
      <c r="D38" s="384"/>
      <c r="E38" s="384"/>
      <c r="F38" s="61"/>
      <c r="G38" s="61"/>
      <c r="H38" s="61"/>
    </row>
    <row r="39" spans="1:8" ht="12.75" x14ac:dyDescent="0.2">
      <c r="A39" s="61"/>
      <c r="B39" s="61"/>
      <c r="C39" s="61"/>
      <c r="D39" s="61"/>
      <c r="E39" s="61"/>
      <c r="F39" s="61"/>
      <c r="G39" s="61"/>
      <c r="H39" s="61"/>
    </row>
    <row r="40" spans="1:8" x14ac:dyDescent="0.15">
      <c r="E40" s="6"/>
    </row>
    <row r="44" spans="1:8" x14ac:dyDescent="0.15">
      <c r="E44" s="18"/>
    </row>
  </sheetData>
  <mergeCells count="2">
    <mergeCell ref="C26:E27"/>
    <mergeCell ref="A38:E38"/>
  </mergeCells>
  <phoneticPr fontId="3" type="noConversion"/>
  <printOptions horizontalCentered="1" gridLinesSet="0"/>
  <pageMargins left="0" right="0" top="0.5" bottom="0.25" header="0.5" footer="0"/>
  <pageSetup orientation="portrait" r:id="rId1"/>
  <headerFooter alignWithMargins="0">
    <oddFooter>&amp;L&amp;F&amp;C&amp;P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pageSetUpPr fitToPage="1"/>
  </sheetPr>
  <dimension ref="A1:M40"/>
  <sheetViews>
    <sheetView showGridLines="0" zoomScale="90" zoomScaleNormal="90" workbookViewId="0">
      <selection activeCell="D34" sqref="D34"/>
    </sheetView>
  </sheetViews>
  <sheetFormatPr defaultColWidth="11.6640625" defaultRowHeight="10.5" x14ac:dyDescent="0.15"/>
  <cols>
    <col min="1" max="1" width="34.83203125" customWidth="1"/>
    <col min="2" max="3" width="18.83203125" customWidth="1"/>
    <col min="4" max="4" width="21.83203125" customWidth="1"/>
    <col min="5" max="7" width="18.83203125" customWidth="1"/>
    <col min="8" max="9" width="22.83203125" customWidth="1"/>
    <col min="10" max="12" width="18.83203125" customWidth="1"/>
    <col min="13" max="13" width="14.6640625" customWidth="1"/>
  </cols>
  <sheetData>
    <row r="1" spans="1:13" ht="12.75" x14ac:dyDescent="0.2">
      <c r="A1" s="33" t="s">
        <v>534</v>
      </c>
      <c r="B1" s="39"/>
      <c r="C1" s="39"/>
      <c r="D1" s="39"/>
      <c r="E1" s="38"/>
      <c r="F1" s="38"/>
      <c r="G1" s="39"/>
      <c r="H1" s="39"/>
      <c r="I1" s="39"/>
      <c r="J1" s="39"/>
      <c r="K1" s="39"/>
      <c r="L1" s="39"/>
      <c r="M1" s="36"/>
    </row>
    <row r="2" spans="1:13" ht="12.75" x14ac:dyDescent="0.2">
      <c r="A2" s="33" t="s">
        <v>533</v>
      </c>
      <c r="B2" s="34"/>
      <c r="C2" s="34"/>
      <c r="D2" s="34"/>
      <c r="E2" s="35"/>
      <c r="F2" s="35"/>
      <c r="G2" s="34"/>
      <c r="H2" s="34"/>
      <c r="I2" s="34"/>
      <c r="J2" s="34"/>
      <c r="K2" s="34"/>
      <c r="L2" s="34"/>
      <c r="M2" s="36"/>
    </row>
    <row r="3" spans="1:13" ht="12.75" x14ac:dyDescent="0.2">
      <c r="A3" s="37" t="s">
        <v>759</v>
      </c>
      <c r="B3" s="37"/>
      <c r="C3" s="37"/>
      <c r="D3" s="39"/>
      <c r="E3" s="38"/>
      <c r="F3" s="38"/>
      <c r="G3" s="37"/>
      <c r="H3" s="37"/>
      <c r="I3" s="37"/>
      <c r="J3" s="37"/>
      <c r="K3" s="39"/>
      <c r="L3" s="39"/>
      <c r="M3" s="36"/>
    </row>
    <row r="4" spans="1:13" ht="11.25" x14ac:dyDescent="0.2">
      <c r="A4" s="40"/>
      <c r="B4" s="38"/>
      <c r="C4" s="38"/>
      <c r="D4" s="38"/>
      <c r="E4" s="38"/>
      <c r="F4" s="38"/>
      <c r="G4" s="38"/>
      <c r="H4" s="38"/>
      <c r="I4" s="38"/>
      <c r="J4" s="38"/>
      <c r="K4" s="38"/>
      <c r="L4" s="41"/>
      <c r="M4" s="36"/>
    </row>
    <row r="5" spans="1:13" ht="12.75" x14ac:dyDescent="0.2">
      <c r="A5" s="41"/>
      <c r="B5" s="41"/>
      <c r="C5" s="41"/>
      <c r="D5" s="66"/>
      <c r="E5" s="41"/>
      <c r="F5" s="41"/>
      <c r="G5" s="41"/>
      <c r="H5" s="41"/>
      <c r="I5" s="41"/>
      <c r="J5" s="41"/>
      <c r="K5" s="41"/>
      <c r="L5" s="41"/>
      <c r="M5" s="42"/>
    </row>
    <row r="6" spans="1:13" ht="12.2" customHeight="1" x14ac:dyDescent="0.2">
      <c r="A6" s="43"/>
      <c r="B6" s="44"/>
      <c r="C6" s="44"/>
      <c r="D6" s="44"/>
      <c r="E6" s="44" t="s">
        <v>226</v>
      </c>
      <c r="F6" s="44"/>
      <c r="G6" s="44" t="s">
        <v>19</v>
      </c>
      <c r="H6" s="45" t="s">
        <v>133</v>
      </c>
      <c r="I6" s="44" t="s">
        <v>528</v>
      </c>
      <c r="J6" s="44" t="s">
        <v>134</v>
      </c>
      <c r="K6" s="44"/>
      <c r="L6" s="44"/>
      <c r="M6" s="36"/>
    </row>
    <row r="7" spans="1:13" ht="12.75" customHeight="1" x14ac:dyDescent="0.2">
      <c r="A7" s="41"/>
      <c r="B7" s="46" t="s">
        <v>19</v>
      </c>
      <c r="C7" s="41"/>
      <c r="D7" s="46" t="s">
        <v>530</v>
      </c>
      <c r="E7" s="47" t="s">
        <v>227</v>
      </c>
      <c r="F7" s="41"/>
      <c r="G7" s="47" t="s">
        <v>135</v>
      </c>
      <c r="H7" s="48" t="s">
        <v>136</v>
      </c>
      <c r="I7" s="46" t="s">
        <v>529</v>
      </c>
      <c r="J7" s="46" t="s">
        <v>139</v>
      </c>
      <c r="K7" s="46" t="s">
        <v>17</v>
      </c>
      <c r="L7" s="41"/>
      <c r="M7" s="36"/>
    </row>
    <row r="8" spans="1:13" ht="12.75" customHeight="1" x14ac:dyDescent="0.2">
      <c r="A8" s="46" t="s">
        <v>140</v>
      </c>
      <c r="B8" s="46" t="s">
        <v>141</v>
      </c>
      <c r="C8" s="46" t="s">
        <v>29</v>
      </c>
      <c r="D8" s="46" t="s">
        <v>138</v>
      </c>
      <c r="E8" s="47" t="s">
        <v>137</v>
      </c>
      <c r="F8" s="46" t="s">
        <v>128</v>
      </c>
      <c r="G8" s="46" t="s">
        <v>18</v>
      </c>
      <c r="H8" s="46" t="s">
        <v>149</v>
      </c>
      <c r="I8" s="46" t="s">
        <v>142</v>
      </c>
      <c r="J8" s="46" t="s">
        <v>143</v>
      </c>
      <c r="K8" s="46" t="s">
        <v>144</v>
      </c>
      <c r="L8" s="46" t="s">
        <v>20</v>
      </c>
      <c r="M8" s="46" t="s">
        <v>661</v>
      </c>
    </row>
    <row r="9" spans="1:13" ht="12.75" customHeight="1" x14ac:dyDescent="0.2">
      <c r="A9" s="48" t="s">
        <v>145</v>
      </c>
      <c r="B9" s="46" t="s">
        <v>563</v>
      </c>
      <c r="C9" s="46" t="s">
        <v>563</v>
      </c>
      <c r="D9" s="46" t="s">
        <v>563</v>
      </c>
      <c r="E9" s="46" t="s">
        <v>563</v>
      </c>
      <c r="F9" s="46" t="s">
        <v>563</v>
      </c>
      <c r="G9" s="46" t="s">
        <v>563</v>
      </c>
      <c r="H9" s="46" t="s">
        <v>563</v>
      </c>
      <c r="I9" s="46" t="s">
        <v>563</v>
      </c>
      <c r="J9" s="46" t="s">
        <v>563</v>
      </c>
      <c r="K9" s="46" t="s">
        <v>563</v>
      </c>
      <c r="L9" s="46" t="s">
        <v>563</v>
      </c>
      <c r="M9" s="46" t="s">
        <v>665</v>
      </c>
    </row>
    <row r="10" spans="1:13" ht="12.75" customHeight="1" x14ac:dyDescent="0.2">
      <c r="A10" s="49"/>
      <c r="B10" s="49">
        <v>0.86</v>
      </c>
      <c r="C10" s="49">
        <v>0.91</v>
      </c>
      <c r="D10" s="49">
        <v>1</v>
      </c>
      <c r="E10" s="49">
        <v>1.01</v>
      </c>
      <c r="F10" s="49">
        <v>0.98</v>
      </c>
      <c r="G10" s="49">
        <v>0.99</v>
      </c>
      <c r="H10" s="49">
        <v>1.02</v>
      </c>
      <c r="I10" s="49">
        <v>1.01</v>
      </c>
      <c r="J10" s="49">
        <v>1.04</v>
      </c>
      <c r="K10" s="49">
        <v>1.04</v>
      </c>
      <c r="L10" s="49">
        <v>1.02</v>
      </c>
      <c r="M10" s="49">
        <v>1.02</v>
      </c>
    </row>
    <row r="11" spans="1:13" ht="12.75" customHeight="1" x14ac:dyDescent="0.2">
      <c r="A11" s="41"/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36"/>
    </row>
    <row r="12" spans="1:13" ht="12.75" customHeight="1" x14ac:dyDescent="0.2">
      <c r="A12" s="345" t="s">
        <v>16</v>
      </c>
      <c r="B12" s="70">
        <f>1.203*$B$10*'const-cost'!E12</f>
        <v>402.97923389730704</v>
      </c>
      <c r="C12" s="70">
        <f>1.203*$C$10*'const-cost'!E12</f>
        <v>426.40825912389471</v>
      </c>
      <c r="D12" s="70">
        <f>1.203*$D$10*'const-cost'!E12</f>
        <v>468.58050453175235</v>
      </c>
      <c r="E12" s="70">
        <f>1.203*$E$10*'const-cost'!E12</f>
        <v>473.26630957706988</v>
      </c>
      <c r="F12" s="70">
        <f>1.203*$F$10*'const-cost'!E12</f>
        <v>459.20889444111731</v>
      </c>
      <c r="G12" s="70">
        <f>1.203*$G$10*'const-cost'!E12</f>
        <v>463.89469948643483</v>
      </c>
      <c r="H12" s="70">
        <f>1.203*$H$10*'const-cost'!E12</f>
        <v>477.9521146223874</v>
      </c>
      <c r="I12" s="70">
        <f>1.203*$I$10*'const-cost'!E12</f>
        <v>473.26630957706988</v>
      </c>
      <c r="J12" s="70">
        <f>1.203*$J$10*'const-cost'!E12</f>
        <v>487.32372471302239</v>
      </c>
      <c r="K12" s="70">
        <f>1.203*$K$10*'const-cost'!E12</f>
        <v>487.32372471302239</v>
      </c>
      <c r="L12" s="70">
        <f>1.203*$L$10*'const-cost'!E12</f>
        <v>477.9521146223874</v>
      </c>
      <c r="M12" s="70">
        <f>1.203*$M$10*'const-cost'!E12</f>
        <v>477.9521146223874</v>
      </c>
    </row>
    <row r="13" spans="1:13" ht="12.75" customHeight="1" x14ac:dyDescent="0.2">
      <c r="A13" s="68"/>
      <c r="B13" s="70"/>
      <c r="C13" s="70"/>
      <c r="D13" s="70"/>
      <c r="E13" s="70"/>
      <c r="F13" s="70"/>
      <c r="G13" s="70"/>
      <c r="H13" s="70"/>
      <c r="I13" s="70"/>
      <c r="J13" s="70"/>
      <c r="K13" s="70"/>
      <c r="L13" s="70"/>
      <c r="M13" s="61"/>
    </row>
    <row r="14" spans="1:13" ht="12.75" customHeight="1" x14ac:dyDescent="0.2">
      <c r="A14" s="345" t="s">
        <v>35</v>
      </c>
      <c r="B14" s="70">
        <f>1.203*$B$10*'const-cost'!E14</f>
        <v>440.17969304420456</v>
      </c>
      <c r="C14" s="70">
        <f>1.203*$C$10*'const-cost'!E14</f>
        <v>465.77153566305367</v>
      </c>
      <c r="D14" s="70">
        <f>1.203*$D$10*'const-cost'!E14</f>
        <v>511.83685237698199</v>
      </c>
      <c r="E14" s="70">
        <f>1.203*$E$10*'const-cost'!E14</f>
        <v>516.95522090075178</v>
      </c>
      <c r="F14" s="70">
        <f>1.203*$F$10*'const-cost'!E14</f>
        <v>501.60011532944242</v>
      </c>
      <c r="G14" s="70">
        <f>1.203*$G$10*'const-cost'!E14</f>
        <v>506.71848385321221</v>
      </c>
      <c r="H14" s="70">
        <f>1.203*$H$10*'const-cost'!E14</f>
        <v>522.07358942452163</v>
      </c>
      <c r="I14" s="70">
        <f>1.203*$I$10*'const-cost'!E14</f>
        <v>516.95522090075178</v>
      </c>
      <c r="J14" s="70">
        <f>1.203*$J$10*'const-cost'!E14</f>
        <v>532.31032647206132</v>
      </c>
      <c r="K14" s="70">
        <f>1.203*$K$10*'const-cost'!E14</f>
        <v>532.31032647206132</v>
      </c>
      <c r="L14" s="70">
        <f>1.203*$L$10*'const-cost'!E14</f>
        <v>522.07358942452163</v>
      </c>
      <c r="M14" s="70">
        <f>1.203*$M$10*'const-cost'!E14</f>
        <v>522.07358942452163</v>
      </c>
    </row>
    <row r="15" spans="1:13" ht="12.75" customHeight="1" x14ac:dyDescent="0.2">
      <c r="A15" s="68"/>
      <c r="B15" s="70"/>
      <c r="C15" s="70"/>
      <c r="D15" s="70"/>
      <c r="E15" s="70"/>
      <c r="F15" s="70"/>
      <c r="G15" s="70"/>
      <c r="H15" s="70"/>
      <c r="I15" s="70"/>
      <c r="J15" s="70"/>
      <c r="K15" s="70"/>
      <c r="L15" s="70"/>
      <c r="M15" s="61"/>
    </row>
    <row r="16" spans="1:13" ht="12.75" customHeight="1" x14ac:dyDescent="0.2">
      <c r="A16" s="345" t="s">
        <v>42</v>
      </c>
      <c r="B16" s="70">
        <f>1.203*$B$10*'const-cost'!E16</f>
        <v>400.71132309679041</v>
      </c>
      <c r="C16" s="70">
        <f>1.203*$C$10*'const-cost'!E16</f>
        <v>424.00849304427828</v>
      </c>
      <c r="D16" s="70">
        <f>1.203*$D$10*'const-cost'!E16</f>
        <v>465.94339894975627</v>
      </c>
      <c r="E16" s="70">
        <f>1.203*$E$10*'const-cost'!E16</f>
        <v>470.60283293925386</v>
      </c>
      <c r="F16" s="70">
        <f>1.203*$F$10*'const-cost'!E16</f>
        <v>456.62453097076116</v>
      </c>
      <c r="G16" s="70">
        <f>1.203*$G$10*'const-cost'!E16</f>
        <v>461.28396496025874</v>
      </c>
      <c r="H16" s="70">
        <f>1.203*$H$10*'const-cost'!E16</f>
        <v>475.26226692875139</v>
      </c>
      <c r="I16" s="70">
        <f>1.203*$I$10*'const-cost'!E16</f>
        <v>470.60283293925386</v>
      </c>
      <c r="J16" s="70">
        <f>1.203*$J$10*'const-cost'!E16</f>
        <v>484.5811349077465</v>
      </c>
      <c r="K16" s="70">
        <f>1.203*$K$10*'const-cost'!E16</f>
        <v>484.5811349077465</v>
      </c>
      <c r="L16" s="70">
        <f>1.203*$L$10*'const-cost'!E16</f>
        <v>475.26226692875139</v>
      </c>
      <c r="M16" s="70">
        <f>1.203*$M$10*'const-cost'!E16</f>
        <v>475.26226692875139</v>
      </c>
    </row>
    <row r="17" spans="1:13" ht="12.75" customHeight="1" x14ac:dyDescent="0.2">
      <c r="A17" s="68"/>
      <c r="B17" s="70"/>
      <c r="C17" s="70"/>
      <c r="D17" s="70"/>
      <c r="E17" s="70"/>
      <c r="F17" s="70"/>
      <c r="G17" s="70"/>
      <c r="H17" s="70"/>
      <c r="I17" s="70"/>
      <c r="J17" s="70"/>
      <c r="K17" s="70"/>
      <c r="L17" s="70"/>
      <c r="M17" s="61"/>
    </row>
    <row r="18" spans="1:13" ht="12.75" customHeight="1" x14ac:dyDescent="0.2">
      <c r="A18" s="345" t="s">
        <v>52</v>
      </c>
      <c r="B18" s="70">
        <f>1.203*$B$10*'const-cost'!E18</f>
        <v>517.50926951092754</v>
      </c>
      <c r="C18" s="70">
        <f>1.203*$C$10*'const-cost'!E18</f>
        <v>547.59701773830716</v>
      </c>
      <c r="D18" s="70">
        <f>1.203*$D$10*'const-cost'!E18</f>
        <v>601.75496454759013</v>
      </c>
      <c r="E18" s="70">
        <f>1.203*$E$10*'const-cost'!E18</f>
        <v>607.77251419306606</v>
      </c>
      <c r="F18" s="70">
        <f>1.203*$F$10*'const-cost'!E18</f>
        <v>589.7198652566384</v>
      </c>
      <c r="G18" s="70">
        <f>1.203*$G$10*'const-cost'!E18</f>
        <v>595.73741490211432</v>
      </c>
      <c r="H18" s="70">
        <f>1.203*$H$10*'const-cost'!E18</f>
        <v>613.79006383854198</v>
      </c>
      <c r="I18" s="70">
        <f>1.203*$I$10*'const-cost'!E18</f>
        <v>607.77251419306606</v>
      </c>
      <c r="J18" s="70">
        <f>1.203*$J$10*'const-cost'!E18</f>
        <v>625.82516312949372</v>
      </c>
      <c r="K18" s="70">
        <f>1.203*$K$10*'const-cost'!E18</f>
        <v>625.82516312949372</v>
      </c>
      <c r="L18" s="70">
        <f>1.203*$L$10*'const-cost'!E18</f>
        <v>613.79006383854198</v>
      </c>
      <c r="M18" s="70">
        <f>1.203*$M$10*'const-cost'!E18</f>
        <v>613.79006383854198</v>
      </c>
    </row>
    <row r="19" spans="1:13" ht="12.75" customHeight="1" x14ac:dyDescent="0.2">
      <c r="A19" s="68"/>
      <c r="B19" s="70"/>
      <c r="C19" s="70"/>
      <c r="D19" s="70"/>
      <c r="E19" s="70"/>
      <c r="F19" s="70"/>
      <c r="G19" s="70"/>
      <c r="H19" s="70"/>
      <c r="I19" s="70"/>
      <c r="J19" s="70"/>
      <c r="K19" s="70"/>
      <c r="L19" s="70"/>
      <c r="M19" s="61"/>
    </row>
    <row r="20" spans="1:13" ht="12.75" customHeight="1" x14ac:dyDescent="0.2">
      <c r="A20" s="345" t="s">
        <v>63</v>
      </c>
      <c r="B20" s="70">
        <f>1.203*$B$10*'const-cost'!E20</f>
        <v>408.64875420000004</v>
      </c>
      <c r="C20" s="70">
        <f>1.203*$C$10*'const-cost'!E20</f>
        <v>432.40740270000009</v>
      </c>
      <c r="D20" s="70">
        <f>1.203*$D$10*'const-cost'!E20</f>
        <v>475.17297000000002</v>
      </c>
      <c r="E20" s="70">
        <f>1.203*$E$10*'const-cost'!E20</f>
        <v>479.92469970000002</v>
      </c>
      <c r="F20" s="70">
        <f>1.203*$F$10*'const-cost'!E20</f>
        <v>465.66951060000002</v>
      </c>
      <c r="G20" s="70">
        <f>1.203*$G$10*'const-cost'!E20</f>
        <v>470.42124030000002</v>
      </c>
      <c r="H20" s="70">
        <f>1.203*$H$10*'const-cost'!E20</f>
        <v>484.67642940000002</v>
      </c>
      <c r="I20" s="70">
        <f>1.203*$I$10*'const-cost'!E20</f>
        <v>479.92469970000002</v>
      </c>
      <c r="J20" s="70">
        <f>1.203*$J$10*'const-cost'!E20</f>
        <v>494.17988880000001</v>
      </c>
      <c r="K20" s="70">
        <f>1.203*$K$10*'const-cost'!E20</f>
        <v>494.17988880000001</v>
      </c>
      <c r="L20" s="70">
        <f>1.203*$L$10*'const-cost'!E20</f>
        <v>484.67642940000002</v>
      </c>
      <c r="M20" s="70">
        <f>1.203*$M$10*'const-cost'!E20</f>
        <v>484.67642940000002</v>
      </c>
    </row>
    <row r="21" spans="1:13" ht="12.75" customHeight="1" x14ac:dyDescent="0.2">
      <c r="A21" s="68"/>
      <c r="B21" s="70"/>
      <c r="C21" s="70"/>
      <c r="D21" s="70"/>
      <c r="E21" s="70"/>
      <c r="F21" s="70"/>
      <c r="G21" s="70"/>
      <c r="H21" s="70"/>
      <c r="I21" s="70"/>
      <c r="J21" s="70"/>
      <c r="K21" s="70"/>
      <c r="L21" s="70"/>
      <c r="M21" s="61"/>
    </row>
    <row r="22" spans="1:13" ht="12.75" customHeight="1" x14ac:dyDescent="0.2">
      <c r="A22" s="345" t="s">
        <v>146</v>
      </c>
      <c r="B22" s="70">
        <f>1.203*$B$10*'const-cost'!E22</f>
        <v>453.50814300000008</v>
      </c>
      <c r="C22" s="70">
        <f>1.203*$C$10*'const-cost'!E22</f>
        <v>479.87489550000009</v>
      </c>
      <c r="D22" s="70">
        <f>1.203*$D$10*'const-cost'!E22</f>
        <v>527.33505000000002</v>
      </c>
      <c r="E22" s="70">
        <f>1.203*$E$10*'const-cost'!E22</f>
        <v>532.60840050000002</v>
      </c>
      <c r="F22" s="70">
        <f>1.203*$F$10*'const-cost'!E22</f>
        <v>516.78834900000004</v>
      </c>
      <c r="G22" s="70">
        <f>1.203*$G$10*'const-cost'!E22</f>
        <v>522.06169950000003</v>
      </c>
      <c r="H22" s="70">
        <f>1.203*$H$10*'const-cost'!E22</f>
        <v>537.88175100000001</v>
      </c>
      <c r="I22" s="70">
        <f>1.203*$I$10*'const-cost'!E22</f>
        <v>532.60840050000002</v>
      </c>
      <c r="J22" s="70">
        <f>1.203*$J$10*'const-cost'!E22</f>
        <v>548.42845199999999</v>
      </c>
      <c r="K22" s="70">
        <f>1.203*$K$10*'const-cost'!E22</f>
        <v>548.42845199999999</v>
      </c>
      <c r="L22" s="70">
        <f>1.203*$L$10*'const-cost'!E22</f>
        <v>537.88175100000001</v>
      </c>
      <c r="M22" s="70">
        <f>1.203*$M$10*'const-cost'!E22</f>
        <v>537.88175100000001</v>
      </c>
    </row>
    <row r="23" spans="1:13" ht="12.75" customHeight="1" x14ac:dyDescent="0.2">
      <c r="A23" s="68"/>
      <c r="B23" s="70"/>
      <c r="C23" s="70"/>
      <c r="D23" s="70"/>
      <c r="E23" s="70"/>
      <c r="F23" s="70"/>
      <c r="G23" s="70"/>
      <c r="H23" s="70"/>
      <c r="I23" s="70"/>
      <c r="J23" s="70"/>
      <c r="K23" s="70"/>
      <c r="L23" s="70"/>
      <c r="M23" s="61"/>
    </row>
    <row r="24" spans="1:13" ht="12.75" customHeight="1" x14ac:dyDescent="0.2">
      <c r="A24" s="345" t="s">
        <v>79</v>
      </c>
      <c r="B24" s="70">
        <f>1.203*$B$10*'const-cost'!E24</f>
        <v>292.52749499999999</v>
      </c>
      <c r="C24" s="70">
        <f>1.203*$C$10*'const-cost'!E24</f>
        <v>309.53490750000003</v>
      </c>
      <c r="D24" s="70">
        <f>1.203*$D$10*'const-cost'!E24</f>
        <v>340.14825000000002</v>
      </c>
      <c r="E24" s="70">
        <f>1.203*$E$10*'const-cost'!E24</f>
        <v>343.5497325</v>
      </c>
      <c r="F24" s="70">
        <f>1.203*$F$10*'const-cost'!E24</f>
        <v>333.34528500000005</v>
      </c>
      <c r="G24" s="70">
        <f>1.203*$G$10*'const-cost'!E24</f>
        <v>336.74676750000003</v>
      </c>
      <c r="H24" s="70">
        <f>1.203*$H$10*'const-cost'!E24</f>
        <v>346.95121499999999</v>
      </c>
      <c r="I24" s="70">
        <f>1.203*$I$10*'const-cost'!E24</f>
        <v>343.5497325</v>
      </c>
      <c r="J24" s="70">
        <f>1.203*$J$10*'const-cost'!E24</f>
        <v>353.75418000000002</v>
      </c>
      <c r="K24" s="70">
        <f>1.203*$K$10*'const-cost'!E24</f>
        <v>353.75418000000002</v>
      </c>
      <c r="L24" s="70">
        <f>1.203*$L$10*'const-cost'!E24</f>
        <v>346.95121499999999</v>
      </c>
      <c r="M24" s="70">
        <f>1.203*$M$10*'const-cost'!E24</f>
        <v>346.95121499999999</v>
      </c>
    </row>
    <row r="25" spans="1:13" ht="12.75" customHeight="1" x14ac:dyDescent="0.2">
      <c r="A25" s="68"/>
      <c r="B25" s="70"/>
      <c r="C25" s="70"/>
      <c r="D25" s="70"/>
      <c r="E25" s="70"/>
      <c r="F25" s="70"/>
      <c r="G25" s="70"/>
      <c r="H25" s="70"/>
      <c r="I25" s="70"/>
      <c r="J25" s="70"/>
      <c r="K25" s="70"/>
      <c r="L25" s="70"/>
      <c r="M25" s="61"/>
    </row>
    <row r="26" spans="1:13" ht="12.75" x14ac:dyDescent="0.2">
      <c r="A26" s="347" t="s">
        <v>85</v>
      </c>
      <c r="B26" s="234" t="s">
        <v>666</v>
      </c>
      <c r="C26" s="232"/>
      <c r="D26" s="232"/>
      <c r="E26" s="232"/>
      <c r="F26" s="232"/>
      <c r="G26" s="232"/>
      <c r="H26" s="232"/>
      <c r="I26" s="232"/>
      <c r="J26" s="232"/>
      <c r="K26" s="232"/>
      <c r="L26" s="232"/>
      <c r="M26" s="233"/>
    </row>
    <row r="27" spans="1:13" ht="12.75" x14ac:dyDescent="0.2">
      <c r="A27" s="68"/>
      <c r="B27" s="70"/>
      <c r="C27" s="70"/>
      <c r="D27" s="70"/>
      <c r="E27" s="70"/>
      <c r="F27" s="70"/>
      <c r="G27" s="70"/>
      <c r="H27" s="70"/>
      <c r="I27" s="70"/>
      <c r="J27" s="70"/>
      <c r="K27" s="70"/>
      <c r="L27" s="70"/>
      <c r="M27" s="61"/>
    </row>
    <row r="28" spans="1:13" ht="12.75" x14ac:dyDescent="0.2">
      <c r="A28" s="345" t="s">
        <v>147</v>
      </c>
      <c r="B28" s="70">
        <f>1.203*$B$10*'const-cost'!E29</f>
        <v>305.69769840000004</v>
      </c>
      <c r="C28" s="70">
        <f>1.203*$C$10*'const-cost'!E29</f>
        <v>323.47082040000009</v>
      </c>
      <c r="D28" s="70">
        <f>1.203*$D$10*'const-cost'!E29</f>
        <v>355.46244000000002</v>
      </c>
      <c r="E28" s="70">
        <f>1.203*$E$10*'const-cost'!E29</f>
        <v>359.01706440000004</v>
      </c>
      <c r="F28" s="70">
        <f>1.203*$F$10*'const-cost'!E29</f>
        <v>348.35319120000003</v>
      </c>
      <c r="G28" s="70">
        <f>1.203*$G$10*'const-cost'!E29</f>
        <v>351.90781560000005</v>
      </c>
      <c r="H28" s="70">
        <f>1.203*$H$10*'const-cost'!E29</f>
        <v>362.57168880000006</v>
      </c>
      <c r="I28" s="70">
        <f>1.203*$I$10*'const-cost'!E29</f>
        <v>359.01706440000004</v>
      </c>
      <c r="J28" s="70">
        <f>1.203*$J$10*'const-cost'!E29</f>
        <v>369.68093760000005</v>
      </c>
      <c r="K28" s="70">
        <f>1.203*$K$10*'const-cost'!E29</f>
        <v>369.68093760000005</v>
      </c>
      <c r="L28" s="70">
        <f>1.203*$L$10*'const-cost'!E29</f>
        <v>362.57168880000006</v>
      </c>
      <c r="M28" s="70">
        <f>1.203*$M$10*'const-cost'!E29</f>
        <v>362.57168880000006</v>
      </c>
    </row>
    <row r="29" spans="1:13" ht="12.75" x14ac:dyDescent="0.2">
      <c r="A29" s="68"/>
      <c r="B29" s="70"/>
      <c r="C29" s="70"/>
      <c r="D29" s="70"/>
      <c r="E29" s="70"/>
      <c r="F29" s="70"/>
      <c r="G29" s="70"/>
      <c r="H29" s="70"/>
      <c r="I29" s="70"/>
      <c r="J29" s="70"/>
      <c r="K29" s="70"/>
      <c r="L29" s="70"/>
      <c r="M29" s="61"/>
    </row>
    <row r="30" spans="1:13" ht="12.75" x14ac:dyDescent="0.2">
      <c r="A30" s="345" t="s">
        <v>99</v>
      </c>
      <c r="B30" s="70">
        <f>1.203*$B$10*'const-cost'!E31</f>
        <v>371.66251920000002</v>
      </c>
      <c r="C30" s="70">
        <f>1.203*$C$10*'const-cost'!E31</f>
        <v>393.2708052000001</v>
      </c>
      <c r="D30" s="70">
        <f>1.203*$D$10*'const-cost'!E31</f>
        <v>432.16572000000002</v>
      </c>
      <c r="E30" s="70">
        <f>1.203*$E$10*'const-cost'!E31</f>
        <v>436.48737720000003</v>
      </c>
      <c r="F30" s="70">
        <f>1.203*$F$10*'const-cost'!E31</f>
        <v>423.52240560000007</v>
      </c>
      <c r="G30" s="70">
        <f>1.203*$G$10*'const-cost'!E31</f>
        <v>427.84406280000002</v>
      </c>
      <c r="H30" s="70">
        <f>1.203*$H$10*'const-cost'!E31</f>
        <v>440.80903440000003</v>
      </c>
      <c r="I30" s="70">
        <f>1.203*$I$10*'const-cost'!E31</f>
        <v>436.48737720000003</v>
      </c>
      <c r="J30" s="70">
        <f>1.203*$J$10*'const-cost'!E31</f>
        <v>449.45234880000004</v>
      </c>
      <c r="K30" s="70">
        <f>1.203*$K$10*'const-cost'!E31</f>
        <v>449.45234880000004</v>
      </c>
      <c r="L30" s="70">
        <f>1.203*$L$10*'const-cost'!E31</f>
        <v>440.80903440000003</v>
      </c>
      <c r="M30" s="70">
        <f>1.203*$M$10*'const-cost'!E31</f>
        <v>440.80903440000003</v>
      </c>
    </row>
    <row r="31" spans="1:13" ht="12.75" x14ac:dyDescent="0.2">
      <c r="A31" s="51"/>
      <c r="B31" s="69"/>
      <c r="C31" s="69"/>
      <c r="D31" s="69"/>
      <c r="E31" s="69"/>
      <c r="F31" s="69"/>
      <c r="G31" s="70"/>
      <c r="H31" s="69"/>
      <c r="I31" s="69"/>
      <c r="J31" s="69"/>
      <c r="K31" s="70"/>
      <c r="L31" s="69"/>
      <c r="M31" s="61"/>
    </row>
    <row r="32" spans="1:13" ht="11.25" x14ac:dyDescent="0.2">
      <c r="A32" s="51"/>
      <c r="B32" s="51"/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36"/>
    </row>
    <row r="33" spans="1:13" ht="11.25" x14ac:dyDescent="0.2">
      <c r="A33" s="52"/>
      <c r="B33" s="52"/>
      <c r="C33" s="52"/>
      <c r="D33" s="52"/>
      <c r="E33" s="52"/>
      <c r="F33" s="52"/>
      <c r="G33" s="52"/>
      <c r="H33" s="52"/>
      <c r="I33" s="52"/>
      <c r="J33" s="52"/>
      <c r="K33" s="52"/>
      <c r="L33" s="52"/>
      <c r="M33" s="36"/>
    </row>
    <row r="34" spans="1:13" ht="11.25" x14ac:dyDescent="0.2">
      <c r="A34" s="52"/>
      <c r="B34" s="52"/>
      <c r="C34" s="52"/>
      <c r="D34" s="52"/>
      <c r="E34" s="52"/>
      <c r="F34" s="52"/>
      <c r="G34" s="52"/>
      <c r="H34" s="52"/>
      <c r="I34" s="52"/>
      <c r="J34" s="52"/>
      <c r="K34" s="52"/>
      <c r="L34" s="52"/>
      <c r="M34" s="36"/>
    </row>
    <row r="35" spans="1:13" ht="12.75" x14ac:dyDescent="0.2">
      <c r="A35" s="53" t="s">
        <v>641</v>
      </c>
      <c r="B35" s="54"/>
      <c r="C35" s="54"/>
      <c r="D35" s="54"/>
      <c r="E35" s="54"/>
      <c r="F35" s="54"/>
      <c r="G35" s="54"/>
      <c r="H35" s="54"/>
      <c r="I35" s="54"/>
      <c r="J35" s="52"/>
      <c r="K35" s="52"/>
      <c r="L35" s="52"/>
      <c r="M35" s="36"/>
    </row>
    <row r="36" spans="1:13" ht="12.75" x14ac:dyDescent="0.2">
      <c r="A36" s="53" t="s">
        <v>148</v>
      </c>
      <c r="B36" s="54"/>
      <c r="C36" s="54"/>
      <c r="D36" s="54"/>
      <c r="E36" s="54"/>
      <c r="F36" s="54"/>
      <c r="G36" s="54"/>
      <c r="H36" s="54"/>
      <c r="I36" s="54"/>
      <c r="J36" s="52"/>
      <c r="K36" s="52"/>
      <c r="L36" s="52"/>
      <c r="M36" s="36"/>
    </row>
    <row r="37" spans="1:13" ht="12.75" x14ac:dyDescent="0.2">
      <c r="A37" s="55" t="s">
        <v>751</v>
      </c>
      <c r="B37" s="54"/>
      <c r="C37" s="50"/>
      <c r="D37" s="54"/>
      <c r="E37" s="54"/>
      <c r="F37" s="54"/>
      <c r="G37" s="54"/>
      <c r="H37" s="54"/>
      <c r="I37" s="54"/>
      <c r="J37" s="52"/>
      <c r="K37" s="52"/>
      <c r="L37" s="52"/>
      <c r="M37" s="36"/>
    </row>
    <row r="38" spans="1:13" ht="12.75" x14ac:dyDescent="0.2">
      <c r="A38" s="55" t="s">
        <v>527</v>
      </c>
      <c r="B38" s="36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</row>
    <row r="39" spans="1:13" ht="12.75" x14ac:dyDescent="0.2">
      <c r="A39" s="55" t="s">
        <v>151</v>
      </c>
      <c r="B39" s="36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</row>
    <row r="40" spans="1:13" ht="12.75" x14ac:dyDescent="0.2">
      <c r="A40" s="5"/>
    </row>
  </sheetData>
  <phoneticPr fontId="3" type="noConversion"/>
  <printOptions horizontalCentered="1" gridLinesSet="0"/>
  <pageMargins left="0.5" right="0.5" top="1" bottom="0.25" header="0.5" footer="0"/>
  <pageSetup scale="63" orientation="landscape" horizontalDpi="300" verticalDpi="300" r:id="rId1"/>
  <headerFooter alignWithMargins="0">
    <oddFooter>&amp;L&amp;F&amp;C&amp;P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274" transitionEvaluation="1">
    <pageSetUpPr fitToPage="1"/>
  </sheetPr>
  <dimension ref="A1:X517"/>
  <sheetViews>
    <sheetView showGridLines="0" tabSelected="1" zoomScale="145" zoomScaleNormal="145" zoomScaleSheetLayoutView="75" workbookViewId="0">
      <pane ySplit="9" topLeftCell="A274" activePane="bottomLeft" state="frozen"/>
      <selection pane="bottomLeft"/>
    </sheetView>
  </sheetViews>
  <sheetFormatPr defaultColWidth="11.6640625" defaultRowHeight="10.5" x14ac:dyDescent="0.15"/>
  <cols>
    <col min="1" max="1" width="16.1640625" customWidth="1"/>
    <col min="2" max="2" width="33.1640625" hidden="1" customWidth="1"/>
    <col min="3" max="3" width="55.1640625" customWidth="1"/>
    <col min="4" max="4" width="2.6640625" customWidth="1"/>
    <col min="5" max="5" width="13.5" customWidth="1"/>
    <col min="7" max="7" width="10.6640625" customWidth="1"/>
    <col min="8" max="8" width="16.83203125" style="12" bestFit="1" customWidth="1"/>
    <col min="9" max="9" width="12.6640625" customWidth="1"/>
    <col min="10" max="10" width="17.1640625" customWidth="1"/>
    <col min="11" max="11" width="14.1640625" bestFit="1" customWidth="1"/>
    <col min="12" max="12" width="22.6640625" customWidth="1"/>
    <col min="13" max="13" width="14.6640625" customWidth="1"/>
  </cols>
  <sheetData>
    <row r="1" spans="1:12" s="12" customFormat="1" ht="12.75" x14ac:dyDescent="0.2">
      <c r="A1" s="97" t="s">
        <v>533</v>
      </c>
      <c r="B1" s="98"/>
      <c r="C1" s="98"/>
      <c r="D1" s="98"/>
      <c r="E1" s="98"/>
      <c r="F1" s="99"/>
      <c r="G1" s="98"/>
      <c r="H1" s="98"/>
      <c r="I1" s="98"/>
      <c r="J1" s="98"/>
      <c r="K1" s="98"/>
      <c r="L1" s="98"/>
    </row>
    <row r="2" spans="1:12" s="12" customFormat="1" ht="12.75" x14ac:dyDescent="0.2">
      <c r="A2" s="97" t="s">
        <v>534</v>
      </c>
      <c r="B2" s="98"/>
      <c r="C2" s="98"/>
      <c r="D2" s="98"/>
      <c r="E2" s="98"/>
      <c r="F2" s="99"/>
      <c r="G2" s="98"/>
      <c r="H2" s="98"/>
      <c r="I2" s="98"/>
      <c r="J2" s="98"/>
      <c r="K2" s="98"/>
      <c r="L2" s="98"/>
    </row>
    <row r="3" spans="1:12" s="12" customFormat="1" ht="12.2" customHeight="1" x14ac:dyDescent="0.2">
      <c r="A3" s="100" t="s">
        <v>531</v>
      </c>
      <c r="B3" s="98"/>
      <c r="C3" s="100"/>
      <c r="D3" s="100"/>
      <c r="E3" s="100"/>
      <c r="F3" s="99"/>
      <c r="G3" s="100"/>
      <c r="H3" s="100"/>
      <c r="I3" s="100"/>
      <c r="J3" s="98"/>
      <c r="K3" s="98"/>
      <c r="L3" s="98"/>
    </row>
    <row r="4" spans="1:12" s="12" customFormat="1" ht="12.2" customHeight="1" x14ac:dyDescent="0.2">
      <c r="A4" s="100" t="s">
        <v>748</v>
      </c>
      <c r="B4" s="98"/>
      <c r="C4" s="100"/>
      <c r="D4" s="100"/>
      <c r="E4" s="100"/>
      <c r="F4" s="99"/>
      <c r="G4" s="100"/>
      <c r="H4" s="100"/>
      <c r="I4" s="100"/>
      <c r="J4" s="98"/>
      <c r="K4" s="98"/>
      <c r="L4" s="98"/>
    </row>
    <row r="5" spans="1:12" s="12" customFormat="1" ht="11.25" x14ac:dyDescent="0.2">
      <c r="A5" s="385" t="s">
        <v>640</v>
      </c>
      <c r="B5" s="385"/>
      <c r="C5" s="385"/>
      <c r="D5" s="385"/>
      <c r="E5" s="385"/>
      <c r="F5" s="385"/>
      <c r="G5" s="385"/>
      <c r="H5" s="385"/>
      <c r="I5" s="385"/>
      <c r="J5" s="385"/>
      <c r="K5" s="385"/>
      <c r="L5" s="385"/>
    </row>
    <row r="6" spans="1:12" s="12" customFormat="1" ht="3.2" customHeight="1" x14ac:dyDescent="0.2">
      <c r="A6" s="101"/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</row>
    <row r="7" spans="1:12" s="12" customFormat="1" ht="11.25" x14ac:dyDescent="0.2">
      <c r="A7" s="102"/>
      <c r="B7" s="102"/>
      <c r="C7" s="102"/>
      <c r="D7" s="102"/>
      <c r="E7" s="103" t="s">
        <v>0</v>
      </c>
      <c r="F7" s="102" t="s">
        <v>643</v>
      </c>
      <c r="G7" s="102"/>
      <c r="H7" s="102"/>
      <c r="I7" s="102"/>
      <c r="J7" s="103" t="s">
        <v>1</v>
      </c>
      <c r="K7" s="102"/>
      <c r="L7" s="102"/>
    </row>
    <row r="8" spans="1:12" s="12" customFormat="1" ht="11.25" x14ac:dyDescent="0.2">
      <c r="A8" s="104" t="s">
        <v>2</v>
      </c>
      <c r="B8" s="105"/>
      <c r="C8" s="105"/>
      <c r="D8" s="105"/>
      <c r="E8" s="104" t="s">
        <v>3</v>
      </c>
      <c r="F8" s="104" t="s">
        <v>644</v>
      </c>
      <c r="G8" s="104"/>
      <c r="H8" s="106" t="s">
        <v>749</v>
      </c>
      <c r="I8" s="104" t="s">
        <v>4</v>
      </c>
      <c r="J8" s="104" t="s">
        <v>5</v>
      </c>
      <c r="K8" s="105"/>
      <c r="L8" s="104" t="s">
        <v>6</v>
      </c>
    </row>
    <row r="9" spans="1:12" s="12" customFormat="1" ht="56.25" x14ac:dyDescent="0.2">
      <c r="A9" s="107" t="s">
        <v>7</v>
      </c>
      <c r="B9" s="107" t="s">
        <v>8</v>
      </c>
      <c r="C9" s="107" t="s">
        <v>9</v>
      </c>
      <c r="D9" s="108"/>
      <c r="E9" s="107"/>
      <c r="F9" s="109" t="s">
        <v>656</v>
      </c>
      <c r="G9" s="109" t="s">
        <v>654</v>
      </c>
      <c r="H9" s="107" t="s">
        <v>10</v>
      </c>
      <c r="I9" s="107" t="s">
        <v>11</v>
      </c>
      <c r="J9" s="107" t="s">
        <v>3</v>
      </c>
      <c r="K9" s="107" t="s">
        <v>12</v>
      </c>
      <c r="L9" s="107" t="s">
        <v>13</v>
      </c>
    </row>
    <row r="10" spans="1:12" ht="11.25" x14ac:dyDescent="0.2">
      <c r="A10" s="110"/>
      <c r="B10" s="110"/>
      <c r="C10" s="110"/>
      <c r="D10" s="111"/>
      <c r="E10" s="112" t="s">
        <v>14</v>
      </c>
      <c r="F10" s="110"/>
      <c r="G10" s="110"/>
      <c r="H10" s="113"/>
      <c r="I10" s="110"/>
      <c r="J10" s="114" t="s">
        <v>15</v>
      </c>
      <c r="K10" s="110"/>
      <c r="L10" s="112" t="s">
        <v>14</v>
      </c>
    </row>
    <row r="11" spans="1:12" ht="2.1" customHeight="1" x14ac:dyDescent="0.2">
      <c r="A11" s="73"/>
      <c r="B11" s="73"/>
      <c r="C11" s="73"/>
      <c r="D11" s="73"/>
      <c r="E11" s="73"/>
      <c r="F11" s="73"/>
      <c r="G11" s="73"/>
      <c r="H11" s="101"/>
      <c r="I11" s="73"/>
      <c r="J11" s="73"/>
      <c r="K11" s="73"/>
      <c r="L11" s="73"/>
    </row>
    <row r="12" spans="1:12" ht="10.15" customHeight="1" x14ac:dyDescent="0.2">
      <c r="A12" s="115" t="s">
        <v>16</v>
      </c>
      <c r="B12" s="73"/>
      <c r="C12" s="73"/>
      <c r="D12" s="73"/>
      <c r="E12" s="73"/>
      <c r="F12" s="73"/>
      <c r="G12" s="73"/>
      <c r="H12" s="101"/>
      <c r="I12" s="73"/>
      <c r="J12" s="73"/>
      <c r="K12" s="73"/>
      <c r="L12" s="73"/>
    </row>
    <row r="13" spans="1:12" ht="10.15" customHeight="1" x14ac:dyDescent="0.2">
      <c r="A13" s="113" t="s">
        <v>17</v>
      </c>
      <c r="B13" s="113">
        <v>589</v>
      </c>
      <c r="C13" s="116" t="s">
        <v>31</v>
      </c>
      <c r="D13" s="117"/>
      <c r="E13" s="118">
        <v>97.37</v>
      </c>
      <c r="F13" s="119" t="s">
        <v>32</v>
      </c>
      <c r="G13" s="120"/>
      <c r="H13" s="121"/>
      <c r="I13" s="122"/>
      <c r="J13" s="123"/>
      <c r="K13" s="124"/>
      <c r="L13" s="125"/>
    </row>
    <row r="14" spans="1:12" ht="10.15" customHeight="1" x14ac:dyDescent="0.2">
      <c r="A14" s="113" t="s">
        <v>18</v>
      </c>
      <c r="B14" s="126">
        <v>395</v>
      </c>
      <c r="C14" s="127" t="s">
        <v>122</v>
      </c>
      <c r="D14" s="128"/>
      <c r="E14" s="129">
        <v>106.33</v>
      </c>
      <c r="F14" s="130">
        <v>35400</v>
      </c>
      <c r="G14" s="131"/>
      <c r="H14" s="121"/>
      <c r="I14" s="132"/>
      <c r="J14" s="133"/>
      <c r="K14" s="134"/>
      <c r="L14" s="135"/>
    </row>
    <row r="15" spans="1:12" ht="10.15" customHeight="1" x14ac:dyDescent="0.2">
      <c r="A15" s="113" t="s">
        <v>20</v>
      </c>
      <c r="B15" s="113">
        <v>429</v>
      </c>
      <c r="C15" s="116" t="s">
        <v>112</v>
      </c>
      <c r="D15" s="117"/>
      <c r="E15" s="118">
        <v>110.85</v>
      </c>
      <c r="F15" s="136">
        <v>35977</v>
      </c>
      <c r="G15" s="120"/>
      <c r="H15" s="121"/>
      <c r="I15" s="122"/>
      <c r="J15" s="123"/>
      <c r="K15" s="124"/>
      <c r="L15" s="125"/>
    </row>
    <row r="16" spans="1:12" ht="10.15" customHeight="1" x14ac:dyDescent="0.2">
      <c r="A16" s="113" t="s">
        <v>20</v>
      </c>
      <c r="B16" s="113">
        <v>424</v>
      </c>
      <c r="C16" s="116" t="s">
        <v>113</v>
      </c>
      <c r="D16" s="117"/>
      <c r="E16" s="118">
        <v>110.11</v>
      </c>
      <c r="F16" s="136">
        <v>35462</v>
      </c>
      <c r="G16" s="120"/>
      <c r="H16" s="121"/>
      <c r="I16" s="122"/>
      <c r="J16" s="123"/>
      <c r="K16" s="124"/>
      <c r="L16" s="125"/>
    </row>
    <row r="17" spans="1:14" ht="10.15" customHeight="1" x14ac:dyDescent="0.2">
      <c r="A17" s="113" t="s">
        <v>29</v>
      </c>
      <c r="B17" s="113">
        <v>700</v>
      </c>
      <c r="C17" s="116" t="s">
        <v>114</v>
      </c>
      <c r="D17" s="117"/>
      <c r="E17" s="118">
        <v>112.12</v>
      </c>
      <c r="F17" s="136">
        <v>35827</v>
      </c>
      <c r="G17" s="120"/>
      <c r="H17" s="121"/>
      <c r="I17" s="122"/>
      <c r="J17" s="123"/>
      <c r="K17" s="124"/>
      <c r="L17" s="125"/>
    </row>
    <row r="18" spans="1:14" ht="10.15" customHeight="1" x14ac:dyDescent="0.2">
      <c r="A18" s="113" t="s">
        <v>128</v>
      </c>
      <c r="B18" s="113">
        <v>1009</v>
      </c>
      <c r="C18" s="116" t="s">
        <v>130</v>
      </c>
      <c r="D18" s="117"/>
      <c r="E18" s="118">
        <v>119.49</v>
      </c>
      <c r="F18" s="136">
        <v>36130</v>
      </c>
      <c r="G18" s="120"/>
      <c r="H18" s="121"/>
      <c r="I18" s="122"/>
      <c r="J18" s="123"/>
      <c r="K18" s="124"/>
      <c r="L18" s="125"/>
    </row>
    <row r="19" spans="1:14" s="12" customFormat="1" ht="10.15" customHeight="1" x14ac:dyDescent="0.2">
      <c r="A19" s="113" t="s">
        <v>23</v>
      </c>
      <c r="B19" s="113">
        <v>642</v>
      </c>
      <c r="C19" s="116" t="s">
        <v>152</v>
      </c>
      <c r="D19" s="117"/>
      <c r="E19" s="118">
        <v>111.69</v>
      </c>
      <c r="F19" s="136">
        <v>36220</v>
      </c>
      <c r="G19" s="120"/>
      <c r="H19" s="121"/>
      <c r="I19" s="122"/>
      <c r="J19" s="123"/>
      <c r="K19" s="124"/>
      <c r="L19" s="125"/>
    </row>
    <row r="20" spans="1:14" s="12" customFormat="1" ht="10.15" customHeight="1" x14ac:dyDescent="0.2">
      <c r="A20" s="113" t="s">
        <v>24</v>
      </c>
      <c r="B20" s="113">
        <v>156</v>
      </c>
      <c r="C20" s="137" t="s">
        <v>432</v>
      </c>
      <c r="D20" s="117"/>
      <c r="E20" s="118">
        <f>2896779/19275</f>
        <v>150.28684824902723</v>
      </c>
      <c r="F20" s="136">
        <v>36678</v>
      </c>
      <c r="G20" s="120"/>
      <c r="H20" s="121"/>
      <c r="I20" s="122"/>
      <c r="J20" s="123"/>
      <c r="K20" s="124"/>
      <c r="L20" s="125"/>
    </row>
    <row r="21" spans="1:14" s="12" customFormat="1" ht="10.15" customHeight="1" x14ac:dyDescent="0.2">
      <c r="A21" s="113" t="s">
        <v>20</v>
      </c>
      <c r="B21" s="113">
        <v>455</v>
      </c>
      <c r="C21" s="137" t="s">
        <v>439</v>
      </c>
      <c r="D21" s="117"/>
      <c r="E21" s="118">
        <f>2434250/15375</f>
        <v>158.32520325203251</v>
      </c>
      <c r="F21" s="136">
        <v>36992</v>
      </c>
      <c r="G21" s="120"/>
      <c r="H21" s="121"/>
      <c r="I21" s="122"/>
      <c r="J21" s="123"/>
      <c r="K21" s="138"/>
      <c r="L21" s="125"/>
    </row>
    <row r="22" spans="1:14" s="12" customFormat="1" ht="10.15" customHeight="1" x14ac:dyDescent="0.2">
      <c r="A22" s="113" t="s">
        <v>20</v>
      </c>
      <c r="B22" s="113">
        <v>456</v>
      </c>
      <c r="C22" s="137" t="s">
        <v>440</v>
      </c>
      <c r="D22" s="117"/>
      <c r="E22" s="118">
        <f>2247520/16285</f>
        <v>138.01166717838501</v>
      </c>
      <c r="F22" s="136">
        <v>36992</v>
      </c>
      <c r="G22" s="120"/>
      <c r="H22" s="121"/>
      <c r="I22" s="122"/>
      <c r="J22" s="123"/>
      <c r="K22" s="138"/>
      <c r="L22" s="125"/>
    </row>
    <row r="23" spans="1:14" s="12" customFormat="1" ht="10.15" customHeight="1" x14ac:dyDescent="0.2">
      <c r="A23" s="113" t="s">
        <v>20</v>
      </c>
      <c r="B23" s="113">
        <v>464</v>
      </c>
      <c r="C23" s="137" t="s">
        <v>441</v>
      </c>
      <c r="D23" s="117"/>
      <c r="E23" s="118">
        <f>8837408/68094</f>
        <v>129.78247716392048</v>
      </c>
      <c r="F23" s="136">
        <v>37127</v>
      </c>
      <c r="G23" s="120"/>
      <c r="H23" s="121"/>
      <c r="I23" s="122"/>
      <c r="J23" s="123"/>
      <c r="K23" s="138"/>
      <c r="L23" s="125"/>
    </row>
    <row r="24" spans="1:14" s="12" customFormat="1" ht="10.15" customHeight="1" x14ac:dyDescent="0.2">
      <c r="A24" s="113" t="s">
        <v>24</v>
      </c>
      <c r="B24" s="113">
        <v>135</v>
      </c>
      <c r="C24" s="137" t="s">
        <v>472</v>
      </c>
      <c r="D24" s="117"/>
      <c r="E24" s="118">
        <f>7422106/51089</f>
        <v>145.27796590264049</v>
      </c>
      <c r="F24" s="139">
        <v>37283</v>
      </c>
      <c r="G24" s="120"/>
      <c r="H24" s="121"/>
      <c r="I24" s="122"/>
      <c r="J24" s="123"/>
      <c r="K24" s="138"/>
      <c r="L24" s="125"/>
    </row>
    <row r="25" spans="1:14" s="12" customFormat="1" ht="10.15" customHeight="1" x14ac:dyDescent="0.2">
      <c r="A25" s="113" t="s">
        <v>17</v>
      </c>
      <c r="B25" s="113">
        <v>587</v>
      </c>
      <c r="C25" s="137" t="s">
        <v>478</v>
      </c>
      <c r="D25" s="117"/>
      <c r="E25" s="118">
        <f>7208972/44505</f>
        <v>161.98117065498258</v>
      </c>
      <c r="F25" s="139">
        <v>37973</v>
      </c>
      <c r="G25" s="120">
        <v>3757</v>
      </c>
      <c r="H25" s="140">
        <v>7289</v>
      </c>
      <c r="I25" s="122">
        <f t="shared" ref="I25:I31" si="0">ROUND(H25/G25,5)</f>
        <v>1.94011</v>
      </c>
      <c r="J25" s="123">
        <f t="shared" ref="J25:J31" si="1">ROUND(E25*I25,2)</f>
        <v>314.26</v>
      </c>
      <c r="K25" s="138">
        <v>44505</v>
      </c>
      <c r="L25" s="125">
        <f t="shared" ref="L25:L36" si="2">ROUND(J25*K25,0)</f>
        <v>13986141</v>
      </c>
      <c r="M25" s="15"/>
      <c r="N25" s="15"/>
    </row>
    <row r="26" spans="1:14" s="12" customFormat="1" ht="10.15" customHeight="1" x14ac:dyDescent="0.2">
      <c r="A26" s="113" t="s">
        <v>29</v>
      </c>
      <c r="B26" s="113">
        <v>716</v>
      </c>
      <c r="C26" s="141" t="s">
        <v>484</v>
      </c>
      <c r="D26" s="117"/>
      <c r="E26" s="118">
        <f>2104000/14401</f>
        <v>146.10096521074925</v>
      </c>
      <c r="F26" s="142">
        <v>37756</v>
      </c>
      <c r="G26" s="120">
        <v>3660</v>
      </c>
      <c r="H26" s="140">
        <v>7289</v>
      </c>
      <c r="I26" s="122">
        <f t="shared" si="0"/>
        <v>1.99153</v>
      </c>
      <c r="J26" s="143">
        <f t="shared" si="1"/>
        <v>290.95999999999998</v>
      </c>
      <c r="K26" s="144">
        <v>14401</v>
      </c>
      <c r="L26" s="125">
        <f t="shared" si="2"/>
        <v>4190115</v>
      </c>
      <c r="M26" s="15"/>
      <c r="N26" s="15"/>
    </row>
    <row r="27" spans="1:14" s="12" customFormat="1" ht="10.15" customHeight="1" x14ac:dyDescent="0.2">
      <c r="A27" s="113" t="s">
        <v>23</v>
      </c>
      <c r="B27" s="113">
        <v>609</v>
      </c>
      <c r="C27" s="141" t="s">
        <v>487</v>
      </c>
      <c r="D27" s="117"/>
      <c r="E27" s="118">
        <f>8639781/55447</f>
        <v>155.82053131819575</v>
      </c>
      <c r="F27" s="142">
        <v>37715</v>
      </c>
      <c r="G27" s="120">
        <v>3652</v>
      </c>
      <c r="H27" s="140">
        <v>7289</v>
      </c>
      <c r="I27" s="122">
        <f t="shared" si="0"/>
        <v>1.9958899999999999</v>
      </c>
      <c r="J27" s="143">
        <f t="shared" si="1"/>
        <v>311</v>
      </c>
      <c r="K27" s="144">
        <v>55447</v>
      </c>
      <c r="L27" s="125">
        <f t="shared" si="2"/>
        <v>17244017</v>
      </c>
      <c r="M27" s="15"/>
      <c r="N27" s="15"/>
    </row>
    <row r="28" spans="1:14" s="12" customFormat="1" ht="10.15" customHeight="1" x14ac:dyDescent="0.2">
      <c r="A28" s="113" t="s">
        <v>18</v>
      </c>
      <c r="B28" s="113">
        <v>399</v>
      </c>
      <c r="C28" s="141" t="s">
        <v>494</v>
      </c>
      <c r="D28" s="117"/>
      <c r="E28" s="118">
        <f>21175050/160385</f>
        <v>132.02637403747232</v>
      </c>
      <c r="F28" s="142">
        <v>38032</v>
      </c>
      <c r="G28" s="120">
        <v>3802</v>
      </c>
      <c r="H28" s="140">
        <v>7289</v>
      </c>
      <c r="I28" s="122">
        <f t="shared" si="0"/>
        <v>1.9171499999999999</v>
      </c>
      <c r="J28" s="143">
        <f t="shared" si="1"/>
        <v>253.11</v>
      </c>
      <c r="K28" s="144">
        <v>160385</v>
      </c>
      <c r="L28" s="125">
        <f t="shared" si="2"/>
        <v>40595047</v>
      </c>
      <c r="M28" s="15"/>
      <c r="N28" s="15"/>
    </row>
    <row r="29" spans="1:14" s="12" customFormat="1" ht="10.15" customHeight="1" x14ac:dyDescent="0.2">
      <c r="A29" s="113" t="s">
        <v>17</v>
      </c>
      <c r="B29" s="113">
        <v>515</v>
      </c>
      <c r="C29" s="137" t="s">
        <v>496</v>
      </c>
      <c r="D29" s="117"/>
      <c r="E29" s="118">
        <f>7968598/56716</f>
        <v>140.5</v>
      </c>
      <c r="F29" s="142">
        <v>38078</v>
      </c>
      <c r="G29" s="120">
        <v>3908</v>
      </c>
      <c r="H29" s="140">
        <v>7289</v>
      </c>
      <c r="I29" s="122">
        <f t="shared" si="0"/>
        <v>1.8651500000000001</v>
      </c>
      <c r="J29" s="143">
        <f t="shared" si="1"/>
        <v>262.05</v>
      </c>
      <c r="K29" s="144">
        <v>56716</v>
      </c>
      <c r="L29" s="125">
        <f t="shared" si="2"/>
        <v>14862428</v>
      </c>
      <c r="M29" s="15"/>
      <c r="N29" s="15"/>
    </row>
    <row r="30" spans="1:14" s="12" customFormat="1" ht="10.15" customHeight="1" x14ac:dyDescent="0.2">
      <c r="A30" s="113" t="s">
        <v>17</v>
      </c>
      <c r="B30" s="113">
        <v>589</v>
      </c>
      <c r="C30" s="137" t="s">
        <v>498</v>
      </c>
      <c r="D30" s="117"/>
      <c r="E30" s="118">
        <f>15333469/98089</f>
        <v>156.32200348662948</v>
      </c>
      <c r="F30" s="142">
        <v>38338</v>
      </c>
      <c r="G30" s="120">
        <v>4123</v>
      </c>
      <c r="H30" s="140">
        <v>7289</v>
      </c>
      <c r="I30" s="122">
        <f t="shared" si="0"/>
        <v>1.76789</v>
      </c>
      <c r="J30" s="143">
        <f t="shared" si="1"/>
        <v>276.36</v>
      </c>
      <c r="K30" s="144">
        <v>98089</v>
      </c>
      <c r="L30" s="125">
        <f t="shared" si="2"/>
        <v>27107876</v>
      </c>
      <c r="M30" s="15"/>
      <c r="N30" s="15"/>
    </row>
    <row r="31" spans="1:14" s="12" customFormat="1" ht="10.15" customHeight="1" x14ac:dyDescent="0.2">
      <c r="A31" s="113" t="s">
        <v>23</v>
      </c>
      <c r="B31" s="113">
        <v>673</v>
      </c>
      <c r="C31" s="137" t="s">
        <v>501</v>
      </c>
      <c r="D31" s="117"/>
      <c r="E31" s="118">
        <f>2406475/15045</f>
        <v>159.95181123296777</v>
      </c>
      <c r="F31" s="142">
        <v>38338</v>
      </c>
      <c r="G31" s="120">
        <v>4123</v>
      </c>
      <c r="H31" s="140">
        <v>7289</v>
      </c>
      <c r="I31" s="122">
        <f t="shared" si="0"/>
        <v>1.76789</v>
      </c>
      <c r="J31" s="143">
        <f t="shared" si="1"/>
        <v>282.77999999999997</v>
      </c>
      <c r="K31" s="144">
        <v>15045</v>
      </c>
      <c r="L31" s="125">
        <f t="shared" si="2"/>
        <v>4254425</v>
      </c>
    </row>
    <row r="32" spans="1:14" s="12" customFormat="1" ht="10.15" customHeight="1" x14ac:dyDescent="0.2">
      <c r="A32" s="113" t="s">
        <v>128</v>
      </c>
      <c r="B32" s="113">
        <v>1033</v>
      </c>
      <c r="C32" s="137" t="s">
        <v>509</v>
      </c>
      <c r="D32" s="117"/>
      <c r="E32" s="118">
        <f>1611674/8072</f>
        <v>199.66228939544104</v>
      </c>
      <c r="F32" s="142">
        <v>38049</v>
      </c>
      <c r="G32" s="120">
        <v>3859</v>
      </c>
      <c r="H32" s="140">
        <v>7289</v>
      </c>
      <c r="I32" s="122">
        <f t="shared" ref="I32:I38" si="3">ROUND(H32/G32,5)</f>
        <v>1.88883</v>
      </c>
      <c r="J32" s="143">
        <f t="shared" ref="J32:J38" si="4">ROUND(E32*I32,2)</f>
        <v>377.13</v>
      </c>
      <c r="K32" s="144">
        <v>8072</v>
      </c>
      <c r="L32" s="125">
        <f t="shared" si="2"/>
        <v>3044193</v>
      </c>
    </row>
    <row r="33" spans="1:12" s="12" customFormat="1" ht="10.15" customHeight="1" x14ac:dyDescent="0.2">
      <c r="A33" s="113" t="s">
        <v>24</v>
      </c>
      <c r="B33" s="113">
        <v>214</v>
      </c>
      <c r="C33" s="145" t="s">
        <v>515</v>
      </c>
      <c r="D33" s="117"/>
      <c r="E33" s="118">
        <f>3017139/19750</f>
        <v>152.76653164556961</v>
      </c>
      <c r="F33" s="142">
        <v>38385</v>
      </c>
      <c r="G33" s="120">
        <v>4116</v>
      </c>
      <c r="H33" s="140">
        <v>7289</v>
      </c>
      <c r="I33" s="122">
        <f t="shared" si="3"/>
        <v>1.7708900000000001</v>
      </c>
      <c r="J33" s="143">
        <f t="shared" si="4"/>
        <v>270.52999999999997</v>
      </c>
      <c r="K33" s="144">
        <v>19750</v>
      </c>
      <c r="L33" s="125">
        <f t="shared" si="2"/>
        <v>5342968</v>
      </c>
    </row>
    <row r="34" spans="1:12" s="12" customFormat="1" ht="10.15" customHeight="1" x14ac:dyDescent="0.2">
      <c r="A34" s="113" t="s">
        <v>19</v>
      </c>
      <c r="B34" s="113">
        <v>280</v>
      </c>
      <c r="C34" s="145" t="s">
        <v>517</v>
      </c>
      <c r="D34" s="117"/>
      <c r="E34" s="118">
        <f>16951052/88712</f>
        <v>191.0795833709081</v>
      </c>
      <c r="F34" s="142">
        <v>38596</v>
      </c>
      <c r="G34" s="120">
        <v>4242</v>
      </c>
      <c r="H34" s="140">
        <v>7289</v>
      </c>
      <c r="I34" s="122">
        <f t="shared" si="3"/>
        <v>1.7182900000000001</v>
      </c>
      <c r="J34" s="143">
        <f t="shared" si="4"/>
        <v>328.33</v>
      </c>
      <c r="K34" s="144">
        <v>88712</v>
      </c>
      <c r="L34" s="125">
        <f t="shared" si="2"/>
        <v>29126811</v>
      </c>
    </row>
    <row r="35" spans="1:12" s="12" customFormat="1" ht="10.15" customHeight="1" x14ac:dyDescent="0.2">
      <c r="A35" s="146" t="s">
        <v>22</v>
      </c>
      <c r="B35" s="147">
        <v>856</v>
      </c>
      <c r="C35" s="137" t="s">
        <v>523</v>
      </c>
      <c r="D35" s="117"/>
      <c r="E35" s="118">
        <f>20112557/87824</f>
        <v>229.00980369830569</v>
      </c>
      <c r="F35" s="139">
        <v>38581</v>
      </c>
      <c r="G35" s="120">
        <v>4210</v>
      </c>
      <c r="H35" s="140">
        <v>7289</v>
      </c>
      <c r="I35" s="122">
        <f t="shared" si="3"/>
        <v>1.7313499999999999</v>
      </c>
      <c r="J35" s="143">
        <f t="shared" si="4"/>
        <v>396.5</v>
      </c>
      <c r="K35" s="144">
        <v>87824</v>
      </c>
      <c r="L35" s="125">
        <f t="shared" si="2"/>
        <v>34822216</v>
      </c>
    </row>
    <row r="36" spans="1:12" s="12" customFormat="1" ht="10.15" customHeight="1" x14ac:dyDescent="0.2">
      <c r="A36" s="146" t="s">
        <v>19</v>
      </c>
      <c r="B36" s="147">
        <v>257</v>
      </c>
      <c r="C36" s="137" t="s">
        <v>540</v>
      </c>
      <c r="D36" s="117"/>
      <c r="E36" s="118">
        <f>47158114/180126</f>
        <v>261.80625784173299</v>
      </c>
      <c r="F36" s="148">
        <v>39052</v>
      </c>
      <c r="G36" s="120">
        <v>4441</v>
      </c>
      <c r="H36" s="140">
        <v>7289</v>
      </c>
      <c r="I36" s="122">
        <f t="shared" si="3"/>
        <v>1.6413</v>
      </c>
      <c r="J36" s="143">
        <f t="shared" si="4"/>
        <v>429.7</v>
      </c>
      <c r="K36" s="144">
        <v>180126</v>
      </c>
      <c r="L36" s="125">
        <f t="shared" si="2"/>
        <v>77400142</v>
      </c>
    </row>
    <row r="37" spans="1:12" s="12" customFormat="1" ht="10.15" customHeight="1" x14ac:dyDescent="0.2">
      <c r="A37" s="146" t="s">
        <v>23</v>
      </c>
      <c r="B37" s="147">
        <v>623</v>
      </c>
      <c r="C37" s="137" t="s">
        <v>550</v>
      </c>
      <c r="D37" s="117"/>
      <c r="E37" s="118">
        <f>7776600/31077</f>
        <v>250.236509315571</v>
      </c>
      <c r="F37" s="148">
        <v>39391</v>
      </c>
      <c r="G37" s="120">
        <v>4558</v>
      </c>
      <c r="H37" s="140">
        <v>7289</v>
      </c>
      <c r="I37" s="122">
        <f t="shared" si="3"/>
        <v>1.59917</v>
      </c>
      <c r="J37" s="143">
        <f t="shared" si="4"/>
        <v>400.17</v>
      </c>
      <c r="K37" s="144">
        <v>31077</v>
      </c>
      <c r="L37" s="125">
        <f t="shared" ref="L37:L49" si="5">ROUND(J37*K37,0)</f>
        <v>12436083</v>
      </c>
    </row>
    <row r="38" spans="1:12" s="12" customFormat="1" ht="10.15" customHeight="1" x14ac:dyDescent="0.2">
      <c r="A38" s="146" t="s">
        <v>23</v>
      </c>
      <c r="B38" s="147">
        <v>672</v>
      </c>
      <c r="C38" s="137" t="s">
        <v>551</v>
      </c>
      <c r="D38" s="117"/>
      <c r="E38" s="118">
        <f>4146322/15282</f>
        <v>271.32063865986129</v>
      </c>
      <c r="F38" s="148">
        <v>39234</v>
      </c>
      <c r="G38" s="120">
        <v>4471</v>
      </c>
      <c r="H38" s="140">
        <v>7289</v>
      </c>
      <c r="I38" s="122">
        <f t="shared" si="3"/>
        <v>1.63028</v>
      </c>
      <c r="J38" s="143">
        <f t="shared" si="4"/>
        <v>442.33</v>
      </c>
      <c r="K38" s="144">
        <v>15282</v>
      </c>
      <c r="L38" s="125">
        <f t="shared" si="5"/>
        <v>6759687</v>
      </c>
    </row>
    <row r="39" spans="1:12" s="12" customFormat="1" ht="10.15" customHeight="1" x14ac:dyDescent="0.2">
      <c r="A39" s="113" t="s">
        <v>21</v>
      </c>
      <c r="B39" s="113"/>
      <c r="C39" s="145" t="s">
        <v>560</v>
      </c>
      <c r="D39" s="117"/>
      <c r="E39" s="118">
        <f>21194717/97969</f>
        <v>216.34105686492666</v>
      </c>
      <c r="F39" s="136">
        <v>39387</v>
      </c>
      <c r="G39" s="120">
        <v>4558</v>
      </c>
      <c r="H39" s="140">
        <v>7289</v>
      </c>
      <c r="I39" s="122">
        <f t="shared" ref="I39:I49" si="6">ROUND(H39/G39,5)</f>
        <v>1.59917</v>
      </c>
      <c r="J39" s="143">
        <f t="shared" ref="J39:J49" si="7">ROUND(E39*I39,2)</f>
        <v>345.97</v>
      </c>
      <c r="K39" s="124">
        <v>97969</v>
      </c>
      <c r="L39" s="125">
        <f t="shared" si="5"/>
        <v>33894335</v>
      </c>
    </row>
    <row r="40" spans="1:12" s="12" customFormat="1" ht="10.15" customHeight="1" x14ac:dyDescent="0.2">
      <c r="A40" s="113" t="s">
        <v>128</v>
      </c>
      <c r="B40" s="113">
        <v>1048</v>
      </c>
      <c r="C40" s="145" t="s">
        <v>162</v>
      </c>
      <c r="D40" s="117"/>
      <c r="E40" s="118">
        <f>17851640/70000</f>
        <v>255.02342857142858</v>
      </c>
      <c r="F40" s="142">
        <v>39356</v>
      </c>
      <c r="G40" s="120">
        <v>4535</v>
      </c>
      <c r="H40" s="140">
        <v>7289</v>
      </c>
      <c r="I40" s="122">
        <f t="shared" si="6"/>
        <v>1.60728</v>
      </c>
      <c r="J40" s="143">
        <f t="shared" si="7"/>
        <v>409.89</v>
      </c>
      <c r="K40" s="144">
        <v>70000</v>
      </c>
      <c r="L40" s="125">
        <f t="shared" si="5"/>
        <v>28692300</v>
      </c>
    </row>
    <row r="41" spans="1:12" s="12" customFormat="1" ht="10.15" customHeight="1" x14ac:dyDescent="0.2">
      <c r="A41" s="113" t="s">
        <v>24</v>
      </c>
      <c r="B41" s="113">
        <v>206</v>
      </c>
      <c r="C41" s="145" t="s">
        <v>564</v>
      </c>
      <c r="D41" s="117"/>
      <c r="E41" s="118">
        <f>19065460/69518</f>
        <v>274.25213613740328</v>
      </c>
      <c r="F41" s="142">
        <v>39783</v>
      </c>
      <c r="G41" s="120">
        <v>4797</v>
      </c>
      <c r="H41" s="140">
        <v>7289</v>
      </c>
      <c r="I41" s="122">
        <f t="shared" si="6"/>
        <v>1.51949</v>
      </c>
      <c r="J41" s="143">
        <f t="shared" si="7"/>
        <v>416.72</v>
      </c>
      <c r="K41" s="144">
        <v>69518</v>
      </c>
      <c r="L41" s="125">
        <f t="shared" si="5"/>
        <v>28969541</v>
      </c>
    </row>
    <row r="42" spans="1:12" s="12" customFormat="1" ht="10.15" customHeight="1" x14ac:dyDescent="0.2">
      <c r="A42" s="113" t="s">
        <v>17</v>
      </c>
      <c r="B42" s="113"/>
      <c r="C42" s="145" t="s">
        <v>568</v>
      </c>
      <c r="D42" s="117"/>
      <c r="E42" s="118">
        <f>8950000/34466</f>
        <v>259.67620263448038</v>
      </c>
      <c r="F42" s="142">
        <v>39630</v>
      </c>
      <c r="G42" s="120">
        <v>4723</v>
      </c>
      <c r="H42" s="140">
        <v>7289</v>
      </c>
      <c r="I42" s="122">
        <f t="shared" si="6"/>
        <v>1.5432999999999999</v>
      </c>
      <c r="J42" s="143">
        <f t="shared" si="7"/>
        <v>400.76</v>
      </c>
      <c r="K42" s="144">
        <v>34466</v>
      </c>
      <c r="L42" s="125">
        <f t="shared" si="5"/>
        <v>13812594</v>
      </c>
    </row>
    <row r="43" spans="1:12" s="12" customFormat="1" ht="10.15" customHeight="1" x14ac:dyDescent="0.2">
      <c r="A43" s="113" t="s">
        <v>128</v>
      </c>
      <c r="B43" s="113">
        <v>1054</v>
      </c>
      <c r="C43" s="145" t="s">
        <v>570</v>
      </c>
      <c r="D43" s="117"/>
      <c r="E43" s="118">
        <f>16092888/61000</f>
        <v>263.81783606557377</v>
      </c>
      <c r="F43" s="142">
        <v>39753</v>
      </c>
      <c r="G43" s="120">
        <v>4847</v>
      </c>
      <c r="H43" s="140">
        <v>7289</v>
      </c>
      <c r="I43" s="122">
        <f t="shared" si="6"/>
        <v>1.5038199999999999</v>
      </c>
      <c r="J43" s="143">
        <f t="shared" si="7"/>
        <v>396.73</v>
      </c>
      <c r="K43" s="144">
        <v>61000</v>
      </c>
      <c r="L43" s="125">
        <f t="shared" si="5"/>
        <v>24200530</v>
      </c>
    </row>
    <row r="44" spans="1:12" s="22" customFormat="1" ht="10.15" customHeight="1" x14ac:dyDescent="0.2">
      <c r="A44" s="113" t="s">
        <v>24</v>
      </c>
      <c r="B44" s="113">
        <v>303</v>
      </c>
      <c r="C44" s="145" t="s">
        <v>587</v>
      </c>
      <c r="D44" s="117"/>
      <c r="E44" s="118">
        <f>5396258/21535</f>
        <v>250.58082191780821</v>
      </c>
      <c r="F44" s="142">
        <v>39448</v>
      </c>
      <c r="G44" s="120">
        <v>4557</v>
      </c>
      <c r="H44" s="140">
        <v>7289</v>
      </c>
      <c r="I44" s="122">
        <f t="shared" si="6"/>
        <v>1.5995200000000001</v>
      </c>
      <c r="J44" s="143">
        <f t="shared" si="7"/>
        <v>400.81</v>
      </c>
      <c r="K44" s="144">
        <v>21535</v>
      </c>
      <c r="L44" s="125">
        <f t="shared" si="5"/>
        <v>8631443</v>
      </c>
    </row>
    <row r="45" spans="1:12" s="22" customFormat="1" ht="10.15" customHeight="1" x14ac:dyDescent="0.2">
      <c r="A45" s="113" t="s">
        <v>29</v>
      </c>
      <c r="B45" s="113"/>
      <c r="C45" s="145" t="s">
        <v>585</v>
      </c>
      <c r="D45" s="117"/>
      <c r="E45" s="118">
        <f>22381425/94719</f>
        <v>236.29287682513541</v>
      </c>
      <c r="F45" s="142">
        <v>39600</v>
      </c>
      <c r="G45" s="120">
        <v>4640</v>
      </c>
      <c r="H45" s="140">
        <v>7289</v>
      </c>
      <c r="I45" s="122">
        <f t="shared" si="6"/>
        <v>1.57091</v>
      </c>
      <c r="J45" s="143">
        <f t="shared" si="7"/>
        <v>371.19</v>
      </c>
      <c r="K45" s="144">
        <v>94719</v>
      </c>
      <c r="L45" s="125">
        <f t="shared" si="5"/>
        <v>35158746</v>
      </c>
    </row>
    <row r="46" spans="1:12" s="22" customFormat="1" ht="10.15" customHeight="1" x14ac:dyDescent="0.2">
      <c r="A46" s="113" t="s">
        <v>603</v>
      </c>
      <c r="B46" s="113"/>
      <c r="C46" s="145" t="s">
        <v>604</v>
      </c>
      <c r="D46" s="149"/>
      <c r="E46" s="118">
        <f>8582133/35622</f>
        <v>240.92226713828532</v>
      </c>
      <c r="F46" s="142">
        <v>40210</v>
      </c>
      <c r="G46" s="120">
        <v>4812</v>
      </c>
      <c r="H46" s="140">
        <v>7289</v>
      </c>
      <c r="I46" s="122">
        <f t="shared" si="6"/>
        <v>1.51475</v>
      </c>
      <c r="J46" s="143">
        <f t="shared" si="7"/>
        <v>364.94</v>
      </c>
      <c r="K46" s="144">
        <v>35622</v>
      </c>
      <c r="L46" s="125">
        <f t="shared" si="5"/>
        <v>12999893</v>
      </c>
    </row>
    <row r="47" spans="1:12" s="22" customFormat="1" ht="10.15" customHeight="1" x14ac:dyDescent="0.2">
      <c r="A47" s="113" t="s">
        <v>24</v>
      </c>
      <c r="B47" s="150"/>
      <c r="C47" s="145" t="s">
        <v>624</v>
      </c>
      <c r="D47" s="117"/>
      <c r="E47" s="118">
        <f>46275000/114329</f>
        <v>404.75294982025559</v>
      </c>
      <c r="F47" s="142">
        <v>40575</v>
      </c>
      <c r="G47" s="120">
        <v>5007</v>
      </c>
      <c r="H47" s="140">
        <v>7289</v>
      </c>
      <c r="I47" s="122">
        <f t="shared" si="6"/>
        <v>1.4557599999999999</v>
      </c>
      <c r="J47" s="143">
        <f t="shared" si="7"/>
        <v>589.22</v>
      </c>
      <c r="K47" s="144">
        <v>114329</v>
      </c>
      <c r="L47" s="125">
        <f t="shared" si="5"/>
        <v>67364933</v>
      </c>
    </row>
    <row r="48" spans="1:12" s="22" customFormat="1" ht="10.15" customHeight="1" x14ac:dyDescent="0.2">
      <c r="A48" s="113" t="s">
        <v>20</v>
      </c>
      <c r="B48" s="150"/>
      <c r="C48" s="145" t="s">
        <v>628</v>
      </c>
      <c r="D48" s="117"/>
      <c r="E48" s="118">
        <f>3509721/16726</f>
        <v>209.83624297500896</v>
      </c>
      <c r="F48" s="142">
        <v>40299</v>
      </c>
      <c r="G48" s="120">
        <v>4859</v>
      </c>
      <c r="H48" s="140">
        <v>7289</v>
      </c>
      <c r="I48" s="122">
        <f t="shared" si="6"/>
        <v>1.5001</v>
      </c>
      <c r="J48" s="143">
        <f t="shared" si="7"/>
        <v>314.77999999999997</v>
      </c>
      <c r="K48" s="144">
        <v>16726</v>
      </c>
      <c r="L48" s="125">
        <f t="shared" si="5"/>
        <v>5265010</v>
      </c>
    </row>
    <row r="49" spans="1:12" s="22" customFormat="1" ht="9" customHeight="1" x14ac:dyDescent="0.2">
      <c r="A49" s="113" t="s">
        <v>20</v>
      </c>
      <c r="B49" s="150"/>
      <c r="C49" s="145" t="s">
        <v>657</v>
      </c>
      <c r="D49" s="117"/>
      <c r="E49" s="118">
        <f>19369407/79998</f>
        <v>242.12364059101478</v>
      </c>
      <c r="F49" s="142">
        <v>41579</v>
      </c>
      <c r="G49" s="120">
        <v>5317</v>
      </c>
      <c r="H49" s="140">
        <v>7289</v>
      </c>
      <c r="I49" s="122">
        <f t="shared" si="6"/>
        <v>1.3708899999999999</v>
      </c>
      <c r="J49" s="143">
        <f t="shared" si="7"/>
        <v>331.92</v>
      </c>
      <c r="K49" s="144">
        <v>79998</v>
      </c>
      <c r="L49" s="125">
        <f t="shared" si="5"/>
        <v>26552936</v>
      </c>
    </row>
    <row r="50" spans="1:12" s="22" customFormat="1" ht="9" customHeight="1" x14ac:dyDescent="0.2">
      <c r="A50" s="113" t="s">
        <v>24</v>
      </c>
      <c r="B50" s="150"/>
      <c r="C50" s="145" t="s">
        <v>671</v>
      </c>
      <c r="D50" s="117"/>
      <c r="E50" s="118">
        <f>45419000/109202</f>
        <v>415.91729089210821</v>
      </c>
      <c r="F50" s="142">
        <v>42200</v>
      </c>
      <c r="G50" s="120">
        <v>5510</v>
      </c>
      <c r="H50" s="140">
        <v>7289</v>
      </c>
      <c r="I50" s="122">
        <f t="shared" ref="I50:I55" si="8">ROUND(H50/G50,5)</f>
        <v>1.32287</v>
      </c>
      <c r="J50" s="143">
        <f t="shared" ref="J50:J55" si="9">ROUND(E50*I50,2)</f>
        <v>550.20000000000005</v>
      </c>
      <c r="K50" s="144">
        <v>109202</v>
      </c>
      <c r="L50" s="125">
        <f t="shared" ref="L50:L55" si="10">ROUND(J50*K50,0)</f>
        <v>60082940</v>
      </c>
    </row>
    <row r="51" spans="1:12" s="22" customFormat="1" ht="9" customHeight="1" x14ac:dyDescent="0.2">
      <c r="A51" s="113" t="s">
        <v>631</v>
      </c>
      <c r="B51" s="150"/>
      <c r="C51" s="145" t="s">
        <v>686</v>
      </c>
      <c r="D51" s="117"/>
      <c r="E51" s="118">
        <f>30227660/68880</f>
        <v>438.84523809523807</v>
      </c>
      <c r="F51" s="151">
        <v>42705</v>
      </c>
      <c r="G51" s="120">
        <v>5722</v>
      </c>
      <c r="H51" s="140">
        <v>7289</v>
      </c>
      <c r="I51" s="122">
        <f t="shared" si="8"/>
        <v>1.27386</v>
      </c>
      <c r="J51" s="143">
        <f t="shared" si="9"/>
        <v>559.03</v>
      </c>
      <c r="K51" s="144">
        <v>68880</v>
      </c>
      <c r="L51" s="125">
        <f t="shared" si="10"/>
        <v>38505986</v>
      </c>
    </row>
    <row r="52" spans="1:12" s="22" customFormat="1" ht="9" customHeight="1" x14ac:dyDescent="0.2">
      <c r="A52" s="113" t="s">
        <v>20</v>
      </c>
      <c r="B52" s="150"/>
      <c r="C52" s="145" t="s">
        <v>680</v>
      </c>
      <c r="D52" s="117"/>
      <c r="E52" s="118">
        <f>15650465/54887</f>
        <v>285.13974165102849</v>
      </c>
      <c r="F52" s="151">
        <v>42385</v>
      </c>
      <c r="G52" s="120">
        <v>5561</v>
      </c>
      <c r="H52" s="140">
        <v>7289</v>
      </c>
      <c r="I52" s="122">
        <f t="shared" si="8"/>
        <v>1.31074</v>
      </c>
      <c r="J52" s="143">
        <f t="shared" si="9"/>
        <v>373.74</v>
      </c>
      <c r="K52" s="144">
        <v>54887</v>
      </c>
      <c r="L52" s="125">
        <f t="shared" si="10"/>
        <v>20513467</v>
      </c>
    </row>
    <row r="53" spans="1:12" s="22" customFormat="1" ht="9" customHeight="1" x14ac:dyDescent="0.2">
      <c r="A53" s="113" t="s">
        <v>22</v>
      </c>
      <c r="B53" s="150"/>
      <c r="C53" s="145" t="s">
        <v>682</v>
      </c>
      <c r="D53" s="117"/>
      <c r="E53" s="118">
        <f>33662314/94476</f>
        <v>356.30545323680087</v>
      </c>
      <c r="F53" s="151">
        <v>42567</v>
      </c>
      <c r="G53" s="120">
        <v>5659</v>
      </c>
      <c r="H53" s="140">
        <v>7289</v>
      </c>
      <c r="I53" s="122">
        <f t="shared" si="8"/>
        <v>1.2880400000000001</v>
      </c>
      <c r="J53" s="143">
        <f t="shared" si="9"/>
        <v>458.94</v>
      </c>
      <c r="K53" s="144">
        <v>94476</v>
      </c>
      <c r="L53" s="125">
        <f t="shared" si="10"/>
        <v>43358815</v>
      </c>
    </row>
    <row r="54" spans="1:12" s="22" customFormat="1" ht="9" customHeight="1" x14ac:dyDescent="0.2">
      <c r="A54" s="113" t="s">
        <v>128</v>
      </c>
      <c r="B54" s="150"/>
      <c r="C54" s="145" t="s">
        <v>684</v>
      </c>
      <c r="D54" s="117"/>
      <c r="E54" s="118">
        <f>12183639/30000</f>
        <v>406.12130000000002</v>
      </c>
      <c r="F54" s="151">
        <v>42353</v>
      </c>
      <c r="G54" s="120">
        <v>5574</v>
      </c>
      <c r="H54" s="140">
        <v>7289</v>
      </c>
      <c r="I54" s="122">
        <f t="shared" si="8"/>
        <v>1.30768</v>
      </c>
      <c r="J54" s="143">
        <f t="shared" si="9"/>
        <v>531.08000000000004</v>
      </c>
      <c r="K54" s="144">
        <v>30000</v>
      </c>
      <c r="L54" s="125">
        <f t="shared" si="10"/>
        <v>15932400</v>
      </c>
    </row>
    <row r="55" spans="1:12" s="22" customFormat="1" ht="9" customHeight="1" x14ac:dyDescent="0.2">
      <c r="A55" s="113" t="s">
        <v>732</v>
      </c>
      <c r="B55" s="150"/>
      <c r="C55" s="145" t="s">
        <v>714</v>
      </c>
      <c r="D55" s="117"/>
      <c r="E55" s="118">
        <v>310.61</v>
      </c>
      <c r="F55" s="151">
        <v>43770</v>
      </c>
      <c r="G55" s="120">
        <v>6179</v>
      </c>
      <c r="H55" s="140">
        <v>7289</v>
      </c>
      <c r="I55" s="122">
        <f t="shared" si="8"/>
        <v>1.17964</v>
      </c>
      <c r="J55" s="143">
        <f t="shared" si="9"/>
        <v>366.41</v>
      </c>
      <c r="K55" s="144">
        <v>166127</v>
      </c>
      <c r="L55" s="125">
        <f t="shared" si="10"/>
        <v>60870594</v>
      </c>
    </row>
    <row r="56" spans="1:12" ht="10.15" customHeight="1" x14ac:dyDescent="0.2">
      <c r="A56" s="149"/>
      <c r="B56" s="149"/>
      <c r="C56" s="113" t="s">
        <v>33</v>
      </c>
      <c r="D56" s="149"/>
      <c r="E56" s="152"/>
      <c r="F56" s="153"/>
      <c r="G56" s="152"/>
      <c r="H56" s="152"/>
      <c r="I56" s="154"/>
      <c r="J56" s="149"/>
      <c r="K56" s="155">
        <f>SUM(K13:K55)</f>
        <v>2094885</v>
      </c>
      <c r="L56" s="155">
        <f>SUM(L13:L55)</f>
        <v>815978612</v>
      </c>
    </row>
    <row r="57" spans="1:12" ht="10.15" customHeight="1" x14ac:dyDescent="0.2">
      <c r="A57" s="149"/>
      <c r="B57" s="149"/>
      <c r="C57" s="117"/>
      <c r="D57" s="117"/>
      <c r="E57" s="156"/>
      <c r="F57" s="153"/>
      <c r="G57" s="156"/>
      <c r="H57" s="156"/>
      <c r="I57" s="157"/>
      <c r="J57" s="117"/>
      <c r="K57" s="158"/>
      <c r="L57" s="158"/>
    </row>
    <row r="58" spans="1:12" ht="10.15" customHeight="1" x14ac:dyDescent="0.2">
      <c r="A58" s="149"/>
      <c r="B58" s="149"/>
      <c r="C58" s="159" t="s">
        <v>34</v>
      </c>
      <c r="D58" s="149"/>
      <c r="E58" s="152"/>
      <c r="F58" s="153"/>
      <c r="G58" s="152"/>
      <c r="H58" s="152"/>
      <c r="I58" s="154"/>
      <c r="J58" s="160">
        <f>(L56/K56)</f>
        <v>389.5099788293868</v>
      </c>
      <c r="K58" s="158"/>
      <c r="L58" s="158"/>
    </row>
    <row r="59" spans="1:12" ht="10.15" customHeight="1" x14ac:dyDescent="0.2">
      <c r="A59" s="149"/>
      <c r="B59" s="149"/>
      <c r="C59" s="117"/>
      <c r="D59" s="117"/>
      <c r="E59" s="156"/>
      <c r="F59" s="153"/>
      <c r="G59" s="156"/>
      <c r="H59" s="156"/>
      <c r="I59" s="157"/>
      <c r="J59" s="117"/>
      <c r="K59" s="158"/>
      <c r="L59" s="158"/>
    </row>
    <row r="60" spans="1:12" ht="10.15" customHeight="1" x14ac:dyDescent="0.2">
      <c r="A60" s="161" t="s">
        <v>35</v>
      </c>
      <c r="B60" s="149"/>
      <c r="C60" s="117"/>
      <c r="D60" s="117"/>
      <c r="E60" s="156"/>
      <c r="F60" s="153"/>
      <c r="G60" s="156"/>
      <c r="H60" s="156"/>
      <c r="I60" s="157"/>
      <c r="J60" s="117"/>
      <c r="K60" s="158"/>
      <c r="L60" s="158"/>
    </row>
    <row r="61" spans="1:12" ht="10.15" customHeight="1" x14ac:dyDescent="0.2">
      <c r="A61" s="113" t="s">
        <v>20</v>
      </c>
      <c r="B61" s="126">
        <v>424</v>
      </c>
      <c r="C61" s="127" t="s">
        <v>113</v>
      </c>
      <c r="D61" s="128"/>
      <c r="E61" s="129">
        <v>110.11</v>
      </c>
      <c r="F61" s="130">
        <v>35462</v>
      </c>
      <c r="G61" s="131"/>
      <c r="H61" s="121"/>
      <c r="I61" s="132"/>
      <c r="J61" s="133"/>
      <c r="K61" s="134"/>
      <c r="L61" s="135"/>
    </row>
    <row r="62" spans="1:12" ht="10.15" customHeight="1" x14ac:dyDescent="0.2">
      <c r="A62" s="113" t="s">
        <v>23</v>
      </c>
      <c r="B62" s="126">
        <v>679</v>
      </c>
      <c r="C62" s="127" t="s">
        <v>117</v>
      </c>
      <c r="D62" s="128"/>
      <c r="E62" s="129">
        <v>132.74</v>
      </c>
      <c r="F62" s="130">
        <v>35217</v>
      </c>
      <c r="G62" s="131"/>
      <c r="H62" s="121"/>
      <c r="I62" s="132"/>
      <c r="J62" s="133"/>
      <c r="K62" s="134"/>
      <c r="L62" s="135"/>
    </row>
    <row r="63" spans="1:12" ht="10.15" customHeight="1" x14ac:dyDescent="0.2">
      <c r="A63" s="113" t="s">
        <v>29</v>
      </c>
      <c r="B63" s="113">
        <v>700</v>
      </c>
      <c r="C63" s="116" t="s">
        <v>114</v>
      </c>
      <c r="D63" s="117"/>
      <c r="E63" s="118">
        <v>112.12</v>
      </c>
      <c r="F63" s="136">
        <v>35827</v>
      </c>
      <c r="G63" s="120"/>
      <c r="H63" s="121"/>
      <c r="I63" s="122"/>
      <c r="J63" s="123"/>
      <c r="K63" s="124"/>
      <c r="L63" s="125"/>
    </row>
    <row r="64" spans="1:12" ht="11.25" x14ac:dyDescent="0.2">
      <c r="A64" s="113" t="s">
        <v>128</v>
      </c>
      <c r="B64" s="113">
        <v>1009</v>
      </c>
      <c r="C64" s="116" t="s">
        <v>130</v>
      </c>
      <c r="D64" s="117"/>
      <c r="E64" s="118">
        <v>119.49</v>
      </c>
      <c r="F64" s="136">
        <v>36130</v>
      </c>
      <c r="G64" s="120"/>
      <c r="H64" s="121"/>
      <c r="I64" s="122"/>
      <c r="J64" s="123"/>
      <c r="K64" s="124"/>
      <c r="L64" s="125"/>
    </row>
    <row r="65" spans="1:12" ht="11.25" x14ac:dyDescent="0.2">
      <c r="A65" s="113" t="s">
        <v>18</v>
      </c>
      <c r="B65" s="113">
        <v>306</v>
      </c>
      <c r="C65" s="141" t="s">
        <v>425</v>
      </c>
      <c r="D65" s="117"/>
      <c r="E65" s="118">
        <f>7927400/50386</f>
        <v>157.33338625808756</v>
      </c>
      <c r="F65" s="136">
        <v>36800</v>
      </c>
      <c r="G65" s="120"/>
      <c r="H65" s="121"/>
      <c r="I65" s="122"/>
      <c r="J65" s="123"/>
      <c r="K65" s="124"/>
      <c r="L65" s="125"/>
    </row>
    <row r="66" spans="1:12" ht="11.25" x14ac:dyDescent="0.2">
      <c r="A66" s="113" t="s">
        <v>18</v>
      </c>
      <c r="B66" s="113">
        <v>330</v>
      </c>
      <c r="C66" s="141" t="s">
        <v>426</v>
      </c>
      <c r="D66" s="117"/>
      <c r="E66" s="118">
        <f>9683554/59258</f>
        <v>163.41344628573358</v>
      </c>
      <c r="F66" s="136">
        <v>36800</v>
      </c>
      <c r="G66" s="120"/>
      <c r="H66" s="121"/>
      <c r="I66" s="122"/>
      <c r="J66" s="123"/>
      <c r="K66" s="124"/>
      <c r="L66" s="125"/>
    </row>
    <row r="67" spans="1:12" ht="11.25" x14ac:dyDescent="0.2">
      <c r="A67" s="113" t="s">
        <v>17</v>
      </c>
      <c r="B67" s="147">
        <v>511</v>
      </c>
      <c r="C67" s="137" t="s">
        <v>427</v>
      </c>
      <c r="D67" s="117"/>
      <c r="E67" s="118">
        <f>9202598/52265</f>
        <v>176.07572945565866</v>
      </c>
      <c r="F67" s="136">
        <v>36770</v>
      </c>
      <c r="G67" s="120"/>
      <c r="H67" s="121"/>
      <c r="I67" s="122"/>
      <c r="J67" s="123"/>
      <c r="K67" s="124"/>
      <c r="L67" s="125"/>
    </row>
    <row r="68" spans="1:12" ht="11.25" x14ac:dyDescent="0.2">
      <c r="A68" s="113" t="s">
        <v>128</v>
      </c>
      <c r="B68" s="147">
        <v>1015</v>
      </c>
      <c r="C68" s="137" t="s">
        <v>436</v>
      </c>
      <c r="D68" s="117"/>
      <c r="E68" s="118">
        <f>8148587/56895</f>
        <v>143.22149573776255</v>
      </c>
      <c r="F68" s="136">
        <v>36557</v>
      </c>
      <c r="G68" s="120"/>
      <c r="H68" s="121"/>
      <c r="I68" s="122"/>
      <c r="J68" s="123"/>
      <c r="K68" s="124"/>
      <c r="L68" s="125"/>
    </row>
    <row r="69" spans="1:12" ht="11.25" x14ac:dyDescent="0.2">
      <c r="A69" s="113" t="s">
        <v>22</v>
      </c>
      <c r="B69" s="147">
        <v>850</v>
      </c>
      <c r="C69" s="141" t="s">
        <v>444</v>
      </c>
      <c r="D69" s="117"/>
      <c r="E69" s="118">
        <f>12574597/90727</f>
        <v>138.59817915284316</v>
      </c>
      <c r="F69" s="136">
        <v>37015</v>
      </c>
      <c r="G69" s="120"/>
      <c r="H69" s="121"/>
      <c r="I69" s="122"/>
      <c r="J69" s="123"/>
      <c r="K69" s="124"/>
      <c r="L69" s="125"/>
    </row>
    <row r="70" spans="1:12" ht="11.25" x14ac:dyDescent="0.2">
      <c r="A70" s="113" t="s">
        <v>21</v>
      </c>
      <c r="B70" s="147">
        <v>958</v>
      </c>
      <c r="C70" s="137" t="s">
        <v>445</v>
      </c>
      <c r="D70" s="117"/>
      <c r="E70" s="118">
        <f>15722202/130783</f>
        <v>120.2159454975035</v>
      </c>
      <c r="F70" s="139">
        <v>37124</v>
      </c>
      <c r="G70" s="120"/>
      <c r="H70" s="121"/>
      <c r="I70" s="122"/>
      <c r="J70" s="123"/>
      <c r="K70" s="124"/>
      <c r="L70" s="125"/>
    </row>
    <row r="71" spans="1:12" ht="11.25" x14ac:dyDescent="0.2">
      <c r="A71" s="113" t="s">
        <v>18</v>
      </c>
      <c r="B71" s="147">
        <v>306</v>
      </c>
      <c r="C71" s="141" t="s">
        <v>450</v>
      </c>
      <c r="D71" s="117"/>
      <c r="E71" s="118">
        <f>7927400/58000</f>
        <v>136.6793103448276</v>
      </c>
      <c r="F71" s="142">
        <v>36892</v>
      </c>
      <c r="G71" s="120"/>
      <c r="H71" s="121"/>
      <c r="I71" s="122"/>
      <c r="J71" s="123"/>
      <c r="K71" s="124"/>
      <c r="L71" s="125"/>
    </row>
    <row r="72" spans="1:12" ht="11.25" x14ac:dyDescent="0.2">
      <c r="A72" s="113" t="s">
        <v>128</v>
      </c>
      <c r="B72" s="147">
        <v>1011</v>
      </c>
      <c r="C72" s="137" t="s">
        <v>453</v>
      </c>
      <c r="D72" s="117"/>
      <c r="E72" s="118">
        <f>5623040/33000</f>
        <v>170.39515151515153</v>
      </c>
      <c r="F72" s="142">
        <v>37135</v>
      </c>
      <c r="G72" s="120"/>
      <c r="H72" s="121"/>
      <c r="I72" s="122"/>
      <c r="J72" s="123"/>
      <c r="K72" s="124"/>
      <c r="L72" s="125"/>
    </row>
    <row r="73" spans="1:12" ht="11.25" x14ac:dyDescent="0.2">
      <c r="A73" s="113" t="s">
        <v>24</v>
      </c>
      <c r="B73" s="147">
        <v>191</v>
      </c>
      <c r="C73" s="137" t="s">
        <v>454</v>
      </c>
      <c r="D73" s="117"/>
      <c r="E73" s="118">
        <f>6509873/47541</f>
        <v>136.93176416146062</v>
      </c>
      <c r="F73" s="142">
        <v>37208</v>
      </c>
      <c r="G73" s="120"/>
      <c r="H73" s="121"/>
      <c r="I73" s="122"/>
      <c r="J73" s="123"/>
      <c r="K73" s="124"/>
      <c r="L73" s="125"/>
    </row>
    <row r="74" spans="1:12" ht="11.25" x14ac:dyDescent="0.2">
      <c r="A74" s="113" t="s">
        <v>24</v>
      </c>
      <c r="B74" s="147">
        <v>133</v>
      </c>
      <c r="C74" s="137" t="s">
        <v>471</v>
      </c>
      <c r="D74" s="117"/>
      <c r="E74" s="118">
        <f>6099269/45840</f>
        <v>133.05560645724259</v>
      </c>
      <c r="F74" s="142">
        <v>37424</v>
      </c>
      <c r="G74" s="120"/>
      <c r="H74" s="120"/>
      <c r="I74" s="122"/>
      <c r="J74" s="123"/>
      <c r="K74" s="124"/>
      <c r="L74" s="125"/>
    </row>
    <row r="75" spans="1:12" ht="11.25" x14ac:dyDescent="0.2">
      <c r="A75" s="113" t="s">
        <v>19</v>
      </c>
      <c r="B75" s="113">
        <v>237</v>
      </c>
      <c r="C75" s="137" t="s">
        <v>28</v>
      </c>
      <c r="D75" s="117"/>
      <c r="E75" s="118">
        <f>20551024/158553</f>
        <v>129.616115746785</v>
      </c>
      <c r="F75" s="139">
        <v>37348</v>
      </c>
      <c r="G75" s="120"/>
      <c r="H75" s="120"/>
      <c r="I75" s="122"/>
      <c r="J75" s="123"/>
      <c r="K75" s="138"/>
      <c r="L75" s="125"/>
    </row>
    <row r="76" spans="1:12" ht="11.25" x14ac:dyDescent="0.2">
      <c r="A76" s="113" t="s">
        <v>18</v>
      </c>
      <c r="B76" s="113">
        <v>347</v>
      </c>
      <c r="C76" s="141" t="s">
        <v>462</v>
      </c>
      <c r="D76" s="117"/>
      <c r="E76" s="118">
        <f>13872710/104500</f>
        <v>132.7532057416268</v>
      </c>
      <c r="F76" s="142">
        <v>37529</v>
      </c>
      <c r="G76" s="120"/>
      <c r="H76" s="120"/>
      <c r="I76" s="122"/>
      <c r="J76" s="123"/>
      <c r="K76" s="163"/>
      <c r="L76" s="125"/>
    </row>
    <row r="77" spans="1:12" ht="11.25" x14ac:dyDescent="0.2">
      <c r="A77" s="113" t="s">
        <v>23</v>
      </c>
      <c r="B77" s="113">
        <v>673</v>
      </c>
      <c r="C77" s="137" t="s">
        <v>501</v>
      </c>
      <c r="D77" s="117"/>
      <c r="E77" s="118">
        <f>2406475/15045</f>
        <v>159.95181123296777</v>
      </c>
      <c r="F77" s="142">
        <v>38338</v>
      </c>
      <c r="G77" s="120">
        <v>4123</v>
      </c>
      <c r="H77" s="162">
        <v>7289</v>
      </c>
      <c r="I77" s="122">
        <f>ROUND(H77/G77,5)</f>
        <v>1.76789</v>
      </c>
      <c r="J77" s="143">
        <f>ROUND(E77*I77,2)</f>
        <v>282.77999999999997</v>
      </c>
      <c r="K77" s="144">
        <v>15045</v>
      </c>
      <c r="L77" s="125">
        <f>ROUND(J77*K77,0)</f>
        <v>4254425</v>
      </c>
    </row>
    <row r="78" spans="1:12" ht="11.25" x14ac:dyDescent="0.2">
      <c r="A78" s="113" t="s">
        <v>22</v>
      </c>
      <c r="B78" s="113">
        <v>888</v>
      </c>
      <c r="C78" s="137" t="s">
        <v>502</v>
      </c>
      <c r="D78" s="117"/>
      <c r="E78" s="118">
        <f>10193814/57834</f>
        <v>176.25988173046997</v>
      </c>
      <c r="F78" s="142">
        <v>38147</v>
      </c>
      <c r="G78" s="120">
        <v>3996</v>
      </c>
      <c r="H78" s="162">
        <v>7289</v>
      </c>
      <c r="I78" s="122">
        <f>ROUND(H78/G78,5)</f>
        <v>1.8240700000000001</v>
      </c>
      <c r="J78" s="143">
        <f>ROUND(E78*I78,2)</f>
        <v>321.51</v>
      </c>
      <c r="K78" s="144">
        <v>57834</v>
      </c>
      <c r="L78" s="125">
        <f>ROUND(J78*K78,0)</f>
        <v>18594209</v>
      </c>
    </row>
    <row r="79" spans="1:12" ht="11.25" x14ac:dyDescent="0.2">
      <c r="A79" s="113" t="s">
        <v>24</v>
      </c>
      <c r="B79" s="113">
        <v>214</v>
      </c>
      <c r="C79" s="145" t="s">
        <v>515</v>
      </c>
      <c r="D79" s="117"/>
      <c r="E79" s="118">
        <f>3017139/19750</f>
        <v>152.76653164556961</v>
      </c>
      <c r="F79" s="142">
        <v>38385</v>
      </c>
      <c r="G79" s="120">
        <v>4116</v>
      </c>
      <c r="H79" s="162">
        <v>7289</v>
      </c>
      <c r="I79" s="122">
        <f>ROUND(H79/G79,5)</f>
        <v>1.7708900000000001</v>
      </c>
      <c r="J79" s="143">
        <f>ROUND(E79*I79,2)</f>
        <v>270.52999999999997</v>
      </c>
      <c r="K79" s="144">
        <v>19750</v>
      </c>
      <c r="L79" s="125">
        <f>ROUND(J79*K79,0)</f>
        <v>5342968</v>
      </c>
    </row>
    <row r="80" spans="1:12" s="12" customFormat="1" ht="11.25" x14ac:dyDescent="0.2">
      <c r="A80" s="113" t="s">
        <v>128</v>
      </c>
      <c r="B80" s="113">
        <v>1042</v>
      </c>
      <c r="C80" s="145" t="s">
        <v>561</v>
      </c>
      <c r="D80" s="117"/>
      <c r="E80" s="118">
        <f>6588115/39805</f>
        <v>165.50973495791985</v>
      </c>
      <c r="F80" s="142">
        <v>39356</v>
      </c>
      <c r="G80" s="120">
        <v>4535</v>
      </c>
      <c r="H80" s="162">
        <v>7289</v>
      </c>
      <c r="I80" s="122">
        <f>ROUND(H80/G80,5)</f>
        <v>1.60728</v>
      </c>
      <c r="J80" s="143">
        <f>ROUND(E80*I80,2)</f>
        <v>266.02</v>
      </c>
      <c r="K80" s="144">
        <v>39805</v>
      </c>
      <c r="L80" s="125">
        <f>ROUND(J80*K80,0)</f>
        <v>10588926</v>
      </c>
    </row>
    <row r="81" spans="1:14" s="12" customFormat="1" ht="11.25" x14ac:dyDescent="0.2">
      <c r="A81" s="113" t="s">
        <v>128</v>
      </c>
      <c r="B81" s="113">
        <v>1048</v>
      </c>
      <c r="C81" s="145" t="s">
        <v>162</v>
      </c>
      <c r="D81" s="117"/>
      <c r="E81" s="118">
        <f>17851640/70000</f>
        <v>255.02342857142858</v>
      </c>
      <c r="F81" s="142">
        <v>39356</v>
      </c>
      <c r="G81" s="120">
        <v>4535</v>
      </c>
      <c r="H81" s="162">
        <v>7289</v>
      </c>
      <c r="I81" s="122">
        <f t="shared" ref="I81:I95" si="11">ROUND(H81/G81,5)</f>
        <v>1.60728</v>
      </c>
      <c r="J81" s="143">
        <f t="shared" ref="J81:J95" si="12">ROUND(E81*I81,2)</f>
        <v>409.89</v>
      </c>
      <c r="K81" s="144">
        <v>70000</v>
      </c>
      <c r="L81" s="125">
        <f t="shared" ref="L81:L95" si="13">ROUND(J81*K81,0)</f>
        <v>28692300</v>
      </c>
    </row>
    <row r="82" spans="1:14" s="15" customFormat="1" ht="11.25" x14ac:dyDescent="0.2">
      <c r="A82" s="113" t="s">
        <v>17</v>
      </c>
      <c r="B82" s="113"/>
      <c r="C82" s="145" t="s">
        <v>568</v>
      </c>
      <c r="D82" s="117"/>
      <c r="E82" s="118">
        <f>8950000/34466</f>
        <v>259.67620263448038</v>
      </c>
      <c r="F82" s="142">
        <v>39630</v>
      </c>
      <c r="G82" s="120">
        <v>4723</v>
      </c>
      <c r="H82" s="162">
        <v>7289</v>
      </c>
      <c r="I82" s="122">
        <f t="shared" si="11"/>
        <v>1.5432999999999999</v>
      </c>
      <c r="J82" s="143">
        <f t="shared" si="12"/>
        <v>400.76</v>
      </c>
      <c r="K82" s="144">
        <v>34466</v>
      </c>
      <c r="L82" s="125">
        <f t="shared" si="13"/>
        <v>13812594</v>
      </c>
    </row>
    <row r="83" spans="1:14" s="15" customFormat="1" ht="11.25" x14ac:dyDescent="0.2">
      <c r="A83" s="113" t="s">
        <v>22</v>
      </c>
      <c r="B83" s="113">
        <v>833</v>
      </c>
      <c r="C83" s="145" t="s">
        <v>571</v>
      </c>
      <c r="D83" s="117"/>
      <c r="E83" s="118">
        <f>33949005/114903</f>
        <v>295.45795148951726</v>
      </c>
      <c r="F83" s="142">
        <v>39753</v>
      </c>
      <c r="G83" s="120">
        <v>4847</v>
      </c>
      <c r="H83" s="162">
        <v>7289</v>
      </c>
      <c r="I83" s="122">
        <f t="shared" si="11"/>
        <v>1.5038199999999999</v>
      </c>
      <c r="J83" s="143">
        <f t="shared" si="12"/>
        <v>444.32</v>
      </c>
      <c r="K83" s="144">
        <v>114903</v>
      </c>
      <c r="L83" s="125">
        <f t="shared" si="13"/>
        <v>51053701</v>
      </c>
    </row>
    <row r="84" spans="1:14" s="15" customFormat="1" ht="11.25" x14ac:dyDescent="0.2">
      <c r="A84" s="113" t="s">
        <v>128</v>
      </c>
      <c r="B84" s="113">
        <v>1054</v>
      </c>
      <c r="C84" s="145" t="s">
        <v>570</v>
      </c>
      <c r="D84" s="117"/>
      <c r="E84" s="118">
        <f>16092888/61000</f>
        <v>263.81783606557377</v>
      </c>
      <c r="F84" s="142">
        <v>39753</v>
      </c>
      <c r="G84" s="120">
        <v>4847</v>
      </c>
      <c r="H84" s="162">
        <v>7289</v>
      </c>
      <c r="I84" s="122">
        <f t="shared" si="11"/>
        <v>1.5038199999999999</v>
      </c>
      <c r="J84" s="143">
        <f t="shared" si="12"/>
        <v>396.73</v>
      </c>
      <c r="K84" s="144">
        <v>61000</v>
      </c>
      <c r="L84" s="125">
        <f t="shared" si="13"/>
        <v>24200530</v>
      </c>
    </row>
    <row r="85" spans="1:14" s="12" customFormat="1" ht="11.25" x14ac:dyDescent="0.2">
      <c r="A85" s="113" t="s">
        <v>20</v>
      </c>
      <c r="B85" s="113">
        <v>528</v>
      </c>
      <c r="C85" s="145" t="s">
        <v>578</v>
      </c>
      <c r="D85" s="117"/>
      <c r="E85" s="118">
        <f>19179884/77380</f>
        <v>247.86616696820883</v>
      </c>
      <c r="F85" s="142">
        <v>39904</v>
      </c>
      <c r="G85" s="120">
        <v>4761</v>
      </c>
      <c r="H85" s="162">
        <v>7289</v>
      </c>
      <c r="I85" s="122">
        <f t="shared" si="11"/>
        <v>1.53098</v>
      </c>
      <c r="J85" s="143">
        <f t="shared" si="12"/>
        <v>379.48</v>
      </c>
      <c r="K85" s="144">
        <v>77380</v>
      </c>
      <c r="L85" s="125">
        <f t="shared" si="13"/>
        <v>29364162</v>
      </c>
    </row>
    <row r="86" spans="1:14" s="12" customFormat="1" ht="11.25" x14ac:dyDescent="0.2">
      <c r="A86" s="113" t="s">
        <v>29</v>
      </c>
      <c r="B86" s="113"/>
      <c r="C86" s="145" t="s">
        <v>585</v>
      </c>
      <c r="D86" s="117"/>
      <c r="E86" s="118">
        <f>22381425/94719</f>
        <v>236.29287682513541</v>
      </c>
      <c r="F86" s="142">
        <v>39600</v>
      </c>
      <c r="G86" s="120">
        <v>4640</v>
      </c>
      <c r="H86" s="162">
        <v>7289</v>
      </c>
      <c r="I86" s="122">
        <f t="shared" si="11"/>
        <v>1.57091</v>
      </c>
      <c r="J86" s="143">
        <f t="shared" si="12"/>
        <v>371.19</v>
      </c>
      <c r="K86" s="144">
        <v>94719</v>
      </c>
      <c r="L86" s="125">
        <f t="shared" si="13"/>
        <v>35158746</v>
      </c>
    </row>
    <row r="87" spans="1:14" s="12" customFormat="1" ht="11.25" x14ac:dyDescent="0.2">
      <c r="A87" s="113" t="s">
        <v>21</v>
      </c>
      <c r="B87" s="113"/>
      <c r="C87" s="145" t="s">
        <v>595</v>
      </c>
      <c r="D87" s="117"/>
      <c r="E87" s="118">
        <f>33893000/121798</f>
        <v>278.27222121873922</v>
      </c>
      <c r="F87" s="142">
        <v>40542</v>
      </c>
      <c r="G87" s="120">
        <v>4970</v>
      </c>
      <c r="H87" s="162">
        <v>7289</v>
      </c>
      <c r="I87" s="122">
        <f t="shared" si="11"/>
        <v>1.4665999999999999</v>
      </c>
      <c r="J87" s="143">
        <f t="shared" si="12"/>
        <v>408.11</v>
      </c>
      <c r="K87" s="144">
        <v>121798</v>
      </c>
      <c r="L87" s="125">
        <f t="shared" si="13"/>
        <v>49706982</v>
      </c>
    </row>
    <row r="88" spans="1:14" s="12" customFormat="1" ht="11.25" x14ac:dyDescent="0.2">
      <c r="A88" s="113" t="s">
        <v>128</v>
      </c>
      <c r="B88" s="113"/>
      <c r="C88" s="145" t="s">
        <v>596</v>
      </c>
      <c r="D88" s="117"/>
      <c r="E88" s="118">
        <f>14930038/69275</f>
        <v>215.51841212558642</v>
      </c>
      <c r="F88" s="142">
        <v>40513</v>
      </c>
      <c r="G88" s="120">
        <v>4970</v>
      </c>
      <c r="H88" s="162">
        <v>7289</v>
      </c>
      <c r="I88" s="122">
        <f t="shared" si="11"/>
        <v>1.4665999999999999</v>
      </c>
      <c r="J88" s="143">
        <f t="shared" si="12"/>
        <v>316.08</v>
      </c>
      <c r="K88" s="144">
        <v>69275</v>
      </c>
      <c r="L88" s="125">
        <f t="shared" si="13"/>
        <v>21896442</v>
      </c>
    </row>
    <row r="89" spans="1:14" s="12" customFormat="1" ht="11.25" x14ac:dyDescent="0.2">
      <c r="A89" s="113" t="s">
        <v>17</v>
      </c>
      <c r="B89" s="113"/>
      <c r="C89" s="145" t="s">
        <v>617</v>
      </c>
      <c r="D89" s="117"/>
      <c r="E89" s="118">
        <f>65347917/238516</f>
        <v>273.97707910580425</v>
      </c>
      <c r="F89" s="142">
        <v>40422</v>
      </c>
      <c r="G89" s="120">
        <v>4910</v>
      </c>
      <c r="H89" s="162">
        <v>7289</v>
      </c>
      <c r="I89" s="122">
        <f t="shared" si="11"/>
        <v>1.4845200000000001</v>
      </c>
      <c r="J89" s="143">
        <f t="shared" si="12"/>
        <v>406.72</v>
      </c>
      <c r="K89" s="144">
        <v>238516</v>
      </c>
      <c r="L89" s="125">
        <f t="shared" si="13"/>
        <v>97009228</v>
      </c>
    </row>
    <row r="90" spans="1:14" s="12" customFormat="1" ht="10.5" customHeight="1" x14ac:dyDescent="0.2">
      <c r="A90" s="113" t="s">
        <v>24</v>
      </c>
      <c r="B90" s="150"/>
      <c r="C90" s="145" t="s">
        <v>671</v>
      </c>
      <c r="D90" s="117"/>
      <c r="E90" s="118">
        <f>45419000/109202</f>
        <v>415.91729089210821</v>
      </c>
      <c r="F90" s="142">
        <v>42200</v>
      </c>
      <c r="G90" s="120">
        <v>5510</v>
      </c>
      <c r="H90" s="162">
        <v>7289</v>
      </c>
      <c r="I90" s="122">
        <f t="shared" si="11"/>
        <v>1.32287</v>
      </c>
      <c r="J90" s="143">
        <f t="shared" si="12"/>
        <v>550.20000000000005</v>
      </c>
      <c r="K90" s="144">
        <v>109202</v>
      </c>
      <c r="L90" s="125">
        <f t="shared" si="13"/>
        <v>60082940</v>
      </c>
      <c r="M90" s="22"/>
      <c r="N90" s="22"/>
    </row>
    <row r="91" spans="1:14" s="12" customFormat="1" ht="10.5" customHeight="1" x14ac:dyDescent="0.2">
      <c r="A91" s="113" t="s">
        <v>24</v>
      </c>
      <c r="B91" s="150"/>
      <c r="C91" s="145" t="s">
        <v>685</v>
      </c>
      <c r="D91" s="117"/>
      <c r="E91" s="118">
        <f>66630000/111552</f>
        <v>597.29991394148021</v>
      </c>
      <c r="F91" s="142">
        <v>42567</v>
      </c>
      <c r="G91" s="120">
        <v>5659</v>
      </c>
      <c r="H91" s="162">
        <v>7289</v>
      </c>
      <c r="I91" s="122">
        <f t="shared" si="11"/>
        <v>1.2880400000000001</v>
      </c>
      <c r="J91" s="143">
        <f t="shared" si="12"/>
        <v>769.35</v>
      </c>
      <c r="K91" s="144">
        <v>111552</v>
      </c>
      <c r="L91" s="125">
        <f t="shared" si="13"/>
        <v>85822531</v>
      </c>
      <c r="M91" s="22"/>
      <c r="N91" s="22"/>
    </row>
    <row r="92" spans="1:14" s="12" customFormat="1" ht="10.5" customHeight="1" x14ac:dyDescent="0.2">
      <c r="A92" s="113" t="s">
        <v>128</v>
      </c>
      <c r="B92" s="150"/>
      <c r="C92" s="145" t="s">
        <v>684</v>
      </c>
      <c r="D92" s="117"/>
      <c r="E92" s="118">
        <f>12183639/30000</f>
        <v>406.12130000000002</v>
      </c>
      <c r="F92" s="142">
        <v>42353</v>
      </c>
      <c r="G92" s="120">
        <v>5574</v>
      </c>
      <c r="H92" s="162">
        <v>7289</v>
      </c>
      <c r="I92" s="122">
        <f t="shared" si="11"/>
        <v>1.30768</v>
      </c>
      <c r="J92" s="143">
        <f t="shared" si="12"/>
        <v>531.08000000000004</v>
      </c>
      <c r="K92" s="144">
        <v>30000</v>
      </c>
      <c r="L92" s="125">
        <f t="shared" si="13"/>
        <v>15932400</v>
      </c>
      <c r="M92" s="22"/>
      <c r="N92" s="22"/>
    </row>
    <row r="93" spans="1:14" s="30" customFormat="1" ht="10.5" customHeight="1" x14ac:dyDescent="0.2">
      <c r="A93" s="164" t="s">
        <v>21</v>
      </c>
      <c r="B93" s="165"/>
      <c r="C93" s="166" t="s">
        <v>696</v>
      </c>
      <c r="D93" s="167"/>
      <c r="E93" s="168">
        <f>COSTBASE!F2290/COSTBASE!G2290</f>
        <v>213.22174176776429</v>
      </c>
      <c r="F93" s="169">
        <v>43070</v>
      </c>
      <c r="G93" s="170">
        <v>5914</v>
      </c>
      <c r="H93" s="162">
        <v>7289</v>
      </c>
      <c r="I93" s="171">
        <f t="shared" si="11"/>
        <v>1.2324999999999999</v>
      </c>
      <c r="J93" s="172">
        <f t="shared" si="12"/>
        <v>262.8</v>
      </c>
      <c r="K93" s="173">
        <v>115400</v>
      </c>
      <c r="L93" s="174">
        <f t="shared" si="13"/>
        <v>30327120</v>
      </c>
      <c r="M93" s="29"/>
      <c r="N93" s="29"/>
    </row>
    <row r="94" spans="1:14" s="30" customFormat="1" ht="10.5" customHeight="1" x14ac:dyDescent="0.2">
      <c r="A94" s="164" t="s">
        <v>603</v>
      </c>
      <c r="B94" s="165"/>
      <c r="C94" s="166" t="s">
        <v>700</v>
      </c>
      <c r="D94" s="167"/>
      <c r="E94" s="168">
        <f>COSTBASE!F2402/COSTBASE!G2402</f>
        <v>365.75637181818178</v>
      </c>
      <c r="F94" s="169">
        <v>42962</v>
      </c>
      <c r="G94" s="170">
        <v>5862</v>
      </c>
      <c r="H94" s="162">
        <v>7289</v>
      </c>
      <c r="I94" s="171">
        <f t="shared" si="11"/>
        <v>1.24343</v>
      </c>
      <c r="J94" s="172">
        <f t="shared" si="12"/>
        <v>454.79</v>
      </c>
      <c r="K94" s="173">
        <v>22000</v>
      </c>
      <c r="L94" s="174">
        <f t="shared" si="13"/>
        <v>10005380</v>
      </c>
      <c r="M94" s="29"/>
      <c r="N94" s="29"/>
    </row>
    <row r="95" spans="1:14" s="30" customFormat="1" ht="10.5" customHeight="1" x14ac:dyDescent="0.2">
      <c r="A95" s="164" t="s">
        <v>29</v>
      </c>
      <c r="B95" s="165"/>
      <c r="C95" s="166" t="s">
        <v>731</v>
      </c>
      <c r="D95" s="167"/>
      <c r="E95" s="168">
        <f>COSTBASE!F1881/COSTBASE!G1881</f>
        <v>436.50642229975847</v>
      </c>
      <c r="F95" s="169">
        <v>43621</v>
      </c>
      <c r="G95" s="170">
        <v>6118</v>
      </c>
      <c r="H95" s="162">
        <v>7289</v>
      </c>
      <c r="I95" s="171">
        <f t="shared" si="11"/>
        <v>1.1914</v>
      </c>
      <c r="J95" s="172">
        <f t="shared" si="12"/>
        <v>520.04999999999995</v>
      </c>
      <c r="K95" s="173">
        <v>52162</v>
      </c>
      <c r="L95" s="174">
        <f t="shared" si="13"/>
        <v>27126848</v>
      </c>
      <c r="M95" s="29"/>
      <c r="N95" s="29"/>
    </row>
    <row r="96" spans="1:14" s="30" customFormat="1" ht="10.5" customHeight="1" x14ac:dyDescent="0.2">
      <c r="A96" s="164"/>
      <c r="B96" s="165"/>
      <c r="C96" s="166"/>
      <c r="D96" s="167"/>
      <c r="E96" s="168"/>
      <c r="F96" s="169"/>
      <c r="G96" s="170"/>
      <c r="H96" s="120"/>
      <c r="I96" s="171"/>
      <c r="J96" s="172"/>
      <c r="K96" s="173"/>
      <c r="L96" s="174"/>
      <c r="M96" s="29"/>
      <c r="N96" s="29"/>
    </row>
    <row r="97" spans="1:14" ht="10.15" customHeight="1" x14ac:dyDescent="0.2">
      <c r="A97" s="149"/>
      <c r="B97" s="149"/>
      <c r="C97" s="113" t="s">
        <v>33</v>
      </c>
      <c r="D97" s="149"/>
      <c r="E97" s="152"/>
      <c r="F97" s="153"/>
      <c r="G97" s="152"/>
      <c r="H97" s="152"/>
      <c r="I97" s="154"/>
      <c r="J97" s="175"/>
      <c r="K97" s="155">
        <f>SUM(K61:K96)</f>
        <v>1454807</v>
      </c>
      <c r="L97" s="155">
        <f>SUM(L62:L96)</f>
        <v>618972432</v>
      </c>
    </row>
    <row r="98" spans="1:14" ht="10.15" customHeight="1" x14ac:dyDescent="0.2">
      <c r="A98" s="149"/>
      <c r="B98" s="149"/>
      <c r="C98" s="117"/>
      <c r="D98" s="117"/>
      <c r="E98" s="156"/>
      <c r="F98" s="153"/>
      <c r="G98" s="156"/>
      <c r="H98" s="156"/>
      <c r="I98" s="157"/>
      <c r="J98" s="156"/>
      <c r="K98" s="158"/>
      <c r="L98" s="158"/>
    </row>
    <row r="99" spans="1:14" ht="10.15" customHeight="1" x14ac:dyDescent="0.2">
      <c r="A99" s="149"/>
      <c r="B99" s="149"/>
      <c r="C99" s="159" t="s">
        <v>41</v>
      </c>
      <c r="D99" s="149"/>
      <c r="E99" s="152"/>
      <c r="F99" s="153"/>
      <c r="G99" s="152"/>
      <c r="H99" s="152"/>
      <c r="I99" s="154"/>
      <c r="J99" s="160">
        <f>(L97/K97)</f>
        <v>425.4670427073832</v>
      </c>
      <c r="K99" s="158"/>
      <c r="L99" s="158"/>
    </row>
    <row r="100" spans="1:14" ht="10.15" customHeight="1" x14ac:dyDescent="0.2">
      <c r="A100" s="149"/>
      <c r="B100" s="149"/>
      <c r="C100" s="117"/>
      <c r="D100" s="117"/>
      <c r="E100" s="156"/>
      <c r="F100" s="153"/>
      <c r="G100" s="156"/>
      <c r="H100" s="156"/>
      <c r="I100" s="157"/>
      <c r="J100" s="156"/>
      <c r="K100" s="158"/>
      <c r="L100" s="158"/>
    </row>
    <row r="101" spans="1:14" ht="10.15" customHeight="1" x14ac:dyDescent="0.2">
      <c r="A101" s="161" t="s">
        <v>42</v>
      </c>
      <c r="B101" s="149"/>
      <c r="C101" s="117"/>
      <c r="D101" s="117"/>
      <c r="E101" s="156"/>
      <c r="F101" s="153"/>
      <c r="G101" s="156"/>
      <c r="H101" s="156"/>
      <c r="I101" s="157"/>
      <c r="J101" s="156"/>
      <c r="K101" s="158"/>
      <c r="L101" s="158"/>
    </row>
    <row r="102" spans="1:14" ht="10.15" customHeight="1" x14ac:dyDescent="0.2">
      <c r="A102" s="113" t="s">
        <v>24</v>
      </c>
      <c r="B102" s="113">
        <v>125</v>
      </c>
      <c r="C102" s="116" t="s">
        <v>43</v>
      </c>
      <c r="D102" s="117"/>
      <c r="E102" s="118">
        <v>80.89</v>
      </c>
      <c r="F102" s="153" t="s">
        <v>44</v>
      </c>
      <c r="G102" s="156"/>
      <c r="H102" s="121"/>
      <c r="I102" s="157"/>
      <c r="J102" s="118"/>
      <c r="K102" s="124"/>
      <c r="L102" s="124"/>
    </row>
    <row r="103" spans="1:14" ht="10.15" customHeight="1" x14ac:dyDescent="0.2">
      <c r="A103" s="113" t="s">
        <v>17</v>
      </c>
      <c r="B103" s="113">
        <v>565</v>
      </c>
      <c r="C103" s="116" t="s">
        <v>45</v>
      </c>
      <c r="D103" s="117"/>
      <c r="E103" s="118">
        <v>62.31</v>
      </c>
      <c r="F103" s="153" t="s">
        <v>46</v>
      </c>
      <c r="G103" s="156">
        <v>2401.9</v>
      </c>
      <c r="H103" s="140">
        <v>7289</v>
      </c>
      <c r="I103" s="157">
        <f t="shared" ref="I103:I115" si="14">ROUND(H103/G103,5)</f>
        <v>3.0346799999999998</v>
      </c>
      <c r="J103" s="118">
        <f t="shared" ref="J103:J115" si="15">ROUND(E103*I103,2)</f>
        <v>189.09</v>
      </c>
      <c r="K103" s="124">
        <v>78403</v>
      </c>
      <c r="L103" s="124">
        <f t="shared" ref="L103:L115" si="16">ROUND(J103*K103,0)</f>
        <v>14825223</v>
      </c>
    </row>
    <row r="104" spans="1:14" ht="10.15" customHeight="1" x14ac:dyDescent="0.2">
      <c r="A104" s="113" t="s">
        <v>18</v>
      </c>
      <c r="B104" s="113">
        <v>353</v>
      </c>
      <c r="C104" s="116" t="s">
        <v>47</v>
      </c>
      <c r="D104" s="117"/>
      <c r="E104" s="118">
        <v>62.77</v>
      </c>
      <c r="F104" s="153" t="s">
        <v>48</v>
      </c>
      <c r="G104" s="117">
        <v>2595.88</v>
      </c>
      <c r="H104" s="140">
        <v>7289</v>
      </c>
      <c r="I104" s="157">
        <f t="shared" si="14"/>
        <v>2.8079100000000001</v>
      </c>
      <c r="J104" s="118">
        <f t="shared" si="15"/>
        <v>176.25</v>
      </c>
      <c r="K104" s="124">
        <v>32672</v>
      </c>
      <c r="L104" s="124">
        <f t="shared" si="16"/>
        <v>5758440</v>
      </c>
    </row>
    <row r="105" spans="1:14" ht="10.15" customHeight="1" x14ac:dyDescent="0.2">
      <c r="A105" s="113" t="s">
        <v>24</v>
      </c>
      <c r="B105" s="113">
        <v>150</v>
      </c>
      <c r="C105" s="116" t="s">
        <v>49</v>
      </c>
      <c r="D105" s="117"/>
      <c r="E105" s="118">
        <v>180.87</v>
      </c>
      <c r="F105" s="176" t="s">
        <v>50</v>
      </c>
      <c r="G105" s="117">
        <v>3111.86</v>
      </c>
      <c r="H105" s="140">
        <v>7289</v>
      </c>
      <c r="I105" s="177">
        <f t="shared" si="14"/>
        <v>2.34233</v>
      </c>
      <c r="J105" s="178">
        <f t="shared" si="15"/>
        <v>423.66</v>
      </c>
      <c r="K105" s="124">
        <v>19500</v>
      </c>
      <c r="L105" s="179">
        <f t="shared" si="16"/>
        <v>8261370</v>
      </c>
    </row>
    <row r="106" spans="1:14" ht="10.15" customHeight="1" x14ac:dyDescent="0.2">
      <c r="A106" s="113" t="s">
        <v>18</v>
      </c>
      <c r="B106" s="113">
        <v>318</v>
      </c>
      <c r="C106" s="141" t="s">
        <v>463</v>
      </c>
      <c r="D106" s="117"/>
      <c r="E106" s="118">
        <f>6381888/47100</f>
        <v>135.49656050955414</v>
      </c>
      <c r="F106" s="142">
        <v>37377</v>
      </c>
      <c r="G106" s="118">
        <v>3612</v>
      </c>
      <c r="H106" s="140">
        <v>7289</v>
      </c>
      <c r="I106" s="180">
        <f t="shared" si="14"/>
        <v>2.0179999999999998</v>
      </c>
      <c r="J106" s="143">
        <f t="shared" si="15"/>
        <v>273.43</v>
      </c>
      <c r="K106" s="163">
        <v>47100</v>
      </c>
      <c r="L106" s="125">
        <f t="shared" si="16"/>
        <v>12878553</v>
      </c>
    </row>
    <row r="107" spans="1:14" ht="10.15" customHeight="1" x14ac:dyDescent="0.2">
      <c r="A107" s="113" t="s">
        <v>19</v>
      </c>
      <c r="B107" s="113">
        <v>299</v>
      </c>
      <c r="C107" s="141" t="s">
        <v>461</v>
      </c>
      <c r="D107" s="117"/>
      <c r="E107" s="118">
        <f>6508400/31200</f>
        <v>208.60256410256412</v>
      </c>
      <c r="F107" s="142">
        <v>37683</v>
      </c>
      <c r="G107" s="118">
        <v>3649</v>
      </c>
      <c r="H107" s="140">
        <v>7289</v>
      </c>
      <c r="I107" s="180">
        <f>ROUND(H107/G107,5)</f>
        <v>1.99753</v>
      </c>
      <c r="J107" s="143">
        <f>ROUND(E107*I107,2)</f>
        <v>416.69</v>
      </c>
      <c r="K107" s="163">
        <v>31200</v>
      </c>
      <c r="L107" s="125">
        <f>ROUND(J107*K107,0)</f>
        <v>13000728</v>
      </c>
    </row>
    <row r="108" spans="1:14" ht="10.15" customHeight="1" x14ac:dyDescent="0.2">
      <c r="A108" s="113" t="s">
        <v>23</v>
      </c>
      <c r="B108" s="113">
        <v>613</v>
      </c>
      <c r="C108" s="141" t="s">
        <v>489</v>
      </c>
      <c r="D108" s="117"/>
      <c r="E108" s="118">
        <f>5423000/37990</f>
        <v>142.74809160305344</v>
      </c>
      <c r="F108" s="142">
        <v>37778</v>
      </c>
      <c r="G108" s="118">
        <v>3677</v>
      </c>
      <c r="H108" s="140">
        <v>7289</v>
      </c>
      <c r="I108" s="180">
        <f t="shared" si="14"/>
        <v>1.9823200000000001</v>
      </c>
      <c r="J108" s="143">
        <f t="shared" si="15"/>
        <v>282.97000000000003</v>
      </c>
      <c r="K108" s="163">
        <v>37990</v>
      </c>
      <c r="L108" s="125">
        <f t="shared" si="16"/>
        <v>10750030</v>
      </c>
    </row>
    <row r="109" spans="1:14" ht="10.15" customHeight="1" x14ac:dyDescent="0.2">
      <c r="A109" s="113" t="s">
        <v>22</v>
      </c>
      <c r="B109" s="113">
        <v>832</v>
      </c>
      <c r="C109" s="141" t="s">
        <v>506</v>
      </c>
      <c r="D109" s="117"/>
      <c r="E109" s="118">
        <f>26818093/153768</f>
        <v>174.40620285104833</v>
      </c>
      <c r="F109" s="142">
        <v>38303</v>
      </c>
      <c r="G109" s="120">
        <v>4128</v>
      </c>
      <c r="H109" s="140">
        <v>7289</v>
      </c>
      <c r="I109" s="122">
        <f>ROUND(H109/G109,5)</f>
        <v>1.7657499999999999</v>
      </c>
      <c r="J109" s="143">
        <f>ROUND(E109*I109,2)</f>
        <v>307.95999999999998</v>
      </c>
      <c r="K109" s="144">
        <v>153768</v>
      </c>
      <c r="L109" s="125">
        <f>ROUND(J109*K109,0)</f>
        <v>47354393</v>
      </c>
    </row>
    <row r="110" spans="1:14" s="12" customFormat="1" ht="10.15" customHeight="1" x14ac:dyDescent="0.2">
      <c r="A110" s="113" t="s">
        <v>21</v>
      </c>
      <c r="B110" s="113">
        <v>917</v>
      </c>
      <c r="C110" s="141" t="s">
        <v>507</v>
      </c>
      <c r="D110" s="117"/>
      <c r="E110" s="118">
        <f>18121650/79823</f>
        <v>227.02291319544491</v>
      </c>
      <c r="F110" s="142">
        <v>38081</v>
      </c>
      <c r="G110" s="120">
        <v>3908</v>
      </c>
      <c r="H110" s="140">
        <v>7289</v>
      </c>
      <c r="I110" s="122">
        <f t="shared" si="14"/>
        <v>1.8651500000000001</v>
      </c>
      <c r="J110" s="143">
        <f t="shared" si="15"/>
        <v>423.43</v>
      </c>
      <c r="K110" s="144">
        <v>79823</v>
      </c>
      <c r="L110" s="125">
        <f t="shared" si="16"/>
        <v>33799453</v>
      </c>
      <c r="M110"/>
      <c r="N110"/>
    </row>
    <row r="111" spans="1:14" s="12" customFormat="1" ht="10.15" customHeight="1" x14ac:dyDescent="0.2">
      <c r="A111" s="113" t="s">
        <v>19</v>
      </c>
      <c r="B111" s="113"/>
      <c r="C111" s="141" t="s">
        <v>607</v>
      </c>
      <c r="D111" s="117"/>
      <c r="E111" s="118">
        <f>4897677/24220</f>
        <v>202.21622625928984</v>
      </c>
      <c r="F111" s="142">
        <v>40210</v>
      </c>
      <c r="G111" s="120">
        <v>4812</v>
      </c>
      <c r="H111" s="140">
        <v>7289</v>
      </c>
      <c r="I111" s="122">
        <f t="shared" si="14"/>
        <v>1.51475</v>
      </c>
      <c r="J111" s="143">
        <f t="shared" si="15"/>
        <v>306.31</v>
      </c>
      <c r="K111" s="144">
        <v>24220</v>
      </c>
      <c r="L111" s="125">
        <f t="shared" si="16"/>
        <v>7418828</v>
      </c>
    </row>
    <row r="112" spans="1:14" ht="10.15" customHeight="1" x14ac:dyDescent="0.2">
      <c r="A112" s="113" t="s">
        <v>661</v>
      </c>
      <c r="B112" s="113"/>
      <c r="C112" s="141" t="s">
        <v>662</v>
      </c>
      <c r="D112" s="117"/>
      <c r="E112" s="118">
        <f>77108595.2/K112</f>
        <v>440.56264148140531</v>
      </c>
      <c r="F112" s="142">
        <v>41820</v>
      </c>
      <c r="G112" s="120">
        <v>5375</v>
      </c>
      <c r="H112" s="140">
        <v>7289</v>
      </c>
      <c r="I112" s="122">
        <f t="shared" si="14"/>
        <v>1.35609</v>
      </c>
      <c r="J112" s="143">
        <f t="shared" si="15"/>
        <v>597.44000000000005</v>
      </c>
      <c r="K112" s="144">
        <v>175023</v>
      </c>
      <c r="L112" s="125">
        <f t="shared" si="16"/>
        <v>104565741</v>
      </c>
      <c r="M112" s="12"/>
      <c r="N112" s="12"/>
    </row>
    <row r="113" spans="1:12" s="12" customFormat="1" ht="10.15" customHeight="1" x14ac:dyDescent="0.2">
      <c r="A113" s="113" t="s">
        <v>20</v>
      </c>
      <c r="B113" s="113"/>
      <c r="C113" s="141" t="s">
        <v>681</v>
      </c>
      <c r="D113" s="117"/>
      <c r="E113" s="118">
        <f>5663766/21657</f>
        <v>261.52126333287157</v>
      </c>
      <c r="F113" s="142">
        <v>42385</v>
      </c>
      <c r="G113" s="120">
        <v>5561</v>
      </c>
      <c r="H113" s="140">
        <v>7289</v>
      </c>
      <c r="I113" s="122">
        <f t="shared" si="14"/>
        <v>1.31074</v>
      </c>
      <c r="J113" s="143">
        <f t="shared" si="15"/>
        <v>342.79</v>
      </c>
      <c r="K113" s="144">
        <v>21657</v>
      </c>
      <c r="L113" s="125">
        <f t="shared" si="16"/>
        <v>7423803</v>
      </c>
    </row>
    <row r="114" spans="1:12" s="12" customFormat="1" ht="10.15" customHeight="1" x14ac:dyDescent="0.2">
      <c r="A114" s="113" t="s">
        <v>732</v>
      </c>
      <c r="B114" s="113"/>
      <c r="C114" s="141" t="s">
        <v>714</v>
      </c>
      <c r="D114" s="117"/>
      <c r="E114" s="118">
        <f>51600273.98/166127</f>
        <v>310.60739061079772</v>
      </c>
      <c r="F114" s="142">
        <v>43796</v>
      </c>
      <c r="G114" s="120">
        <v>6179</v>
      </c>
      <c r="H114" s="140">
        <v>7289</v>
      </c>
      <c r="I114" s="122">
        <f t="shared" si="14"/>
        <v>1.17964</v>
      </c>
      <c r="J114" s="143">
        <f t="shared" si="15"/>
        <v>366.4</v>
      </c>
      <c r="K114" s="144">
        <v>166127</v>
      </c>
      <c r="L114" s="125">
        <f t="shared" si="16"/>
        <v>60868933</v>
      </c>
    </row>
    <row r="115" spans="1:12" s="12" customFormat="1" ht="10.15" customHeight="1" x14ac:dyDescent="0.2">
      <c r="A115" s="113" t="s">
        <v>24</v>
      </c>
      <c r="B115" s="113"/>
      <c r="C115" s="141" t="s">
        <v>734</v>
      </c>
      <c r="D115" s="117"/>
      <c r="E115" s="118">
        <f>COSTBASE!F436/COSTBASE!G436</f>
        <v>487.9241489023226</v>
      </c>
      <c r="F115" s="142">
        <v>43784</v>
      </c>
      <c r="G115" s="120">
        <v>6179</v>
      </c>
      <c r="H115" s="140">
        <v>7289</v>
      </c>
      <c r="I115" s="122">
        <f t="shared" si="14"/>
        <v>1.17964</v>
      </c>
      <c r="J115" s="143">
        <f t="shared" si="15"/>
        <v>575.57000000000005</v>
      </c>
      <c r="K115" s="144">
        <v>15715</v>
      </c>
      <c r="L115" s="125">
        <f t="shared" si="16"/>
        <v>9045083</v>
      </c>
    </row>
    <row r="116" spans="1:12" s="12" customFormat="1" ht="10.15" customHeight="1" x14ac:dyDescent="0.2">
      <c r="A116" s="113" t="s">
        <v>20</v>
      </c>
      <c r="B116" s="113"/>
      <c r="C116" s="141" t="s">
        <v>736</v>
      </c>
      <c r="D116" s="117"/>
      <c r="E116" s="118">
        <f>COSTBASE!F1232/COSTBASE!G1232</f>
        <v>439.71323244754075</v>
      </c>
      <c r="F116" s="142">
        <v>43913</v>
      </c>
      <c r="G116" s="120">
        <v>6218</v>
      </c>
      <c r="H116" s="140">
        <v>7289</v>
      </c>
      <c r="I116" s="122">
        <f>ROUND(H116/G116,5)</f>
        <v>1.1722399999999999</v>
      </c>
      <c r="J116" s="143">
        <f>ROUND(E116*I116,2)</f>
        <v>515.45000000000005</v>
      </c>
      <c r="K116" s="144">
        <v>47824</v>
      </c>
      <c r="L116" s="125">
        <f>ROUND(J116*K116,0)</f>
        <v>24650881</v>
      </c>
    </row>
    <row r="117" spans="1:12" s="12" customFormat="1" ht="10.15" customHeight="1" x14ac:dyDescent="0.2">
      <c r="A117" s="113"/>
      <c r="B117" s="113"/>
      <c r="C117" s="141"/>
      <c r="D117" s="117"/>
      <c r="E117" s="118"/>
      <c r="F117" s="142"/>
      <c r="G117" s="120"/>
      <c r="H117" s="121"/>
      <c r="I117" s="122"/>
      <c r="J117" s="143"/>
      <c r="K117" s="144"/>
      <c r="L117" s="125"/>
    </row>
    <row r="118" spans="1:12" s="12" customFormat="1" ht="10.15" customHeight="1" x14ac:dyDescent="0.2">
      <c r="A118" s="113"/>
      <c r="B118" s="113"/>
      <c r="C118" s="141"/>
      <c r="D118" s="117"/>
      <c r="E118" s="118"/>
      <c r="F118" s="142"/>
      <c r="G118" s="120"/>
      <c r="H118" s="121"/>
      <c r="I118" s="122"/>
      <c r="J118" s="143"/>
      <c r="K118" s="144"/>
      <c r="L118" s="125"/>
    </row>
    <row r="119" spans="1:12" ht="10.15" customHeight="1" x14ac:dyDescent="0.2">
      <c r="A119" s="149"/>
      <c r="B119" s="149"/>
      <c r="C119" s="113" t="s">
        <v>33</v>
      </c>
      <c r="D119" s="149"/>
      <c r="E119" s="152"/>
      <c r="F119" s="153"/>
      <c r="G119" s="152"/>
      <c r="H119" s="152"/>
      <c r="I119" s="154"/>
      <c r="J119" s="152"/>
      <c r="K119" s="155">
        <f>SUM(K102:K116)</f>
        <v>931022</v>
      </c>
      <c r="L119" s="155">
        <f>SUM(L102:L116)</f>
        <v>360601459</v>
      </c>
    </row>
    <row r="120" spans="1:12" ht="10.15" customHeight="1" x14ac:dyDescent="0.2">
      <c r="A120" s="149"/>
      <c r="B120" s="149"/>
      <c r="C120" s="117"/>
      <c r="D120" s="117"/>
      <c r="E120" s="156"/>
      <c r="F120" s="153"/>
      <c r="G120" s="156"/>
      <c r="H120" s="156"/>
      <c r="I120" s="157"/>
      <c r="J120" s="156"/>
      <c r="K120" s="158"/>
      <c r="L120" s="158"/>
    </row>
    <row r="121" spans="1:12" ht="10.15" customHeight="1" x14ac:dyDescent="0.2">
      <c r="A121" s="149"/>
      <c r="B121" s="149"/>
      <c r="C121" s="159" t="s">
        <v>51</v>
      </c>
      <c r="D121" s="149"/>
      <c r="E121" s="152"/>
      <c r="F121" s="153"/>
      <c r="G121" s="152"/>
      <c r="H121" s="152"/>
      <c r="I121" s="154"/>
      <c r="J121" s="160">
        <f>(L119/K119)</f>
        <v>387.31787111367936</v>
      </c>
      <c r="K121" s="181"/>
      <c r="L121" s="158"/>
    </row>
    <row r="122" spans="1:12" ht="10.15" customHeight="1" x14ac:dyDescent="0.2">
      <c r="A122" s="149"/>
      <c r="B122" s="149"/>
      <c r="C122" s="117"/>
      <c r="D122" s="117"/>
      <c r="E122" s="117"/>
      <c r="F122" s="153"/>
      <c r="G122" s="117"/>
      <c r="H122" s="156"/>
      <c r="I122" s="157"/>
      <c r="J122" s="117"/>
      <c r="K122" s="117"/>
      <c r="L122" s="117"/>
    </row>
    <row r="123" spans="1:12" ht="10.15" customHeight="1" x14ac:dyDescent="0.2">
      <c r="A123" s="161" t="s">
        <v>52</v>
      </c>
      <c r="B123" s="149"/>
      <c r="C123" s="117"/>
      <c r="D123" s="117"/>
      <c r="E123" s="156"/>
      <c r="F123" s="153"/>
      <c r="G123" s="156"/>
      <c r="H123" s="156"/>
      <c r="I123" s="157"/>
      <c r="J123" s="156"/>
      <c r="K123" s="158"/>
      <c r="L123" s="158"/>
    </row>
    <row r="124" spans="1:12" ht="10.15" customHeight="1" x14ac:dyDescent="0.2">
      <c r="A124" s="113" t="s">
        <v>29</v>
      </c>
      <c r="B124" s="113">
        <v>719</v>
      </c>
      <c r="C124" s="116" t="s">
        <v>61</v>
      </c>
      <c r="D124" s="117"/>
      <c r="E124" s="118">
        <v>82.77</v>
      </c>
      <c r="F124" s="136">
        <v>35765</v>
      </c>
      <c r="G124" s="120"/>
      <c r="H124" s="121"/>
      <c r="I124" s="122"/>
      <c r="J124" s="143"/>
      <c r="K124" s="124"/>
      <c r="L124" s="125"/>
    </row>
    <row r="125" spans="1:12" ht="10.15" customHeight="1" x14ac:dyDescent="0.2">
      <c r="A125" s="113" t="s">
        <v>53</v>
      </c>
      <c r="B125" s="126">
        <v>117</v>
      </c>
      <c r="C125" s="127" t="s">
        <v>115</v>
      </c>
      <c r="D125" s="128"/>
      <c r="E125" s="129">
        <v>155.59</v>
      </c>
      <c r="F125" s="130">
        <v>35034</v>
      </c>
      <c r="G125" s="131"/>
      <c r="H125" s="121"/>
      <c r="I125" s="132"/>
      <c r="J125" s="182"/>
      <c r="K125" s="134"/>
      <c r="L125" s="135"/>
    </row>
    <row r="126" spans="1:12" ht="10.15" customHeight="1" x14ac:dyDescent="0.2">
      <c r="A126" s="113" t="s">
        <v>24</v>
      </c>
      <c r="B126" s="126">
        <v>147</v>
      </c>
      <c r="C126" s="127" t="s">
        <v>118</v>
      </c>
      <c r="D126" s="128"/>
      <c r="E126" s="129">
        <v>169.97</v>
      </c>
      <c r="F126" s="130">
        <v>35125</v>
      </c>
      <c r="G126" s="131"/>
      <c r="H126" s="121"/>
      <c r="I126" s="132"/>
      <c r="J126" s="182"/>
      <c r="K126" s="134"/>
      <c r="L126" s="135"/>
    </row>
    <row r="127" spans="1:12" ht="10.15" customHeight="1" x14ac:dyDescent="0.2">
      <c r="A127" s="113" t="s">
        <v>24</v>
      </c>
      <c r="B127" s="126">
        <v>175</v>
      </c>
      <c r="C127" s="127" t="s">
        <v>119</v>
      </c>
      <c r="D127" s="128"/>
      <c r="E127" s="129">
        <v>101.14</v>
      </c>
      <c r="F127" s="130">
        <v>35125</v>
      </c>
      <c r="G127" s="131"/>
      <c r="H127" s="121"/>
      <c r="I127" s="132"/>
      <c r="J127" s="182"/>
      <c r="K127" s="134"/>
      <c r="L127" s="135"/>
    </row>
    <row r="128" spans="1:12" ht="10.15" customHeight="1" x14ac:dyDescent="0.2">
      <c r="A128" s="113" t="s">
        <v>24</v>
      </c>
      <c r="B128" s="126">
        <v>141</v>
      </c>
      <c r="C128" s="127" t="s">
        <v>120</v>
      </c>
      <c r="D128" s="128"/>
      <c r="E128" s="129">
        <v>139.41</v>
      </c>
      <c r="F128" s="130">
        <v>35582</v>
      </c>
      <c r="G128" s="131"/>
      <c r="H128" s="121"/>
      <c r="I128" s="132"/>
      <c r="J128" s="182"/>
      <c r="K128" s="134"/>
      <c r="L128" s="135"/>
    </row>
    <row r="129" spans="1:17" ht="10.15" customHeight="1" x14ac:dyDescent="0.2">
      <c r="A129" s="113" t="s">
        <v>53</v>
      </c>
      <c r="B129" s="113">
        <v>167</v>
      </c>
      <c r="C129" s="116" t="s">
        <v>121</v>
      </c>
      <c r="D129" s="117"/>
      <c r="E129" s="118">
        <v>198.95</v>
      </c>
      <c r="F129" s="136">
        <v>35916</v>
      </c>
      <c r="G129" s="120"/>
      <c r="H129" s="121"/>
      <c r="I129" s="122"/>
      <c r="J129" s="143"/>
      <c r="K129" s="124"/>
      <c r="L129" s="125"/>
    </row>
    <row r="130" spans="1:17" ht="10.15" customHeight="1" x14ac:dyDescent="0.2">
      <c r="A130" s="113" t="s">
        <v>17</v>
      </c>
      <c r="B130" s="113">
        <v>529</v>
      </c>
      <c r="C130" s="116" t="s">
        <v>123</v>
      </c>
      <c r="D130" s="117"/>
      <c r="E130" s="118">
        <v>202.27</v>
      </c>
      <c r="F130" s="136">
        <v>35977</v>
      </c>
      <c r="G130" s="120"/>
      <c r="H130" s="121"/>
      <c r="I130" s="122"/>
      <c r="J130" s="143"/>
      <c r="K130" s="124"/>
      <c r="L130" s="125"/>
    </row>
    <row r="131" spans="1:17" s="12" customFormat="1" ht="10.15" customHeight="1" x14ac:dyDescent="0.2">
      <c r="A131" s="113" t="s">
        <v>17</v>
      </c>
      <c r="B131" s="126">
        <v>562</v>
      </c>
      <c r="C131" s="127" t="s">
        <v>124</v>
      </c>
      <c r="D131" s="128"/>
      <c r="E131" s="129">
        <v>157.58000000000001</v>
      </c>
      <c r="F131" s="130">
        <v>35278</v>
      </c>
      <c r="G131" s="131"/>
      <c r="H131" s="121"/>
      <c r="I131" s="132"/>
      <c r="J131" s="182"/>
      <c r="K131" s="134"/>
      <c r="L131" s="135"/>
      <c r="M131"/>
      <c r="N131"/>
    </row>
    <row r="132" spans="1:17" s="12" customFormat="1" ht="10.15" customHeight="1" x14ac:dyDescent="0.2">
      <c r="A132" s="113" t="s">
        <v>20</v>
      </c>
      <c r="B132" s="113">
        <v>408</v>
      </c>
      <c r="C132" s="116" t="s">
        <v>153</v>
      </c>
      <c r="D132" s="149"/>
      <c r="E132" s="118">
        <v>144.28</v>
      </c>
      <c r="F132" s="136">
        <v>36434</v>
      </c>
      <c r="G132" s="120"/>
      <c r="H132" s="121"/>
      <c r="I132" s="122"/>
      <c r="J132" s="143"/>
      <c r="K132" s="124"/>
      <c r="L132" s="125"/>
    </row>
    <row r="133" spans="1:17" ht="10.15" customHeight="1" x14ac:dyDescent="0.2">
      <c r="A133" s="113" t="s">
        <v>17</v>
      </c>
      <c r="B133" s="113">
        <v>523</v>
      </c>
      <c r="C133" s="116" t="s">
        <v>157</v>
      </c>
      <c r="D133" s="149"/>
      <c r="E133" s="118">
        <v>223.52</v>
      </c>
      <c r="F133" s="136">
        <v>36161</v>
      </c>
      <c r="G133" s="120"/>
      <c r="H133" s="121"/>
      <c r="I133" s="122"/>
      <c r="J133" s="143"/>
      <c r="K133" s="124"/>
      <c r="L133" s="125"/>
      <c r="M133" s="12"/>
      <c r="N133" s="12"/>
    </row>
    <row r="134" spans="1:17" ht="10.15" customHeight="1" x14ac:dyDescent="0.2">
      <c r="A134" s="113" t="s">
        <v>23</v>
      </c>
      <c r="B134" s="113">
        <v>635</v>
      </c>
      <c r="C134" s="116" t="s">
        <v>424</v>
      </c>
      <c r="D134" s="117"/>
      <c r="E134" s="118">
        <f>15225565/92500</f>
        <v>164.6007027027027</v>
      </c>
      <c r="F134" s="136">
        <v>36770</v>
      </c>
      <c r="G134" s="120"/>
      <c r="H134" s="121"/>
      <c r="I134" s="122"/>
      <c r="J134" s="143"/>
      <c r="K134" s="124"/>
      <c r="L134" s="125"/>
    </row>
    <row r="135" spans="1:17" ht="10.15" customHeight="1" x14ac:dyDescent="0.2">
      <c r="A135" s="113" t="s">
        <v>24</v>
      </c>
      <c r="B135" s="113">
        <v>130</v>
      </c>
      <c r="C135" s="137" t="s">
        <v>431</v>
      </c>
      <c r="D135" s="117"/>
      <c r="E135" s="118">
        <f>4292437/27126</f>
        <v>158.24069158740693</v>
      </c>
      <c r="F135" s="136">
        <v>36739</v>
      </c>
      <c r="G135" s="120"/>
      <c r="H135" s="121"/>
      <c r="I135" s="122"/>
      <c r="J135" s="143"/>
      <c r="K135" s="124"/>
      <c r="L135" s="125"/>
    </row>
    <row r="136" spans="1:17" ht="10.15" customHeight="1" x14ac:dyDescent="0.2">
      <c r="A136" s="113" t="s">
        <v>20</v>
      </c>
      <c r="B136" s="113">
        <v>445</v>
      </c>
      <c r="C136" s="137" t="s">
        <v>433</v>
      </c>
      <c r="D136" s="117"/>
      <c r="E136" s="118">
        <f>7909028/67688</f>
        <v>116.8453492494977</v>
      </c>
      <c r="F136" s="136">
        <v>36678</v>
      </c>
      <c r="G136" s="120"/>
      <c r="H136" s="121"/>
      <c r="I136" s="122"/>
      <c r="J136" s="143"/>
      <c r="K136" s="124"/>
      <c r="L136" s="125"/>
    </row>
    <row r="137" spans="1:17" ht="10.15" customHeight="1" x14ac:dyDescent="0.2">
      <c r="A137" s="113" t="s">
        <v>20</v>
      </c>
      <c r="B137" s="113">
        <v>446</v>
      </c>
      <c r="C137" s="141" t="s">
        <v>438</v>
      </c>
      <c r="D137" s="117"/>
      <c r="E137" s="118">
        <f>7470589/53798</f>
        <v>138.86369381761403</v>
      </c>
      <c r="F137" s="136">
        <v>36935</v>
      </c>
      <c r="G137" s="120"/>
      <c r="H137" s="121"/>
      <c r="I137" s="122"/>
      <c r="J137" s="143"/>
      <c r="K137" s="144"/>
      <c r="L137" s="125"/>
    </row>
    <row r="138" spans="1:17" ht="10.15" customHeight="1" x14ac:dyDescent="0.2">
      <c r="A138" s="113" t="s">
        <v>18</v>
      </c>
      <c r="B138" s="113">
        <v>314</v>
      </c>
      <c r="C138" s="141" t="s">
        <v>451</v>
      </c>
      <c r="D138" s="117"/>
      <c r="E138" s="118">
        <f>9733337/65000</f>
        <v>149.74364615384616</v>
      </c>
      <c r="F138" s="136">
        <v>37165</v>
      </c>
      <c r="G138" s="120"/>
      <c r="H138" s="121"/>
      <c r="I138" s="122"/>
      <c r="J138" s="143"/>
      <c r="K138" s="144"/>
      <c r="L138" s="125"/>
    </row>
    <row r="139" spans="1:17" ht="10.15" customHeight="1" x14ac:dyDescent="0.2">
      <c r="A139" s="113" t="s">
        <v>23</v>
      </c>
      <c r="B139" s="113">
        <v>638</v>
      </c>
      <c r="C139" s="137" t="s">
        <v>458</v>
      </c>
      <c r="D139" s="117"/>
      <c r="E139" s="118">
        <f>8035608/66930</f>
        <v>120.05988346033169</v>
      </c>
      <c r="F139" s="136">
        <v>36923</v>
      </c>
      <c r="G139" s="120"/>
      <c r="H139" s="121"/>
      <c r="I139" s="122"/>
      <c r="J139" s="143"/>
      <c r="K139" s="144"/>
      <c r="L139" s="125"/>
    </row>
    <row r="140" spans="1:17" ht="10.15" customHeight="1" x14ac:dyDescent="0.2">
      <c r="A140" s="113" t="s">
        <v>18</v>
      </c>
      <c r="B140" s="113">
        <v>314</v>
      </c>
      <c r="C140" s="141" t="s">
        <v>465</v>
      </c>
      <c r="D140" s="117"/>
      <c r="E140" s="118">
        <f>14494562/86000</f>
        <v>168.54141860465117</v>
      </c>
      <c r="F140" s="142">
        <v>37494</v>
      </c>
      <c r="G140" s="120"/>
      <c r="H140" s="121"/>
      <c r="I140" s="122"/>
      <c r="J140" s="143"/>
      <c r="K140" s="183"/>
      <c r="L140" s="125"/>
    </row>
    <row r="141" spans="1:17" ht="10.15" customHeight="1" x14ac:dyDescent="0.2">
      <c r="A141" s="113" t="s">
        <v>23</v>
      </c>
      <c r="B141" s="113">
        <v>638</v>
      </c>
      <c r="C141" s="137" t="s">
        <v>467</v>
      </c>
      <c r="D141" s="117"/>
      <c r="E141" s="118">
        <f>6157989/64589</f>
        <v>95.341141680471907</v>
      </c>
      <c r="F141" s="139">
        <v>37539</v>
      </c>
      <c r="G141" s="120"/>
      <c r="H141" s="121"/>
      <c r="I141" s="122"/>
      <c r="J141" s="143"/>
      <c r="K141" s="144"/>
      <c r="L141" s="125"/>
      <c r="O141" s="15"/>
      <c r="P141" s="12"/>
      <c r="Q141" s="12"/>
    </row>
    <row r="142" spans="1:17" ht="10.15" customHeight="1" x14ac:dyDescent="0.2">
      <c r="A142" s="113" t="s">
        <v>19</v>
      </c>
      <c r="B142" s="113">
        <v>216</v>
      </c>
      <c r="C142" s="137" t="s">
        <v>474</v>
      </c>
      <c r="D142" s="117"/>
      <c r="E142" s="118">
        <f>52735328/299092</f>
        <v>176.31808273039735</v>
      </c>
      <c r="F142" s="139">
        <v>37746</v>
      </c>
      <c r="G142" s="120">
        <v>3745</v>
      </c>
      <c r="H142" s="162">
        <v>7289</v>
      </c>
      <c r="I142" s="122">
        <f>ROUND(H142/G142,5)</f>
        <v>1.9463299999999999</v>
      </c>
      <c r="J142" s="143">
        <f>ROUND(E142*I142,2)</f>
        <v>343.17</v>
      </c>
      <c r="K142" s="144">
        <v>299092</v>
      </c>
      <c r="L142" s="125">
        <f>ROUND(J142*K142,0)</f>
        <v>102639402</v>
      </c>
      <c r="M142" s="15"/>
      <c r="N142" s="15"/>
      <c r="O142" s="15"/>
      <c r="P142" s="12"/>
      <c r="Q142" s="12"/>
    </row>
    <row r="143" spans="1:17" ht="10.15" customHeight="1" x14ac:dyDescent="0.2">
      <c r="A143" s="113" t="s">
        <v>17</v>
      </c>
      <c r="B143" s="113">
        <v>549</v>
      </c>
      <c r="C143" s="137" t="s">
        <v>479</v>
      </c>
      <c r="D143" s="117"/>
      <c r="E143" s="118">
        <f>15040910/75592</f>
        <v>198.97489152291249</v>
      </c>
      <c r="F143" s="139">
        <v>37720</v>
      </c>
      <c r="G143" s="120">
        <v>3652</v>
      </c>
      <c r="H143" s="162">
        <v>7289</v>
      </c>
      <c r="I143" s="122">
        <f>ROUND(H143/G143,5)</f>
        <v>1.9958899999999999</v>
      </c>
      <c r="J143" s="143">
        <f>ROUND(E143*I143,2)</f>
        <v>397.13</v>
      </c>
      <c r="K143" s="144">
        <v>75592</v>
      </c>
      <c r="L143" s="125">
        <f>ROUND(J143*K143,0)</f>
        <v>30019851</v>
      </c>
      <c r="M143" s="15"/>
      <c r="N143" s="15"/>
      <c r="O143" s="15"/>
      <c r="P143" s="12"/>
      <c r="Q143" s="12"/>
    </row>
    <row r="144" spans="1:17" ht="10.15" customHeight="1" x14ac:dyDescent="0.2">
      <c r="A144" s="113" t="s">
        <v>19</v>
      </c>
      <c r="B144" s="113">
        <v>207</v>
      </c>
      <c r="C144" s="137" t="s">
        <v>491</v>
      </c>
      <c r="D144" s="117"/>
      <c r="E144" s="118">
        <f>39566774/184678</f>
        <v>214.24736027030832</v>
      </c>
      <c r="F144" s="139">
        <v>38261</v>
      </c>
      <c r="G144" s="120">
        <v>4129</v>
      </c>
      <c r="H144" s="162">
        <v>7289</v>
      </c>
      <c r="I144" s="122">
        <f>ROUND(H144/G144,5)</f>
        <v>1.76532</v>
      </c>
      <c r="J144" s="143">
        <f>ROUND(E144*I144,2)</f>
        <v>378.22</v>
      </c>
      <c r="K144" s="144">
        <v>184678</v>
      </c>
      <c r="L144" s="125">
        <f>ROUND(J144*K144,0)</f>
        <v>69848913</v>
      </c>
      <c r="M144" s="15"/>
      <c r="N144" s="15"/>
      <c r="O144" s="15"/>
      <c r="P144" s="12"/>
      <c r="Q144" s="12"/>
    </row>
    <row r="145" spans="1:15" ht="10.15" customHeight="1" x14ac:dyDescent="0.2">
      <c r="A145" s="146" t="s">
        <v>17</v>
      </c>
      <c r="B145" s="147">
        <v>501</v>
      </c>
      <c r="C145" s="137" t="s">
        <v>497</v>
      </c>
      <c r="D145" s="117"/>
      <c r="E145" s="118">
        <f>3800000/15237</f>
        <v>249.39292511649276</v>
      </c>
      <c r="F145" s="139">
        <v>38169</v>
      </c>
      <c r="G145" s="120">
        <v>4013</v>
      </c>
      <c r="H145" s="162">
        <v>7289</v>
      </c>
      <c r="I145" s="122">
        <f>ROUND(H145/G145,5)</f>
        <v>1.8163499999999999</v>
      </c>
      <c r="J145" s="143">
        <f>ROUND(E145*I145,2)</f>
        <v>452.98</v>
      </c>
      <c r="K145" s="144">
        <v>15237</v>
      </c>
      <c r="L145" s="125">
        <f>ROUND(J145*K145,0)</f>
        <v>6902056</v>
      </c>
      <c r="M145" s="15"/>
      <c r="N145" s="15"/>
      <c r="O145" s="19"/>
    </row>
    <row r="146" spans="1:15" ht="10.15" customHeight="1" x14ac:dyDescent="0.2">
      <c r="A146" s="146" t="s">
        <v>23</v>
      </c>
      <c r="B146" s="147">
        <v>611</v>
      </c>
      <c r="C146" s="137" t="s">
        <v>499</v>
      </c>
      <c r="D146" s="117"/>
      <c r="E146" s="118">
        <f>9931043/41629</f>
        <v>238.56069086454156</v>
      </c>
      <c r="F146" s="139">
        <v>38081</v>
      </c>
      <c r="G146" s="120">
        <v>3956</v>
      </c>
      <c r="H146" s="162">
        <v>7289</v>
      </c>
      <c r="I146" s="122">
        <f t="shared" ref="I146:I153" si="17">ROUND(H146/G146,5)</f>
        <v>1.8425199999999999</v>
      </c>
      <c r="J146" s="143">
        <f t="shared" ref="J146:J153" si="18">ROUND(E146*I146,2)</f>
        <v>439.55</v>
      </c>
      <c r="K146" s="144">
        <v>41629</v>
      </c>
      <c r="L146" s="125">
        <f t="shared" ref="L146:L153" si="19">ROUND(J146*K146,0)</f>
        <v>18298027</v>
      </c>
      <c r="M146" s="19"/>
      <c r="N146" s="19"/>
      <c r="O146" s="19"/>
    </row>
    <row r="147" spans="1:15" ht="10.15" customHeight="1" x14ac:dyDescent="0.2">
      <c r="A147" s="146" t="s">
        <v>20</v>
      </c>
      <c r="B147" s="147">
        <v>501</v>
      </c>
      <c r="C147" s="137" t="s">
        <v>427</v>
      </c>
      <c r="D147" s="117"/>
      <c r="E147" s="118">
        <f>18989000/114000</f>
        <v>166.57017543859649</v>
      </c>
      <c r="F147" s="139">
        <v>38081</v>
      </c>
      <c r="G147" s="120">
        <v>3956</v>
      </c>
      <c r="H147" s="162">
        <v>7289</v>
      </c>
      <c r="I147" s="122">
        <f t="shared" si="17"/>
        <v>1.8425199999999999</v>
      </c>
      <c r="J147" s="143">
        <f t="shared" si="18"/>
        <v>306.91000000000003</v>
      </c>
      <c r="K147" s="144">
        <v>114000</v>
      </c>
      <c r="L147" s="125">
        <f t="shared" si="19"/>
        <v>34987740</v>
      </c>
      <c r="M147" s="19"/>
      <c r="N147" s="19"/>
      <c r="O147" s="19"/>
    </row>
    <row r="148" spans="1:15" ht="10.15" customHeight="1" x14ac:dyDescent="0.2">
      <c r="A148" s="146" t="s">
        <v>24</v>
      </c>
      <c r="B148" s="147">
        <v>201</v>
      </c>
      <c r="C148" s="145" t="s">
        <v>514</v>
      </c>
      <c r="D148" s="117"/>
      <c r="E148" s="118">
        <f>2382348/8566</f>
        <v>278.11674060238153</v>
      </c>
      <c r="F148" s="148">
        <v>38436</v>
      </c>
      <c r="G148" s="120">
        <v>4127</v>
      </c>
      <c r="H148" s="162">
        <v>7289</v>
      </c>
      <c r="I148" s="122">
        <f t="shared" si="17"/>
        <v>1.76617</v>
      </c>
      <c r="J148" s="143">
        <f t="shared" si="18"/>
        <v>491.2</v>
      </c>
      <c r="K148" s="144">
        <v>8566</v>
      </c>
      <c r="L148" s="125">
        <f t="shared" si="19"/>
        <v>4207619</v>
      </c>
      <c r="M148" s="19"/>
      <c r="N148" s="19"/>
      <c r="O148" s="19"/>
    </row>
    <row r="149" spans="1:15" ht="10.15" customHeight="1" x14ac:dyDescent="0.2">
      <c r="A149" s="146" t="s">
        <v>19</v>
      </c>
      <c r="B149" s="147">
        <v>236</v>
      </c>
      <c r="C149" s="137" t="s">
        <v>516</v>
      </c>
      <c r="D149" s="117"/>
      <c r="E149" s="118">
        <f>54697493/143880</f>
        <v>380.16050180706145</v>
      </c>
      <c r="F149" s="148">
        <v>38597</v>
      </c>
      <c r="G149" s="120">
        <v>4242</v>
      </c>
      <c r="H149" s="162">
        <v>7289</v>
      </c>
      <c r="I149" s="122">
        <f t="shared" si="17"/>
        <v>1.7182900000000001</v>
      </c>
      <c r="J149" s="143">
        <f t="shared" si="18"/>
        <v>653.23</v>
      </c>
      <c r="K149" s="144">
        <v>143880</v>
      </c>
      <c r="L149" s="125">
        <f t="shared" si="19"/>
        <v>93986732</v>
      </c>
      <c r="M149" s="19"/>
      <c r="N149" s="19"/>
    </row>
    <row r="150" spans="1:15" ht="10.15" customHeight="1" x14ac:dyDescent="0.2">
      <c r="A150" s="146" t="s">
        <v>23</v>
      </c>
      <c r="B150" s="147">
        <v>603</v>
      </c>
      <c r="C150" s="137" t="s">
        <v>519</v>
      </c>
      <c r="D150" s="117"/>
      <c r="E150" s="118">
        <f>8477488/40919</f>
        <v>207.17730149808156</v>
      </c>
      <c r="F150" s="148">
        <v>38376</v>
      </c>
      <c r="G150" s="120">
        <v>4112</v>
      </c>
      <c r="H150" s="162">
        <v>7289</v>
      </c>
      <c r="I150" s="122">
        <f t="shared" si="17"/>
        <v>1.7726200000000001</v>
      </c>
      <c r="J150" s="143">
        <f t="shared" si="18"/>
        <v>367.25</v>
      </c>
      <c r="K150" s="144">
        <v>40919</v>
      </c>
      <c r="L150" s="125">
        <f t="shared" si="19"/>
        <v>15027503</v>
      </c>
    </row>
    <row r="151" spans="1:15" ht="10.15" customHeight="1" x14ac:dyDescent="0.2">
      <c r="A151" s="146" t="s">
        <v>24</v>
      </c>
      <c r="B151" s="147">
        <v>202</v>
      </c>
      <c r="C151" s="137" t="s">
        <v>535</v>
      </c>
      <c r="D151" s="117"/>
      <c r="E151" s="118">
        <f>26888481/51000</f>
        <v>527.22511764705882</v>
      </c>
      <c r="F151" s="148">
        <v>38899</v>
      </c>
      <c r="G151" s="120">
        <v>4356</v>
      </c>
      <c r="H151" s="162">
        <v>7289</v>
      </c>
      <c r="I151" s="122">
        <f t="shared" si="17"/>
        <v>1.6733199999999999</v>
      </c>
      <c r="J151" s="143">
        <f t="shared" si="18"/>
        <v>882.22</v>
      </c>
      <c r="K151" s="144">
        <v>51000</v>
      </c>
      <c r="L151" s="125">
        <f t="shared" si="19"/>
        <v>44993220</v>
      </c>
    </row>
    <row r="152" spans="1:15" ht="10.15" customHeight="1" x14ac:dyDescent="0.2">
      <c r="A152" s="146" t="s">
        <v>24</v>
      </c>
      <c r="B152" s="147">
        <v>242</v>
      </c>
      <c r="C152" s="137" t="s">
        <v>538</v>
      </c>
      <c r="D152" s="117"/>
      <c r="E152" s="118">
        <f>3292498/9175</f>
        <v>358.85536784741146</v>
      </c>
      <c r="F152" s="148">
        <v>38991</v>
      </c>
      <c r="G152" s="120">
        <v>4431</v>
      </c>
      <c r="H152" s="162">
        <v>7289</v>
      </c>
      <c r="I152" s="122">
        <f t="shared" si="17"/>
        <v>1.645</v>
      </c>
      <c r="J152" s="143">
        <f t="shared" si="18"/>
        <v>590.32000000000005</v>
      </c>
      <c r="K152" s="144">
        <v>9175</v>
      </c>
      <c r="L152" s="125">
        <f t="shared" si="19"/>
        <v>5416186</v>
      </c>
    </row>
    <row r="153" spans="1:15" ht="10.15" customHeight="1" x14ac:dyDescent="0.2">
      <c r="A153" s="146" t="s">
        <v>19</v>
      </c>
      <c r="B153" s="147">
        <v>207</v>
      </c>
      <c r="C153" s="137" t="s">
        <v>539</v>
      </c>
      <c r="D153" s="117"/>
      <c r="E153" s="118">
        <f>27434757/101183</f>
        <v>271.13998398940532</v>
      </c>
      <c r="F153" s="148">
        <v>39052</v>
      </c>
      <c r="G153" s="120">
        <v>4441</v>
      </c>
      <c r="H153" s="162">
        <v>7289</v>
      </c>
      <c r="I153" s="122">
        <f t="shared" si="17"/>
        <v>1.6413</v>
      </c>
      <c r="J153" s="143">
        <f t="shared" si="18"/>
        <v>445.02</v>
      </c>
      <c r="K153" s="144">
        <v>101183</v>
      </c>
      <c r="L153" s="125">
        <f t="shared" si="19"/>
        <v>45028459</v>
      </c>
    </row>
    <row r="154" spans="1:15" s="12" customFormat="1" ht="10.15" customHeight="1" x14ac:dyDescent="0.2">
      <c r="A154" s="146" t="s">
        <v>19</v>
      </c>
      <c r="B154" s="147">
        <v>257</v>
      </c>
      <c r="C154" s="137" t="s">
        <v>540</v>
      </c>
      <c r="D154" s="117"/>
      <c r="E154" s="118">
        <f>47158114/180126</f>
        <v>261.80625784173299</v>
      </c>
      <c r="F154" s="148">
        <v>39052</v>
      </c>
      <c r="G154" s="120">
        <v>4441</v>
      </c>
      <c r="H154" s="162">
        <v>7289</v>
      </c>
      <c r="I154" s="122">
        <f t="shared" ref="I154:I161" si="20">ROUND(H154/G154,5)</f>
        <v>1.6413</v>
      </c>
      <c r="J154" s="143">
        <f t="shared" ref="J154:J161" si="21">ROUND(E154*I154,2)</f>
        <v>429.7</v>
      </c>
      <c r="K154" s="144">
        <v>180126</v>
      </c>
      <c r="L154" s="125">
        <f t="shared" ref="L154:L168" si="22">ROUND(J154*K154,0)</f>
        <v>77400142</v>
      </c>
      <c r="M154"/>
      <c r="N154"/>
    </row>
    <row r="155" spans="1:15" s="12" customFormat="1" ht="10.15" customHeight="1" x14ac:dyDescent="0.2">
      <c r="A155" s="146" t="s">
        <v>24</v>
      </c>
      <c r="B155" s="147">
        <v>269</v>
      </c>
      <c r="C155" s="137" t="s">
        <v>555</v>
      </c>
      <c r="D155" s="117"/>
      <c r="E155" s="118">
        <f>69643336/163000</f>
        <v>427.25973006134967</v>
      </c>
      <c r="F155" s="148">
        <v>39387</v>
      </c>
      <c r="G155" s="120">
        <v>4558</v>
      </c>
      <c r="H155" s="162">
        <v>7289</v>
      </c>
      <c r="I155" s="122">
        <f t="shared" si="20"/>
        <v>1.59917</v>
      </c>
      <c r="J155" s="143">
        <f t="shared" si="21"/>
        <v>683.26</v>
      </c>
      <c r="K155" s="144">
        <v>163000</v>
      </c>
      <c r="L155" s="125">
        <f t="shared" si="22"/>
        <v>111371380</v>
      </c>
    </row>
    <row r="156" spans="1:15" s="12" customFormat="1" ht="10.15" customHeight="1" x14ac:dyDescent="0.2">
      <c r="A156" s="146" t="s">
        <v>19</v>
      </c>
      <c r="B156" s="147">
        <v>274</v>
      </c>
      <c r="C156" s="137" t="s">
        <v>548</v>
      </c>
      <c r="D156" s="117"/>
      <c r="E156" s="118">
        <f>14730822/46245</f>
        <v>318.53869607525138</v>
      </c>
      <c r="F156" s="148">
        <v>39234</v>
      </c>
      <c r="G156" s="120">
        <v>4471</v>
      </c>
      <c r="H156" s="162">
        <v>7289</v>
      </c>
      <c r="I156" s="122">
        <f t="shared" si="20"/>
        <v>1.63028</v>
      </c>
      <c r="J156" s="143">
        <f t="shared" si="21"/>
        <v>519.30999999999995</v>
      </c>
      <c r="K156" s="144">
        <v>46245</v>
      </c>
      <c r="L156" s="125">
        <f t="shared" si="22"/>
        <v>24015491</v>
      </c>
    </row>
    <row r="157" spans="1:15" s="12" customFormat="1" ht="10.15" customHeight="1" x14ac:dyDescent="0.2">
      <c r="A157" s="146" t="s">
        <v>20</v>
      </c>
      <c r="B157" s="147">
        <v>513</v>
      </c>
      <c r="C157" s="137" t="s">
        <v>554</v>
      </c>
      <c r="D157" s="117"/>
      <c r="E157" s="118">
        <f>69170675/199269</f>
        <v>347.12210629852109</v>
      </c>
      <c r="F157" s="148">
        <v>39234</v>
      </c>
      <c r="G157" s="120">
        <v>4471</v>
      </c>
      <c r="H157" s="162">
        <v>7289</v>
      </c>
      <c r="I157" s="122">
        <f t="shared" si="20"/>
        <v>1.63028</v>
      </c>
      <c r="J157" s="143">
        <f t="shared" si="21"/>
        <v>565.91</v>
      </c>
      <c r="K157" s="144">
        <v>199269</v>
      </c>
      <c r="L157" s="125">
        <f t="shared" si="22"/>
        <v>112768320</v>
      </c>
    </row>
    <row r="158" spans="1:15" s="15" customFormat="1" ht="10.15" customHeight="1" x14ac:dyDescent="0.2">
      <c r="A158" s="146" t="s">
        <v>20</v>
      </c>
      <c r="B158" s="147">
        <v>521</v>
      </c>
      <c r="C158" s="137" t="s">
        <v>163</v>
      </c>
      <c r="D158" s="117"/>
      <c r="E158" s="118">
        <f>18627512/57917</f>
        <v>321.62425539996894</v>
      </c>
      <c r="F158" s="148">
        <v>39356</v>
      </c>
      <c r="G158" s="120">
        <v>4535</v>
      </c>
      <c r="H158" s="162">
        <v>7289</v>
      </c>
      <c r="I158" s="122">
        <f t="shared" si="20"/>
        <v>1.60728</v>
      </c>
      <c r="J158" s="143">
        <f t="shared" si="21"/>
        <v>516.94000000000005</v>
      </c>
      <c r="K158" s="144">
        <v>57917</v>
      </c>
      <c r="L158" s="125">
        <f t="shared" si="22"/>
        <v>29939614</v>
      </c>
      <c r="M158" s="12"/>
      <c r="N158" s="12"/>
    </row>
    <row r="159" spans="1:15" s="15" customFormat="1" ht="10.15" customHeight="1" x14ac:dyDescent="0.2">
      <c r="A159" s="146" t="s">
        <v>24</v>
      </c>
      <c r="B159" s="147">
        <v>275</v>
      </c>
      <c r="C159" s="137" t="s">
        <v>565</v>
      </c>
      <c r="D159" s="117"/>
      <c r="E159" s="118">
        <f>40775089/90000</f>
        <v>453.05654444444446</v>
      </c>
      <c r="F159" s="148">
        <v>39508</v>
      </c>
      <c r="G159" s="120">
        <v>4571</v>
      </c>
      <c r="H159" s="162">
        <v>7289</v>
      </c>
      <c r="I159" s="122">
        <f t="shared" si="20"/>
        <v>1.5946199999999999</v>
      </c>
      <c r="J159" s="143">
        <f t="shared" si="21"/>
        <v>722.45</v>
      </c>
      <c r="K159" s="144">
        <v>90000</v>
      </c>
      <c r="L159" s="125">
        <f t="shared" si="22"/>
        <v>65020500</v>
      </c>
    </row>
    <row r="160" spans="1:15" s="15" customFormat="1" ht="10.15" customHeight="1" x14ac:dyDescent="0.2">
      <c r="A160" s="146" t="s">
        <v>20</v>
      </c>
      <c r="B160" s="147">
        <v>530</v>
      </c>
      <c r="C160" s="137" t="s">
        <v>573</v>
      </c>
      <c r="D160" s="117"/>
      <c r="E160" s="118">
        <f>1149466/7000</f>
        <v>164.20942857142856</v>
      </c>
      <c r="F160" s="148">
        <v>39630</v>
      </c>
      <c r="G160" s="120">
        <v>4723</v>
      </c>
      <c r="H160" s="162">
        <v>7289</v>
      </c>
      <c r="I160" s="122">
        <f t="shared" si="20"/>
        <v>1.5432999999999999</v>
      </c>
      <c r="J160" s="143">
        <f t="shared" si="21"/>
        <v>253.42</v>
      </c>
      <c r="K160" s="144">
        <v>7000</v>
      </c>
      <c r="L160" s="125">
        <f t="shared" si="22"/>
        <v>1773940</v>
      </c>
    </row>
    <row r="161" spans="1:14" s="22" customFormat="1" ht="10.15" customHeight="1" x14ac:dyDescent="0.2">
      <c r="A161" s="113" t="s">
        <v>17</v>
      </c>
      <c r="B161" s="113"/>
      <c r="C161" s="145" t="s">
        <v>568</v>
      </c>
      <c r="D161" s="117"/>
      <c r="E161" s="118">
        <f>8950000/34466</f>
        <v>259.67620263448038</v>
      </c>
      <c r="F161" s="142">
        <v>39630</v>
      </c>
      <c r="G161" s="120">
        <v>4723</v>
      </c>
      <c r="H161" s="162">
        <v>7289</v>
      </c>
      <c r="I161" s="122">
        <f t="shared" si="20"/>
        <v>1.5432999999999999</v>
      </c>
      <c r="J161" s="143">
        <f t="shared" si="21"/>
        <v>400.76</v>
      </c>
      <c r="K161" s="144">
        <v>34466</v>
      </c>
      <c r="L161" s="125">
        <f t="shared" si="22"/>
        <v>13812594</v>
      </c>
      <c r="M161" s="15"/>
      <c r="N161" s="15"/>
    </row>
    <row r="162" spans="1:14" s="22" customFormat="1" ht="10.15" customHeight="1" x14ac:dyDescent="0.2">
      <c r="A162" s="113" t="s">
        <v>20</v>
      </c>
      <c r="B162" s="113">
        <v>521</v>
      </c>
      <c r="C162" s="145" t="s">
        <v>588</v>
      </c>
      <c r="D162" s="117"/>
      <c r="E162" s="118">
        <f>19179884/74710</f>
        <v>256.72445455762283</v>
      </c>
      <c r="F162" s="142">
        <v>39995</v>
      </c>
      <c r="G162" s="120">
        <v>4762</v>
      </c>
      <c r="H162" s="162">
        <v>7289</v>
      </c>
      <c r="I162" s="122">
        <f t="shared" ref="I162:I173" si="23">ROUND(H162/G162,5)</f>
        <v>1.5306599999999999</v>
      </c>
      <c r="J162" s="143">
        <f t="shared" ref="J162:J169" si="24">ROUND(E162*I162,2)</f>
        <v>392.96</v>
      </c>
      <c r="K162" s="144">
        <v>74710</v>
      </c>
      <c r="L162" s="125">
        <f t="shared" si="22"/>
        <v>29358042</v>
      </c>
    </row>
    <row r="163" spans="1:14" s="22" customFormat="1" ht="10.15" customHeight="1" x14ac:dyDescent="0.2">
      <c r="A163" s="113" t="s">
        <v>17</v>
      </c>
      <c r="B163" s="113">
        <v>550</v>
      </c>
      <c r="C163" s="145" t="s">
        <v>580</v>
      </c>
      <c r="D163" s="117"/>
      <c r="E163" s="118">
        <f>35573448/113535</f>
        <v>313.32582903950322</v>
      </c>
      <c r="F163" s="142">
        <v>39814</v>
      </c>
      <c r="G163" s="120">
        <v>4782</v>
      </c>
      <c r="H163" s="162">
        <v>7289</v>
      </c>
      <c r="I163" s="122">
        <f t="shared" si="23"/>
        <v>1.5242599999999999</v>
      </c>
      <c r="J163" s="143">
        <f t="shared" si="24"/>
        <v>477.59</v>
      </c>
      <c r="K163" s="144">
        <v>113535</v>
      </c>
      <c r="L163" s="125">
        <f t="shared" si="22"/>
        <v>54223181</v>
      </c>
    </row>
    <row r="164" spans="1:14" s="22" customFormat="1" ht="10.15" customHeight="1" x14ac:dyDescent="0.2">
      <c r="A164" s="113" t="s">
        <v>19</v>
      </c>
      <c r="B164" s="150"/>
      <c r="C164" s="145" t="s">
        <v>613</v>
      </c>
      <c r="D164" s="117"/>
      <c r="E164" s="118">
        <f>24880488/60337</f>
        <v>412.358718530918</v>
      </c>
      <c r="F164" s="142">
        <v>40360</v>
      </c>
      <c r="G164" s="120">
        <v>4910</v>
      </c>
      <c r="H164" s="162">
        <v>7289</v>
      </c>
      <c r="I164" s="122">
        <f t="shared" si="23"/>
        <v>1.4845200000000001</v>
      </c>
      <c r="J164" s="143">
        <f t="shared" si="24"/>
        <v>612.15</v>
      </c>
      <c r="K164" s="144">
        <v>60337</v>
      </c>
      <c r="L164" s="125">
        <f t="shared" si="22"/>
        <v>36935295</v>
      </c>
      <c r="M164" s="25"/>
    </row>
    <row r="165" spans="1:14" s="22" customFormat="1" ht="10.15" customHeight="1" x14ac:dyDescent="0.2">
      <c r="A165" s="113" t="s">
        <v>17</v>
      </c>
      <c r="B165" s="150"/>
      <c r="C165" s="145" t="s">
        <v>617</v>
      </c>
      <c r="D165" s="117"/>
      <c r="E165" s="118">
        <f>65347917/238516</f>
        <v>273.97707910580425</v>
      </c>
      <c r="F165" s="142">
        <v>40422</v>
      </c>
      <c r="G165" s="120">
        <v>4910</v>
      </c>
      <c r="H165" s="162">
        <v>7289</v>
      </c>
      <c r="I165" s="122">
        <f t="shared" si="23"/>
        <v>1.4845200000000001</v>
      </c>
      <c r="J165" s="143">
        <f t="shared" si="24"/>
        <v>406.72</v>
      </c>
      <c r="K165" s="144">
        <v>238516</v>
      </c>
      <c r="L165" s="125">
        <f t="shared" si="22"/>
        <v>97009228</v>
      </c>
      <c r="M165" s="25"/>
    </row>
    <row r="166" spans="1:14" s="22" customFormat="1" ht="10.15" customHeight="1" x14ac:dyDescent="0.2">
      <c r="A166" s="113" t="s">
        <v>24</v>
      </c>
      <c r="B166" s="150"/>
      <c r="C166" s="145" t="s">
        <v>624</v>
      </c>
      <c r="D166" s="117"/>
      <c r="E166" s="118">
        <f>46275000/114329</f>
        <v>404.75294982025559</v>
      </c>
      <c r="F166" s="142">
        <v>40575</v>
      </c>
      <c r="G166" s="120">
        <v>5007</v>
      </c>
      <c r="H166" s="162">
        <v>7289</v>
      </c>
      <c r="I166" s="122">
        <f t="shared" si="23"/>
        <v>1.4557599999999999</v>
      </c>
      <c r="J166" s="143">
        <f t="shared" si="24"/>
        <v>589.22</v>
      </c>
      <c r="K166" s="144">
        <v>114329</v>
      </c>
      <c r="L166" s="125">
        <f t="shared" si="22"/>
        <v>67364933</v>
      </c>
      <c r="M166" s="25"/>
    </row>
    <row r="167" spans="1:14" ht="10.15" customHeight="1" x14ac:dyDescent="0.2">
      <c r="A167" s="113" t="s">
        <v>24</v>
      </c>
      <c r="B167" s="150"/>
      <c r="C167" s="145" t="s">
        <v>636</v>
      </c>
      <c r="D167" s="117"/>
      <c r="E167" s="118">
        <f>20041724/18906</f>
        <v>1060.0721464085475</v>
      </c>
      <c r="F167" s="142">
        <v>40452</v>
      </c>
      <c r="G167" s="120">
        <v>4947</v>
      </c>
      <c r="H167" s="162">
        <v>7289</v>
      </c>
      <c r="I167" s="122">
        <f t="shared" si="23"/>
        <v>1.47342</v>
      </c>
      <c r="J167" s="143">
        <f t="shared" si="24"/>
        <v>1561.93</v>
      </c>
      <c r="K167" s="144">
        <v>18906</v>
      </c>
      <c r="L167" s="125">
        <f t="shared" si="22"/>
        <v>29529849</v>
      </c>
      <c r="M167" s="25"/>
      <c r="N167" s="22"/>
    </row>
    <row r="168" spans="1:14" s="12" customFormat="1" ht="10.15" customHeight="1" x14ac:dyDescent="0.2">
      <c r="A168" s="113" t="s">
        <v>24</v>
      </c>
      <c r="B168" s="150"/>
      <c r="C168" s="145" t="s">
        <v>685</v>
      </c>
      <c r="D168" s="117"/>
      <c r="E168" s="118">
        <f>66630000/111552</f>
        <v>597.29991394148021</v>
      </c>
      <c r="F168" s="142">
        <v>42567</v>
      </c>
      <c r="G168" s="120">
        <v>5659</v>
      </c>
      <c r="H168" s="162">
        <v>7289</v>
      </c>
      <c r="I168" s="122">
        <f t="shared" si="23"/>
        <v>1.2880400000000001</v>
      </c>
      <c r="J168" s="143">
        <f t="shared" si="24"/>
        <v>769.35</v>
      </c>
      <c r="K168" s="144">
        <v>111552</v>
      </c>
      <c r="L168" s="125">
        <f t="shared" si="22"/>
        <v>85822531</v>
      </c>
      <c r="M168" s="25"/>
      <c r="N168" s="22"/>
    </row>
    <row r="169" spans="1:14" s="12" customFormat="1" ht="10.15" customHeight="1" x14ac:dyDescent="0.2">
      <c r="A169" s="113" t="s">
        <v>128</v>
      </c>
      <c r="B169" s="150"/>
      <c r="C169" s="145" t="s">
        <v>684</v>
      </c>
      <c r="D169" s="117"/>
      <c r="E169" s="118">
        <f>COSTBASE!F2386/COSTBASE!G2386</f>
        <v>406.12130000000002</v>
      </c>
      <c r="F169" s="142">
        <v>42353</v>
      </c>
      <c r="G169" s="120">
        <v>5574</v>
      </c>
      <c r="H169" s="162">
        <v>7289</v>
      </c>
      <c r="I169" s="122">
        <f t="shared" si="23"/>
        <v>1.30768</v>
      </c>
      <c r="J169" s="143">
        <f t="shared" si="24"/>
        <v>531.08000000000004</v>
      </c>
      <c r="K169" s="144">
        <v>30000</v>
      </c>
      <c r="L169" s="125">
        <f>ROUND(J169*K169,0)</f>
        <v>15932400</v>
      </c>
      <c r="M169" s="25"/>
      <c r="N169" s="22"/>
    </row>
    <row r="170" spans="1:14" s="12" customFormat="1" ht="10.15" customHeight="1" x14ac:dyDescent="0.2">
      <c r="A170" s="113" t="s">
        <v>20</v>
      </c>
      <c r="B170" s="150"/>
      <c r="C170" s="184" t="s">
        <v>688</v>
      </c>
      <c r="D170" s="117"/>
      <c r="E170" s="118">
        <f>COSTBASE!F1177/COSTBASE!G1177</f>
        <v>424.11429922004254</v>
      </c>
      <c r="F170" s="185">
        <v>43100</v>
      </c>
      <c r="G170" s="120">
        <v>5914</v>
      </c>
      <c r="H170" s="162">
        <v>7289</v>
      </c>
      <c r="I170" s="122">
        <f t="shared" si="23"/>
        <v>1.2324999999999999</v>
      </c>
      <c r="J170" s="143">
        <f>ROUND(E170*I170,2)</f>
        <v>522.72</v>
      </c>
      <c r="K170" s="144">
        <v>105775</v>
      </c>
      <c r="L170" s="125">
        <f>ROUND(J170*K170,0)</f>
        <v>55290708</v>
      </c>
      <c r="M170" s="25"/>
      <c r="N170" s="22"/>
    </row>
    <row r="171" spans="1:14" s="12" customFormat="1" ht="10.15" customHeight="1" x14ac:dyDescent="0.2">
      <c r="A171" s="113" t="s">
        <v>24</v>
      </c>
      <c r="B171" s="150"/>
      <c r="C171" s="184" t="s">
        <v>699</v>
      </c>
      <c r="D171" s="117"/>
      <c r="E171" s="118">
        <f>COSTBASE!F424/COSTBASE!G424</f>
        <v>292.65507633366229</v>
      </c>
      <c r="F171" s="185">
        <v>43070</v>
      </c>
      <c r="G171" s="120">
        <v>5914</v>
      </c>
      <c r="H171" s="162">
        <v>7289</v>
      </c>
      <c r="I171" s="122">
        <f t="shared" si="23"/>
        <v>1.2324999999999999</v>
      </c>
      <c r="J171" s="143">
        <f>ROUND(E171*I171,2)</f>
        <v>360.7</v>
      </c>
      <c r="K171" s="144">
        <v>51681</v>
      </c>
      <c r="L171" s="125">
        <f>ROUND(J171*K171,0)</f>
        <v>18641337</v>
      </c>
      <c r="M171" s="25"/>
      <c r="N171" s="22"/>
    </row>
    <row r="172" spans="1:14" s="12" customFormat="1" ht="10.15" customHeight="1" x14ac:dyDescent="0.2">
      <c r="A172" s="113" t="s">
        <v>24</v>
      </c>
      <c r="B172" s="150"/>
      <c r="C172" s="141" t="s">
        <v>704</v>
      </c>
      <c r="D172" s="117"/>
      <c r="E172" s="118">
        <f>COSTBASE!F431/COSTBASE!G431</f>
        <v>375.31187624750498</v>
      </c>
      <c r="F172" s="185">
        <v>43283</v>
      </c>
      <c r="G172" s="120">
        <v>6043</v>
      </c>
      <c r="H172" s="162">
        <v>7289</v>
      </c>
      <c r="I172" s="122">
        <f t="shared" si="23"/>
        <v>1.2061900000000001</v>
      </c>
      <c r="J172" s="143">
        <f>ROUND(E172*I172,2)</f>
        <v>452.7</v>
      </c>
      <c r="K172" s="144">
        <v>8016</v>
      </c>
      <c r="L172" s="125">
        <f>ROUND(J172*K172,0)</f>
        <v>3628843</v>
      </c>
      <c r="M172" s="25"/>
      <c r="N172" s="22"/>
    </row>
    <row r="173" spans="1:14" s="12" customFormat="1" ht="10.15" customHeight="1" x14ac:dyDescent="0.2">
      <c r="A173" s="113" t="s">
        <v>19</v>
      </c>
      <c r="B173" s="150"/>
      <c r="C173" s="141" t="s">
        <v>733</v>
      </c>
      <c r="D173" s="117"/>
      <c r="E173" s="118">
        <f>COSTBASE!F728/COSTBASE!G728</f>
        <v>393.08074078216976</v>
      </c>
      <c r="F173" s="185">
        <v>43802</v>
      </c>
      <c r="G173" s="120">
        <v>6199</v>
      </c>
      <c r="H173" s="162">
        <v>7289</v>
      </c>
      <c r="I173" s="122">
        <f t="shared" si="23"/>
        <v>1.1758299999999999</v>
      </c>
      <c r="J173" s="143">
        <f>ROUND(E173*I173,2)</f>
        <v>462.2</v>
      </c>
      <c r="K173" s="144">
        <v>143038</v>
      </c>
      <c r="L173" s="125">
        <f>ROUND(J173*K173,0)</f>
        <v>66112164</v>
      </c>
      <c r="M173" s="25"/>
      <c r="N173" s="22"/>
    </row>
    <row r="174" spans="1:14" s="30" customFormat="1" ht="10.5" customHeight="1" x14ac:dyDescent="0.2">
      <c r="A174" s="164"/>
      <c r="B174" s="165"/>
      <c r="C174" s="166"/>
      <c r="D174" s="167"/>
      <c r="E174" s="168"/>
      <c r="F174" s="169"/>
      <c r="G174" s="170"/>
      <c r="H174" s="120"/>
      <c r="I174" s="171"/>
      <c r="J174" s="172"/>
      <c r="K174" s="173"/>
      <c r="L174" s="174"/>
      <c r="M174" s="29"/>
      <c r="N174" s="29"/>
    </row>
    <row r="175" spans="1:14" ht="10.15" customHeight="1" x14ac:dyDescent="0.2">
      <c r="A175" s="149"/>
      <c r="B175" s="149"/>
      <c r="C175" s="113" t="s">
        <v>33</v>
      </c>
      <c r="D175" s="149"/>
      <c r="E175" s="152"/>
      <c r="F175" s="153"/>
      <c r="G175" s="152"/>
      <c r="H175" s="152"/>
      <c r="I175" s="154"/>
      <c r="J175" s="152"/>
      <c r="K175" s="155">
        <f>SUM(K124:K174)</f>
        <v>2933369</v>
      </c>
      <c r="L175" s="155">
        <f>SUM(L124:L174)</f>
        <v>1467306200</v>
      </c>
    </row>
    <row r="176" spans="1:14" ht="10.15" customHeight="1" x14ac:dyDescent="0.2">
      <c r="A176" s="149"/>
      <c r="B176" s="149"/>
      <c r="C176" s="117"/>
      <c r="D176" s="117"/>
      <c r="E176" s="156"/>
      <c r="F176" s="153"/>
      <c r="G176" s="156"/>
      <c r="H176" s="156"/>
      <c r="I176" s="154"/>
      <c r="J176" s="152"/>
      <c r="K176" s="181"/>
      <c r="L176" s="181"/>
    </row>
    <row r="177" spans="1:14" ht="10.15" customHeight="1" x14ac:dyDescent="0.2">
      <c r="A177" s="149"/>
      <c r="B177" s="149"/>
      <c r="C177" s="159" t="s">
        <v>62</v>
      </c>
      <c r="D177" s="149"/>
      <c r="E177" s="152"/>
      <c r="F177" s="186"/>
      <c r="G177" s="187"/>
      <c r="H177" s="152"/>
      <c r="I177" s="154"/>
      <c r="J177" s="160">
        <f>(L175/K175)</f>
        <v>500.21194060481309</v>
      </c>
      <c r="K177" s="181"/>
      <c r="L177" s="149"/>
    </row>
    <row r="178" spans="1:14" ht="11.25" x14ac:dyDescent="0.2">
      <c r="A178" s="149"/>
      <c r="B178" s="149"/>
      <c r="C178" s="117"/>
      <c r="D178" s="117"/>
      <c r="E178" s="117"/>
      <c r="F178" s="153"/>
      <c r="G178" s="117"/>
      <c r="H178" s="156"/>
      <c r="I178" s="157"/>
      <c r="J178" s="117"/>
      <c r="K178" s="117"/>
      <c r="L178" s="117"/>
    </row>
    <row r="179" spans="1:14" ht="10.15" customHeight="1" x14ac:dyDescent="0.2">
      <c r="A179" s="161" t="s">
        <v>63</v>
      </c>
      <c r="B179" s="149"/>
      <c r="C179" s="117"/>
      <c r="D179" s="117"/>
      <c r="E179" s="156"/>
      <c r="F179" s="153"/>
      <c r="G179" s="156"/>
      <c r="H179" s="156"/>
      <c r="I179" s="157"/>
      <c r="J179" s="156"/>
      <c r="K179" s="158"/>
      <c r="L179" s="158"/>
    </row>
    <row r="180" spans="1:14" ht="10.15" customHeight="1" x14ac:dyDescent="0.2">
      <c r="A180" s="113" t="s">
        <v>21</v>
      </c>
      <c r="B180" s="113">
        <v>905</v>
      </c>
      <c r="C180" s="116" t="s">
        <v>71</v>
      </c>
      <c r="D180" s="117"/>
      <c r="E180" s="118">
        <v>103.75</v>
      </c>
      <c r="F180" s="136">
        <v>35462</v>
      </c>
      <c r="G180" s="120"/>
      <c r="H180" s="121"/>
      <c r="I180" s="122"/>
      <c r="J180" s="123"/>
      <c r="K180" s="124"/>
      <c r="L180" s="125"/>
    </row>
    <row r="181" spans="1:14" ht="10.15" customHeight="1" x14ac:dyDescent="0.2">
      <c r="A181" s="113" t="s">
        <v>19</v>
      </c>
      <c r="B181" s="113">
        <v>292</v>
      </c>
      <c r="C181" s="116" t="s">
        <v>72</v>
      </c>
      <c r="D181" s="117"/>
      <c r="E181" s="118">
        <v>120.7</v>
      </c>
      <c r="F181" s="136">
        <v>35612</v>
      </c>
      <c r="G181" s="120"/>
      <c r="H181" s="121"/>
      <c r="I181" s="122"/>
      <c r="J181" s="123"/>
      <c r="K181" s="124"/>
      <c r="L181" s="125"/>
    </row>
    <row r="182" spans="1:14" ht="10.15" customHeight="1" x14ac:dyDescent="0.2">
      <c r="A182" s="113" t="s">
        <v>22</v>
      </c>
      <c r="B182" s="113">
        <v>804</v>
      </c>
      <c r="C182" s="116" t="s">
        <v>73</v>
      </c>
      <c r="D182" s="117"/>
      <c r="E182" s="118">
        <v>80.849999999999994</v>
      </c>
      <c r="F182" s="136">
        <v>35674</v>
      </c>
      <c r="G182" s="120"/>
      <c r="H182" s="121"/>
      <c r="I182" s="122"/>
      <c r="J182" s="123"/>
      <c r="K182" s="124"/>
      <c r="L182" s="125"/>
    </row>
    <row r="183" spans="1:14" ht="10.15" customHeight="1" x14ac:dyDescent="0.2">
      <c r="A183" s="113" t="s">
        <v>29</v>
      </c>
      <c r="B183" s="113">
        <v>719</v>
      </c>
      <c r="C183" s="116" t="s">
        <v>61</v>
      </c>
      <c r="D183" s="117"/>
      <c r="E183" s="118">
        <v>82.77</v>
      </c>
      <c r="F183" s="136">
        <v>35765</v>
      </c>
      <c r="G183" s="120"/>
      <c r="H183" s="121"/>
      <c r="I183" s="122"/>
      <c r="J183" s="123"/>
      <c r="K183" s="124"/>
      <c r="L183" s="125"/>
    </row>
    <row r="184" spans="1:14" ht="10.15" customHeight="1" x14ac:dyDescent="0.2">
      <c r="A184" s="113" t="s">
        <v>24</v>
      </c>
      <c r="B184" s="126">
        <v>175</v>
      </c>
      <c r="C184" s="127" t="s">
        <v>119</v>
      </c>
      <c r="D184" s="128"/>
      <c r="E184" s="129">
        <v>101.14</v>
      </c>
      <c r="F184" s="130">
        <v>35125</v>
      </c>
      <c r="G184" s="131"/>
      <c r="H184" s="121"/>
      <c r="I184" s="132"/>
      <c r="J184" s="133"/>
      <c r="K184" s="134"/>
      <c r="L184" s="135"/>
    </row>
    <row r="185" spans="1:14" ht="10.15" customHeight="1" x14ac:dyDescent="0.2">
      <c r="A185" s="113" t="s">
        <v>24</v>
      </c>
      <c r="B185" s="126">
        <v>141</v>
      </c>
      <c r="C185" s="127" t="s">
        <v>120</v>
      </c>
      <c r="D185" s="128"/>
      <c r="E185" s="129">
        <v>137.41</v>
      </c>
      <c r="F185" s="130">
        <v>35521</v>
      </c>
      <c r="G185" s="131"/>
      <c r="H185" s="121"/>
      <c r="I185" s="132"/>
      <c r="J185" s="133"/>
      <c r="K185" s="134"/>
      <c r="L185" s="135"/>
    </row>
    <row r="186" spans="1:14" ht="10.15" customHeight="1" x14ac:dyDescent="0.2">
      <c r="A186" s="113" t="s">
        <v>19</v>
      </c>
      <c r="B186" s="113">
        <v>222</v>
      </c>
      <c r="C186" s="116" t="s">
        <v>125</v>
      </c>
      <c r="D186" s="117"/>
      <c r="E186" s="118">
        <v>143.12</v>
      </c>
      <c r="F186" s="136">
        <v>36039</v>
      </c>
      <c r="G186" s="120"/>
      <c r="H186" s="121"/>
      <c r="I186" s="122"/>
      <c r="J186" s="123"/>
      <c r="K186" s="124"/>
      <c r="L186" s="125"/>
    </row>
    <row r="187" spans="1:14" ht="10.15" customHeight="1" x14ac:dyDescent="0.2">
      <c r="A187" s="113" t="s">
        <v>19</v>
      </c>
      <c r="B187" s="126">
        <v>204</v>
      </c>
      <c r="C187" s="127" t="s">
        <v>126</v>
      </c>
      <c r="D187" s="128"/>
      <c r="E187" s="129">
        <v>101.45</v>
      </c>
      <c r="F187" s="130">
        <v>33573</v>
      </c>
      <c r="G187" s="131"/>
      <c r="H187" s="121"/>
      <c r="I187" s="132"/>
      <c r="J187" s="133"/>
      <c r="K187" s="134"/>
      <c r="L187" s="135"/>
    </row>
    <row r="188" spans="1:14" ht="10.15" customHeight="1" x14ac:dyDescent="0.2">
      <c r="A188" s="113" t="s">
        <v>19</v>
      </c>
      <c r="B188" s="126">
        <v>204</v>
      </c>
      <c r="C188" s="127" t="s">
        <v>127</v>
      </c>
      <c r="D188" s="128"/>
      <c r="E188" s="129">
        <v>106.83</v>
      </c>
      <c r="F188" s="130">
        <v>34455</v>
      </c>
      <c r="G188" s="131"/>
      <c r="H188" s="121"/>
      <c r="I188" s="132"/>
      <c r="J188" s="133"/>
      <c r="K188" s="134"/>
      <c r="L188" s="135"/>
    </row>
    <row r="189" spans="1:14" ht="10.15" customHeight="1" x14ac:dyDescent="0.2">
      <c r="A189" s="113" t="s">
        <v>20</v>
      </c>
      <c r="B189" s="126">
        <v>424</v>
      </c>
      <c r="C189" s="127" t="s">
        <v>113</v>
      </c>
      <c r="D189" s="128"/>
      <c r="E189" s="129">
        <v>110.11</v>
      </c>
      <c r="F189" s="130">
        <v>35462</v>
      </c>
      <c r="G189" s="131"/>
      <c r="H189" s="121"/>
      <c r="I189" s="132"/>
      <c r="J189" s="133"/>
      <c r="K189" s="134"/>
      <c r="L189" s="135"/>
    </row>
    <row r="190" spans="1:14" ht="10.15" customHeight="1" x14ac:dyDescent="0.2">
      <c r="A190" s="113" t="s">
        <v>17</v>
      </c>
      <c r="B190" s="126">
        <v>566</v>
      </c>
      <c r="C190" s="127" t="s">
        <v>116</v>
      </c>
      <c r="D190" s="128"/>
      <c r="E190" s="129">
        <v>115.8</v>
      </c>
      <c r="F190" s="130">
        <v>35034</v>
      </c>
      <c r="G190" s="131"/>
      <c r="H190" s="121"/>
      <c r="I190" s="132"/>
      <c r="J190" s="133"/>
      <c r="K190" s="134"/>
      <c r="L190" s="135"/>
    </row>
    <row r="191" spans="1:14" ht="10.15" customHeight="1" x14ac:dyDescent="0.2">
      <c r="A191" s="113" t="s">
        <v>128</v>
      </c>
      <c r="B191" s="113">
        <v>1008</v>
      </c>
      <c r="C191" s="116" t="s">
        <v>129</v>
      </c>
      <c r="D191" s="117"/>
      <c r="E191" s="118">
        <v>124.88</v>
      </c>
      <c r="F191" s="136">
        <v>36039</v>
      </c>
      <c r="G191" s="120"/>
      <c r="H191" s="121"/>
      <c r="I191" s="122"/>
      <c r="J191" s="123"/>
      <c r="K191" s="124"/>
      <c r="L191" s="125"/>
    </row>
    <row r="192" spans="1:14" s="12" customFormat="1" ht="10.15" customHeight="1" x14ac:dyDescent="0.2">
      <c r="A192" s="113" t="s">
        <v>128</v>
      </c>
      <c r="B192" s="113">
        <v>1009</v>
      </c>
      <c r="C192" s="116" t="s">
        <v>130</v>
      </c>
      <c r="D192" s="117"/>
      <c r="E192" s="118">
        <v>119.49</v>
      </c>
      <c r="F192" s="136">
        <v>36130</v>
      </c>
      <c r="G192" s="120"/>
      <c r="H192" s="121"/>
      <c r="I192" s="122"/>
      <c r="J192" s="123"/>
      <c r="K192" s="124"/>
      <c r="L192" s="125"/>
      <c r="M192"/>
      <c r="N192"/>
    </row>
    <row r="193" spans="1:24" s="12" customFormat="1" ht="10.15" customHeight="1" x14ac:dyDescent="0.2">
      <c r="A193" s="113" t="s">
        <v>20</v>
      </c>
      <c r="B193" s="113">
        <v>408</v>
      </c>
      <c r="C193" s="116" t="s">
        <v>153</v>
      </c>
      <c r="D193" s="117"/>
      <c r="E193" s="118">
        <v>144.28</v>
      </c>
      <c r="F193" s="136">
        <v>36434</v>
      </c>
      <c r="G193" s="120"/>
      <c r="H193" s="121"/>
      <c r="I193" s="122"/>
      <c r="J193" s="123"/>
      <c r="K193" s="124"/>
      <c r="L193" s="125"/>
    </row>
    <row r="194" spans="1:24" s="12" customFormat="1" ht="10.15" customHeight="1" x14ac:dyDescent="0.2">
      <c r="A194" s="113" t="s">
        <v>23</v>
      </c>
      <c r="B194" s="113">
        <v>642</v>
      </c>
      <c r="C194" s="116" t="s">
        <v>152</v>
      </c>
      <c r="D194" s="117"/>
      <c r="E194" s="118">
        <v>111.69</v>
      </c>
      <c r="F194" s="136">
        <v>36220</v>
      </c>
      <c r="G194" s="120"/>
      <c r="H194" s="121"/>
      <c r="I194" s="122"/>
      <c r="J194" s="123"/>
      <c r="K194" s="124"/>
      <c r="L194" s="125"/>
    </row>
    <row r="195" spans="1:24" s="13" customFormat="1" ht="10.15" customHeight="1" x14ac:dyDescent="0.2">
      <c r="A195" s="113" t="s">
        <v>21</v>
      </c>
      <c r="B195" s="113">
        <v>929</v>
      </c>
      <c r="C195" s="116" t="s">
        <v>154</v>
      </c>
      <c r="D195" s="117"/>
      <c r="E195" s="118">
        <v>133.97</v>
      </c>
      <c r="F195" s="136">
        <v>36312</v>
      </c>
      <c r="G195" s="120"/>
      <c r="H195" s="121"/>
      <c r="I195" s="122"/>
      <c r="J195" s="123"/>
      <c r="K195" s="124"/>
      <c r="L195" s="125"/>
      <c r="M195" s="12"/>
      <c r="N195" s="12"/>
      <c r="O195" s="12"/>
      <c r="P195" s="12"/>
      <c r="Q195" s="12"/>
      <c r="R195" s="12"/>
      <c r="S195" s="12"/>
      <c r="T195" s="12"/>
      <c r="U195" s="12"/>
      <c r="V195" s="12"/>
      <c r="W195" s="12"/>
      <c r="X195" s="12"/>
    </row>
    <row r="196" spans="1:24" s="13" customFormat="1" ht="10.15" customHeight="1" x14ac:dyDescent="0.2">
      <c r="A196" s="113" t="s">
        <v>17</v>
      </c>
      <c r="B196" s="147">
        <v>511</v>
      </c>
      <c r="C196" s="137" t="s">
        <v>427</v>
      </c>
      <c r="D196" s="117"/>
      <c r="E196" s="118">
        <f>9202598/52265</f>
        <v>176.07572945565866</v>
      </c>
      <c r="F196" s="136">
        <v>36770</v>
      </c>
      <c r="G196" s="120"/>
      <c r="H196" s="121"/>
      <c r="I196" s="188"/>
      <c r="J196" s="123"/>
      <c r="K196" s="124"/>
      <c r="L196" s="125"/>
      <c r="M196" s="12"/>
      <c r="N196" s="12"/>
      <c r="O196" s="12"/>
      <c r="P196" s="12"/>
      <c r="Q196" s="12"/>
      <c r="R196" s="12"/>
      <c r="S196" s="12"/>
      <c r="T196" s="12"/>
      <c r="U196" s="12"/>
      <c r="V196" s="12"/>
      <c r="W196" s="12"/>
      <c r="X196" s="12"/>
    </row>
    <row r="197" spans="1:24" s="13" customFormat="1" ht="10.15" customHeight="1" x14ac:dyDescent="0.2">
      <c r="A197" s="113" t="s">
        <v>24</v>
      </c>
      <c r="B197" s="113">
        <v>130</v>
      </c>
      <c r="C197" s="137" t="s">
        <v>431</v>
      </c>
      <c r="D197" s="117"/>
      <c r="E197" s="118">
        <f>4292437/27126</f>
        <v>158.24069158740693</v>
      </c>
      <c r="F197" s="136">
        <v>36739</v>
      </c>
      <c r="G197" s="120"/>
      <c r="H197" s="121"/>
      <c r="I197" s="122"/>
      <c r="J197" s="123"/>
      <c r="K197" s="124"/>
      <c r="L197" s="125"/>
      <c r="M197" s="12"/>
      <c r="N197" s="12"/>
      <c r="O197" s="12"/>
      <c r="P197" s="12"/>
      <c r="Q197" s="12"/>
      <c r="R197" s="12"/>
      <c r="S197" s="12"/>
      <c r="T197" s="12"/>
      <c r="U197" s="12"/>
      <c r="V197" s="12"/>
      <c r="W197" s="12"/>
      <c r="X197" s="12"/>
    </row>
    <row r="198" spans="1:24" s="13" customFormat="1" ht="10.15" customHeight="1" x14ac:dyDescent="0.2">
      <c r="A198" s="147" t="s">
        <v>20</v>
      </c>
      <c r="B198" s="147">
        <v>438</v>
      </c>
      <c r="C198" s="137" t="s">
        <v>434</v>
      </c>
      <c r="D198" s="117"/>
      <c r="E198" s="118">
        <f>8095387/61904</f>
        <v>130.77324567071594</v>
      </c>
      <c r="F198" s="136">
        <v>36526</v>
      </c>
      <c r="G198" s="120"/>
      <c r="H198" s="121"/>
      <c r="I198" s="122"/>
      <c r="J198" s="123"/>
      <c r="K198" s="124"/>
      <c r="L198" s="125"/>
      <c r="M198" s="12"/>
      <c r="N198" s="12"/>
      <c r="O198" s="15"/>
      <c r="P198" s="12"/>
      <c r="Q198" s="12"/>
      <c r="R198" s="12"/>
      <c r="S198" s="12"/>
      <c r="T198" s="12"/>
      <c r="U198" s="12"/>
      <c r="V198" s="12"/>
      <c r="W198" s="12"/>
      <c r="X198" s="12"/>
    </row>
    <row r="199" spans="1:24" s="13" customFormat="1" ht="10.15" customHeight="1" x14ac:dyDescent="0.2">
      <c r="A199" s="147" t="s">
        <v>20</v>
      </c>
      <c r="B199" s="147">
        <v>403</v>
      </c>
      <c r="C199" s="137" t="s">
        <v>437</v>
      </c>
      <c r="D199" s="149"/>
      <c r="E199" s="118">
        <f>8171727/60809</f>
        <v>134.38351230903319</v>
      </c>
      <c r="F199" s="139">
        <v>37127</v>
      </c>
      <c r="G199" s="120"/>
      <c r="H199" s="121"/>
      <c r="I199" s="188"/>
      <c r="J199" s="123"/>
      <c r="K199" s="138"/>
      <c r="L199" s="125"/>
      <c r="M199" s="15"/>
      <c r="N199" s="15"/>
      <c r="O199" s="15"/>
      <c r="P199" s="12"/>
      <c r="Q199" s="12"/>
      <c r="R199" s="12"/>
      <c r="S199" s="12"/>
      <c r="T199" s="12"/>
      <c r="U199" s="12"/>
      <c r="V199" s="12"/>
      <c r="W199" s="12"/>
      <c r="X199" s="12"/>
    </row>
    <row r="200" spans="1:24" s="13" customFormat="1" ht="10.15" customHeight="1" x14ac:dyDescent="0.2">
      <c r="A200" s="113" t="s">
        <v>20</v>
      </c>
      <c r="B200" s="113">
        <v>464</v>
      </c>
      <c r="C200" s="137" t="s">
        <v>441</v>
      </c>
      <c r="D200" s="149"/>
      <c r="E200" s="118">
        <f>8837408/68094</f>
        <v>129.78247716392048</v>
      </c>
      <c r="F200" s="136">
        <v>37127</v>
      </c>
      <c r="G200" s="120"/>
      <c r="H200" s="121"/>
      <c r="I200" s="122"/>
      <c r="J200" s="123"/>
      <c r="K200" s="138"/>
      <c r="L200" s="125"/>
      <c r="M200" s="15"/>
      <c r="N200" s="15"/>
      <c r="O200" s="15"/>
      <c r="P200" s="12"/>
      <c r="Q200" s="12"/>
      <c r="R200" s="12"/>
      <c r="S200" s="12"/>
      <c r="T200" s="12"/>
      <c r="U200" s="12"/>
      <c r="V200" s="12"/>
      <c r="W200" s="12"/>
      <c r="X200" s="12"/>
    </row>
    <row r="201" spans="1:24" s="13" customFormat="1" ht="10.15" customHeight="1" x14ac:dyDescent="0.2">
      <c r="A201" s="113" t="s">
        <v>22</v>
      </c>
      <c r="B201" s="113" t="s">
        <v>442</v>
      </c>
      <c r="C201" s="189" t="s">
        <v>443</v>
      </c>
      <c r="D201" s="149"/>
      <c r="E201" s="118">
        <f>11098000/82020</f>
        <v>135.30846135089001</v>
      </c>
      <c r="F201" s="136">
        <v>37181</v>
      </c>
      <c r="G201" s="120"/>
      <c r="H201" s="121"/>
      <c r="I201" s="122"/>
      <c r="J201" s="123"/>
      <c r="K201" s="138"/>
      <c r="L201" s="125"/>
      <c r="M201" s="15"/>
      <c r="N201" s="15"/>
      <c r="O201" s="15"/>
      <c r="P201" s="12"/>
      <c r="Q201" s="12"/>
      <c r="R201" s="12"/>
      <c r="S201" s="12"/>
      <c r="T201" s="12"/>
      <c r="U201" s="12"/>
      <c r="V201" s="12"/>
      <c r="W201" s="12"/>
      <c r="X201" s="12"/>
    </row>
    <row r="202" spans="1:24" s="13" customFormat="1" ht="10.15" customHeight="1" x14ac:dyDescent="0.2">
      <c r="A202" s="113" t="s">
        <v>24</v>
      </c>
      <c r="B202" s="113">
        <v>135</v>
      </c>
      <c r="C202" s="137" t="s">
        <v>472</v>
      </c>
      <c r="D202" s="117"/>
      <c r="E202" s="118">
        <f>7422106/51089</f>
        <v>145.27796590264049</v>
      </c>
      <c r="F202" s="139">
        <v>37283</v>
      </c>
      <c r="G202" s="120"/>
      <c r="H202" s="120"/>
      <c r="I202" s="122"/>
      <c r="J202" s="123"/>
      <c r="K202" s="138"/>
      <c r="L202" s="125"/>
      <c r="M202" s="15"/>
      <c r="N202" s="15"/>
      <c r="O202" s="15"/>
      <c r="P202" s="12"/>
      <c r="Q202" s="12"/>
      <c r="R202" s="12"/>
      <c r="S202" s="12"/>
      <c r="T202" s="12"/>
      <c r="U202" s="12"/>
      <c r="V202" s="12"/>
      <c r="W202" s="12"/>
      <c r="X202" s="12"/>
    </row>
    <row r="203" spans="1:24" s="13" customFormat="1" ht="10.15" customHeight="1" x14ac:dyDescent="0.2">
      <c r="A203" s="113" t="s">
        <v>19</v>
      </c>
      <c r="B203" s="113">
        <v>201</v>
      </c>
      <c r="C203" s="137" t="s">
        <v>460</v>
      </c>
      <c r="D203" s="117"/>
      <c r="E203" s="118">
        <f>6619544/44862</f>
        <v>147.55347510142215</v>
      </c>
      <c r="F203" s="139">
        <v>37490</v>
      </c>
      <c r="G203" s="120"/>
      <c r="H203" s="120"/>
      <c r="I203" s="122"/>
      <c r="J203" s="123"/>
      <c r="K203" s="138"/>
      <c r="L203" s="125"/>
      <c r="M203" s="15"/>
      <c r="N203" s="15"/>
      <c r="O203" s="15"/>
      <c r="P203" s="12"/>
      <c r="Q203" s="12"/>
      <c r="R203" s="12"/>
      <c r="S203" s="12"/>
      <c r="T203" s="12"/>
      <c r="U203" s="12"/>
      <c r="V203" s="12"/>
      <c r="W203" s="12"/>
      <c r="X203" s="12"/>
    </row>
    <row r="204" spans="1:24" s="13" customFormat="1" ht="10.15" customHeight="1" x14ac:dyDescent="0.2">
      <c r="A204" s="113" t="s">
        <v>19</v>
      </c>
      <c r="B204" s="113">
        <v>237</v>
      </c>
      <c r="C204" s="137" t="s">
        <v>28</v>
      </c>
      <c r="D204" s="117"/>
      <c r="E204" s="118">
        <f>20551024/158553</f>
        <v>129.616115746785</v>
      </c>
      <c r="F204" s="139">
        <v>37348</v>
      </c>
      <c r="G204" s="120"/>
      <c r="H204" s="120"/>
      <c r="I204" s="122"/>
      <c r="J204" s="123"/>
      <c r="K204" s="138"/>
      <c r="L204" s="125"/>
      <c r="M204" s="15"/>
      <c r="N204" s="15"/>
      <c r="O204" s="15"/>
      <c r="P204" s="12"/>
      <c r="Q204" s="12"/>
      <c r="R204" s="12"/>
      <c r="S204" s="12"/>
      <c r="T204" s="12"/>
      <c r="U204" s="12"/>
      <c r="V204" s="12"/>
      <c r="W204" s="12"/>
      <c r="X204" s="12"/>
    </row>
    <row r="205" spans="1:24" s="13" customFormat="1" ht="10.15" customHeight="1" x14ac:dyDescent="0.2">
      <c r="A205" s="113" t="s">
        <v>23</v>
      </c>
      <c r="B205" s="113">
        <v>663</v>
      </c>
      <c r="C205" s="137" t="s">
        <v>466</v>
      </c>
      <c r="D205" s="117"/>
      <c r="E205" s="118">
        <f>12308066/97128</f>
        <v>126.72006012684292</v>
      </c>
      <c r="F205" s="139">
        <v>37491</v>
      </c>
      <c r="G205" s="120"/>
      <c r="H205" s="120"/>
      <c r="I205" s="122"/>
      <c r="J205" s="123"/>
      <c r="K205" s="138"/>
      <c r="L205" s="125"/>
      <c r="M205" s="15"/>
      <c r="N205" s="15"/>
      <c r="O205" s="15"/>
      <c r="P205" s="12"/>
      <c r="Q205" s="12"/>
      <c r="R205" s="12"/>
      <c r="S205" s="12"/>
      <c r="T205" s="12"/>
      <c r="U205" s="12"/>
      <c r="V205" s="12"/>
      <c r="W205" s="12"/>
      <c r="X205" s="12"/>
    </row>
    <row r="206" spans="1:24" s="13" customFormat="1" ht="10.15" customHeight="1" x14ac:dyDescent="0.2">
      <c r="A206" s="113" t="s">
        <v>23</v>
      </c>
      <c r="B206" s="113">
        <v>638</v>
      </c>
      <c r="C206" s="137" t="s">
        <v>467</v>
      </c>
      <c r="D206" s="117"/>
      <c r="E206" s="118">
        <f>6157989/64589</f>
        <v>95.341141680471907</v>
      </c>
      <c r="F206" s="139">
        <v>37539</v>
      </c>
      <c r="G206" s="120"/>
      <c r="H206" s="120"/>
      <c r="I206" s="122"/>
      <c r="J206" s="143"/>
      <c r="K206" s="144"/>
      <c r="L206" s="125"/>
      <c r="M206" s="15"/>
      <c r="N206" s="15"/>
      <c r="O206" s="15"/>
      <c r="P206" s="12"/>
      <c r="Q206" s="12"/>
      <c r="R206" s="12"/>
      <c r="S206" s="12"/>
      <c r="T206" s="12"/>
      <c r="U206" s="12"/>
      <c r="V206" s="12"/>
      <c r="W206" s="12"/>
      <c r="X206" s="12"/>
    </row>
    <row r="207" spans="1:24" s="13" customFormat="1" ht="10.15" customHeight="1" x14ac:dyDescent="0.2">
      <c r="A207" s="113" t="s">
        <v>22</v>
      </c>
      <c r="B207" s="113">
        <v>824</v>
      </c>
      <c r="C207" s="184" t="s">
        <v>468</v>
      </c>
      <c r="D207" s="117"/>
      <c r="E207" s="118">
        <f>2327023/15877</f>
        <v>146.56566101908422</v>
      </c>
      <c r="F207" s="139">
        <v>37607</v>
      </c>
      <c r="G207" s="120"/>
      <c r="H207" s="120"/>
      <c r="I207" s="122"/>
      <c r="J207" s="143"/>
      <c r="K207" s="144"/>
      <c r="L207" s="125"/>
      <c r="M207" s="15"/>
      <c r="N207" s="15"/>
      <c r="O207" s="15"/>
      <c r="P207" s="12"/>
      <c r="Q207" s="12"/>
      <c r="R207" s="12"/>
      <c r="S207" s="12"/>
      <c r="T207" s="12"/>
      <c r="U207" s="12"/>
      <c r="V207" s="12"/>
      <c r="W207" s="12"/>
      <c r="X207" s="12"/>
    </row>
    <row r="208" spans="1:24" s="13" customFormat="1" ht="10.15" customHeight="1" x14ac:dyDescent="0.2">
      <c r="A208" s="113" t="s">
        <v>22</v>
      </c>
      <c r="B208" s="113">
        <v>874</v>
      </c>
      <c r="C208" s="141" t="s">
        <v>469</v>
      </c>
      <c r="D208" s="117"/>
      <c r="E208" s="118">
        <f>4081833/33829</f>
        <v>120.66076443288303</v>
      </c>
      <c r="F208" s="142">
        <v>37560</v>
      </c>
      <c r="G208" s="120"/>
      <c r="H208" s="120"/>
      <c r="I208" s="122"/>
      <c r="J208" s="143"/>
      <c r="K208" s="144"/>
      <c r="L208" s="125"/>
      <c r="M208" s="15"/>
      <c r="N208" s="15"/>
      <c r="O208" s="15"/>
      <c r="P208" s="12"/>
      <c r="Q208" s="12"/>
      <c r="R208" s="12"/>
      <c r="S208" s="12"/>
      <c r="T208" s="12"/>
      <c r="U208" s="12"/>
      <c r="V208" s="12"/>
      <c r="W208" s="12"/>
      <c r="X208" s="12"/>
    </row>
    <row r="209" spans="1:24" s="13" customFormat="1" ht="10.15" customHeight="1" x14ac:dyDescent="0.2">
      <c r="A209" s="113" t="s">
        <v>19</v>
      </c>
      <c r="B209" s="113">
        <v>217</v>
      </c>
      <c r="C209" s="141" t="s">
        <v>476</v>
      </c>
      <c r="D209" s="117"/>
      <c r="E209" s="118">
        <f>4804136/18922</f>
        <v>253.89155480393194</v>
      </c>
      <c r="F209" s="142">
        <v>37778</v>
      </c>
      <c r="G209" s="120">
        <v>3677</v>
      </c>
      <c r="H209" s="162">
        <v>7289</v>
      </c>
      <c r="I209" s="122">
        <f>ROUND(H209/G209,5)</f>
        <v>1.9823200000000001</v>
      </c>
      <c r="J209" s="143">
        <f>ROUND(E209*I209,2)</f>
        <v>503.29</v>
      </c>
      <c r="K209" s="144">
        <v>18922</v>
      </c>
      <c r="L209" s="125">
        <f>ROUND(J209*K209,0)</f>
        <v>9523253</v>
      </c>
      <c r="M209" s="15"/>
      <c r="N209" s="15"/>
      <c r="O209" s="15"/>
      <c r="P209" s="12"/>
      <c r="Q209" s="12"/>
      <c r="R209" s="12"/>
      <c r="S209" s="12"/>
      <c r="T209" s="12"/>
      <c r="U209" s="12"/>
      <c r="V209" s="12"/>
      <c r="W209" s="12"/>
      <c r="X209" s="12"/>
    </row>
    <row r="210" spans="1:24" s="13" customFormat="1" ht="10.15" customHeight="1" x14ac:dyDescent="0.2">
      <c r="A210" s="113" t="s">
        <v>22</v>
      </c>
      <c r="B210" s="113">
        <v>860</v>
      </c>
      <c r="C210" s="141" t="s">
        <v>89</v>
      </c>
      <c r="D210" s="117"/>
      <c r="E210" s="118">
        <f>5299000/36110</f>
        <v>146.74605372472999</v>
      </c>
      <c r="F210" s="142">
        <v>37753</v>
      </c>
      <c r="G210" s="120">
        <v>3660</v>
      </c>
      <c r="H210" s="162">
        <v>7289</v>
      </c>
      <c r="I210" s="122">
        <f>ROUND(H210/G210,5)</f>
        <v>1.99153</v>
      </c>
      <c r="J210" s="143">
        <f>ROUND(E210*I210,2)</f>
        <v>292.25</v>
      </c>
      <c r="K210" s="144">
        <v>36110</v>
      </c>
      <c r="L210" s="125">
        <f>ROUND(J210*K210,0)</f>
        <v>10553148</v>
      </c>
      <c r="M210" s="15"/>
      <c r="N210" s="15"/>
      <c r="O210" s="15"/>
      <c r="P210" s="12"/>
      <c r="Q210" s="12"/>
      <c r="R210" s="12"/>
      <c r="S210" s="12"/>
      <c r="T210" s="12"/>
      <c r="U210" s="12"/>
      <c r="V210" s="12"/>
      <c r="W210" s="12"/>
      <c r="X210" s="12"/>
    </row>
    <row r="211" spans="1:24" s="13" customFormat="1" ht="10.15" customHeight="1" x14ac:dyDescent="0.2">
      <c r="A211" s="113" t="s">
        <v>22</v>
      </c>
      <c r="B211" s="113">
        <v>824</v>
      </c>
      <c r="C211" s="141" t="s">
        <v>468</v>
      </c>
      <c r="D211" s="117"/>
      <c r="E211" s="118">
        <f>2336804/15877</f>
        <v>147.18170939094287</v>
      </c>
      <c r="F211" s="142">
        <v>37635</v>
      </c>
      <c r="G211" s="120">
        <v>3648</v>
      </c>
      <c r="H211" s="162">
        <v>7289</v>
      </c>
      <c r="I211" s="122">
        <f>ROUND(H211/G211,5)</f>
        <v>1.9980800000000001</v>
      </c>
      <c r="J211" s="143">
        <f>ROUND(E211*I211,2)</f>
        <v>294.08</v>
      </c>
      <c r="K211" s="144">
        <v>15877</v>
      </c>
      <c r="L211" s="125">
        <f>ROUND(J211*K211,0)</f>
        <v>4669108</v>
      </c>
      <c r="M211" s="15"/>
      <c r="N211" s="15"/>
      <c r="O211" s="15"/>
      <c r="P211" s="12"/>
      <c r="Q211" s="12"/>
      <c r="R211" s="12"/>
      <c r="S211" s="12"/>
      <c r="T211" s="12"/>
      <c r="U211" s="12"/>
      <c r="V211" s="12"/>
      <c r="W211" s="12"/>
      <c r="X211" s="12"/>
    </row>
    <row r="212" spans="1:24" s="13" customFormat="1" ht="10.15" customHeight="1" x14ac:dyDescent="0.2">
      <c r="A212" s="113" t="s">
        <v>22</v>
      </c>
      <c r="B212" s="113">
        <v>821</v>
      </c>
      <c r="C212" s="141" t="s">
        <v>483</v>
      </c>
      <c r="D212" s="117"/>
      <c r="E212" s="118">
        <f>15285537/105809</f>
        <v>144.46348609286545</v>
      </c>
      <c r="F212" s="142">
        <v>37695</v>
      </c>
      <c r="G212" s="120">
        <v>3649</v>
      </c>
      <c r="H212" s="162">
        <v>7289</v>
      </c>
      <c r="I212" s="122">
        <f>ROUND(H212/G212,5)</f>
        <v>1.99753</v>
      </c>
      <c r="J212" s="143">
        <f>ROUND(E212*I212,2)</f>
        <v>288.57</v>
      </c>
      <c r="K212" s="144">
        <v>105809</v>
      </c>
      <c r="L212" s="125">
        <f>ROUND(J212*K212,0)</f>
        <v>30533303</v>
      </c>
      <c r="M212" s="15"/>
      <c r="N212" s="15"/>
      <c r="O212" s="15"/>
      <c r="P212" s="12"/>
      <c r="Q212" s="12"/>
      <c r="R212" s="12"/>
      <c r="S212" s="12"/>
      <c r="T212" s="12"/>
      <c r="U212" s="12"/>
      <c r="V212" s="12"/>
      <c r="W212" s="12"/>
      <c r="X212" s="12"/>
    </row>
    <row r="213" spans="1:24" s="13" customFormat="1" ht="10.15" customHeight="1" x14ac:dyDescent="0.2">
      <c r="A213" s="113" t="s">
        <v>29</v>
      </c>
      <c r="B213" s="113">
        <v>716</v>
      </c>
      <c r="C213" s="141" t="s">
        <v>484</v>
      </c>
      <c r="D213" s="117"/>
      <c r="E213" s="118">
        <f>2104000/14401</f>
        <v>146.10096521074925</v>
      </c>
      <c r="F213" s="142">
        <v>37756</v>
      </c>
      <c r="G213" s="120">
        <v>3660</v>
      </c>
      <c r="H213" s="162">
        <v>7289</v>
      </c>
      <c r="I213" s="122">
        <f t="shared" ref="I213:I223" si="25">ROUND(H213/G213,5)</f>
        <v>1.99153</v>
      </c>
      <c r="J213" s="143">
        <f t="shared" ref="J213:J223" si="26">ROUND(E213*I213,2)</f>
        <v>290.95999999999998</v>
      </c>
      <c r="K213" s="144">
        <v>14401</v>
      </c>
      <c r="L213" s="125">
        <f t="shared" ref="L213:L222" si="27">ROUND(J213*K213,0)</f>
        <v>4190115</v>
      </c>
      <c r="M213" s="15"/>
      <c r="N213" s="15"/>
      <c r="O213" s="12"/>
      <c r="P213" s="12"/>
      <c r="Q213" s="12"/>
      <c r="R213" s="12"/>
      <c r="S213" s="12"/>
      <c r="T213" s="12"/>
      <c r="U213" s="12"/>
      <c r="V213" s="12"/>
      <c r="W213" s="12"/>
      <c r="X213" s="12"/>
    </row>
    <row r="214" spans="1:24" s="13" customFormat="1" ht="10.15" customHeight="1" x14ac:dyDescent="0.2">
      <c r="A214" s="113" t="s">
        <v>23</v>
      </c>
      <c r="B214" s="113">
        <v>688</v>
      </c>
      <c r="C214" s="141" t="s">
        <v>488</v>
      </c>
      <c r="D214" s="117"/>
      <c r="E214" s="118">
        <f>1645246/11480</f>
        <v>143.31411149825783</v>
      </c>
      <c r="F214" s="142">
        <v>37622</v>
      </c>
      <c r="G214" s="120">
        <v>3648</v>
      </c>
      <c r="H214" s="162">
        <v>7289</v>
      </c>
      <c r="I214" s="122">
        <f t="shared" si="25"/>
        <v>1.9980800000000001</v>
      </c>
      <c r="J214" s="143">
        <f t="shared" si="26"/>
        <v>286.35000000000002</v>
      </c>
      <c r="K214" s="144">
        <v>11480</v>
      </c>
      <c r="L214" s="125">
        <f t="shared" si="27"/>
        <v>3287298</v>
      </c>
      <c r="M214" s="12"/>
      <c r="N214" s="12"/>
      <c r="O214" s="12"/>
      <c r="P214" s="12"/>
      <c r="Q214" s="12"/>
      <c r="R214" s="12"/>
      <c r="S214" s="12"/>
      <c r="T214" s="12"/>
      <c r="U214" s="12"/>
      <c r="V214" s="12"/>
      <c r="W214" s="12"/>
      <c r="X214" s="12"/>
    </row>
    <row r="215" spans="1:24" s="13" customFormat="1" ht="10.15" customHeight="1" x14ac:dyDescent="0.2">
      <c r="A215" s="113" t="s">
        <v>17</v>
      </c>
      <c r="B215" s="113">
        <v>515</v>
      </c>
      <c r="C215" s="137" t="s">
        <v>495</v>
      </c>
      <c r="D215" s="117"/>
      <c r="E215" s="118">
        <f>7898615/60001</f>
        <v>131.64138931017817</v>
      </c>
      <c r="F215" s="142">
        <v>37987</v>
      </c>
      <c r="G215" s="120">
        <v>3767</v>
      </c>
      <c r="H215" s="162">
        <v>7289</v>
      </c>
      <c r="I215" s="122">
        <f t="shared" si="25"/>
        <v>1.93496</v>
      </c>
      <c r="J215" s="143">
        <f t="shared" si="26"/>
        <v>254.72</v>
      </c>
      <c r="K215" s="144">
        <v>60001</v>
      </c>
      <c r="L215" s="125">
        <f t="shared" si="27"/>
        <v>15283455</v>
      </c>
      <c r="M215" s="15"/>
      <c r="N215" s="12"/>
      <c r="O215" s="12"/>
      <c r="P215" s="12"/>
      <c r="Q215" s="12"/>
      <c r="R215" s="12"/>
      <c r="S215" s="12"/>
      <c r="T215" s="12"/>
      <c r="U215" s="12"/>
      <c r="V215" s="12"/>
      <c r="W215" s="12"/>
      <c r="X215" s="12"/>
    </row>
    <row r="216" spans="1:24" s="13" customFormat="1" ht="10.15" customHeight="1" x14ac:dyDescent="0.2">
      <c r="A216" s="113" t="s">
        <v>17</v>
      </c>
      <c r="B216" s="113">
        <v>515</v>
      </c>
      <c r="C216" s="137" t="s">
        <v>496</v>
      </c>
      <c r="D216" s="117"/>
      <c r="E216" s="118">
        <f>7968598/56716</f>
        <v>140.5</v>
      </c>
      <c r="F216" s="142">
        <v>38078</v>
      </c>
      <c r="G216" s="120">
        <v>3908</v>
      </c>
      <c r="H216" s="162">
        <v>7289</v>
      </c>
      <c r="I216" s="122">
        <f t="shared" si="25"/>
        <v>1.8651500000000001</v>
      </c>
      <c r="J216" s="143">
        <f t="shared" si="26"/>
        <v>262.05</v>
      </c>
      <c r="K216" s="144">
        <v>56716</v>
      </c>
      <c r="L216" s="125">
        <f t="shared" si="27"/>
        <v>14862428</v>
      </c>
      <c r="M216" s="15"/>
      <c r="N216" s="12"/>
      <c r="O216" s="12"/>
      <c r="P216" s="12"/>
      <c r="Q216" s="12"/>
      <c r="R216" s="12"/>
      <c r="S216" s="12"/>
      <c r="T216" s="12"/>
      <c r="U216" s="12"/>
      <c r="V216" s="12"/>
      <c r="W216" s="12"/>
      <c r="X216" s="12"/>
    </row>
    <row r="217" spans="1:24" s="13" customFormat="1" ht="10.15" customHeight="1" x14ac:dyDescent="0.2">
      <c r="A217" s="113" t="s">
        <v>17</v>
      </c>
      <c r="B217" s="113">
        <v>589</v>
      </c>
      <c r="C217" s="137" t="s">
        <v>498</v>
      </c>
      <c r="D217" s="117"/>
      <c r="E217" s="118">
        <f>15333469/98089</f>
        <v>156.32200348662948</v>
      </c>
      <c r="F217" s="142">
        <v>38338</v>
      </c>
      <c r="G217" s="120">
        <v>4123</v>
      </c>
      <c r="H217" s="162">
        <v>7289</v>
      </c>
      <c r="I217" s="122">
        <f t="shared" si="25"/>
        <v>1.76789</v>
      </c>
      <c r="J217" s="143">
        <f t="shared" si="26"/>
        <v>276.36</v>
      </c>
      <c r="K217" s="144">
        <v>98089</v>
      </c>
      <c r="L217" s="125">
        <f t="shared" si="27"/>
        <v>27107876</v>
      </c>
      <c r="M217" s="15"/>
      <c r="N217" s="12"/>
      <c r="O217" s="12"/>
      <c r="P217" s="12"/>
      <c r="Q217" s="12"/>
      <c r="R217" s="12"/>
      <c r="S217" s="12"/>
      <c r="T217" s="12"/>
      <c r="U217" s="12"/>
      <c r="V217" s="12"/>
      <c r="W217" s="12"/>
      <c r="X217" s="12"/>
    </row>
    <row r="218" spans="1:24" s="13" customFormat="1" ht="10.15" customHeight="1" x14ac:dyDescent="0.2">
      <c r="A218" s="113" t="s">
        <v>23</v>
      </c>
      <c r="B218" s="113">
        <v>633</v>
      </c>
      <c r="C218" s="137" t="s">
        <v>500</v>
      </c>
      <c r="D218" s="117"/>
      <c r="E218" s="118">
        <f>12707125/72998</f>
        <v>174.07497465683991</v>
      </c>
      <c r="F218" s="142">
        <v>38049</v>
      </c>
      <c r="G218" s="120">
        <v>3859</v>
      </c>
      <c r="H218" s="162">
        <v>7289</v>
      </c>
      <c r="I218" s="122">
        <f t="shared" si="25"/>
        <v>1.88883</v>
      </c>
      <c r="J218" s="143">
        <f t="shared" si="26"/>
        <v>328.8</v>
      </c>
      <c r="K218" s="144">
        <v>72998</v>
      </c>
      <c r="L218" s="125">
        <f t="shared" si="27"/>
        <v>24001742</v>
      </c>
      <c r="M218" s="15"/>
      <c r="N218" s="12"/>
      <c r="O218" s="12"/>
      <c r="P218" s="12"/>
      <c r="Q218" s="12"/>
      <c r="R218" s="12"/>
      <c r="S218" s="12"/>
      <c r="T218" s="12"/>
      <c r="U218" s="12"/>
      <c r="V218" s="12"/>
      <c r="W218" s="12"/>
      <c r="X218" s="12"/>
    </row>
    <row r="219" spans="1:24" s="13" customFormat="1" ht="10.15" customHeight="1" x14ac:dyDescent="0.2">
      <c r="A219" s="113" t="s">
        <v>23</v>
      </c>
      <c r="B219" s="113">
        <v>673</v>
      </c>
      <c r="C219" s="137" t="s">
        <v>501</v>
      </c>
      <c r="D219" s="117"/>
      <c r="E219" s="118">
        <f>2406475/15045</f>
        <v>159.95181123296777</v>
      </c>
      <c r="F219" s="142">
        <v>38338</v>
      </c>
      <c r="G219" s="120">
        <v>4123</v>
      </c>
      <c r="H219" s="162">
        <v>7289</v>
      </c>
      <c r="I219" s="122">
        <f>ROUND(H219/G219,5)</f>
        <v>1.76789</v>
      </c>
      <c r="J219" s="143">
        <f>ROUND(E219*I219,2)</f>
        <v>282.77999999999997</v>
      </c>
      <c r="K219" s="144">
        <v>15045</v>
      </c>
      <c r="L219" s="125">
        <f>ROUND(J219*K219,0)</f>
        <v>4254425</v>
      </c>
      <c r="M219" s="15"/>
      <c r="N219" s="12"/>
      <c r="O219" s="12"/>
      <c r="P219" s="12"/>
      <c r="Q219" s="12"/>
      <c r="R219" s="12"/>
      <c r="S219" s="12"/>
      <c r="T219" s="12"/>
      <c r="U219" s="12"/>
      <c r="V219" s="12"/>
      <c r="W219" s="12"/>
      <c r="X219" s="12"/>
    </row>
    <row r="220" spans="1:24" s="13" customFormat="1" ht="10.15" customHeight="1" x14ac:dyDescent="0.2">
      <c r="A220" s="113" t="s">
        <v>22</v>
      </c>
      <c r="B220" s="113">
        <v>839</v>
      </c>
      <c r="C220" s="141" t="s">
        <v>503</v>
      </c>
      <c r="D220" s="117"/>
      <c r="E220" s="118">
        <f>11157703/46784</f>
        <v>238.49399367305062</v>
      </c>
      <c r="F220" s="142">
        <v>38201</v>
      </c>
      <c r="G220" s="120">
        <v>4027</v>
      </c>
      <c r="H220" s="162">
        <v>7289</v>
      </c>
      <c r="I220" s="122">
        <f t="shared" si="25"/>
        <v>1.81003</v>
      </c>
      <c r="J220" s="143">
        <f t="shared" si="26"/>
        <v>431.68</v>
      </c>
      <c r="K220" s="144">
        <v>28197</v>
      </c>
      <c r="L220" s="125">
        <f t="shared" si="27"/>
        <v>12172081</v>
      </c>
      <c r="M220" s="15"/>
      <c r="N220" s="12"/>
      <c r="O220" s="12"/>
      <c r="P220" s="12"/>
      <c r="Q220" s="12"/>
      <c r="R220" s="12"/>
      <c r="S220" s="12"/>
      <c r="T220" s="12"/>
      <c r="U220" s="12"/>
      <c r="V220" s="12"/>
      <c r="W220" s="12"/>
      <c r="X220" s="12"/>
    </row>
    <row r="221" spans="1:24" s="13" customFormat="1" ht="10.15" customHeight="1" x14ac:dyDescent="0.2">
      <c r="A221" s="113" t="s">
        <v>22</v>
      </c>
      <c r="B221" s="113">
        <v>832</v>
      </c>
      <c r="C221" s="141" t="s">
        <v>506</v>
      </c>
      <c r="D221" s="117"/>
      <c r="E221" s="118">
        <f>26818093/153768</f>
        <v>174.40620285104833</v>
      </c>
      <c r="F221" s="142">
        <v>38303</v>
      </c>
      <c r="G221" s="120">
        <v>4128</v>
      </c>
      <c r="H221" s="162">
        <v>7289</v>
      </c>
      <c r="I221" s="122">
        <f t="shared" si="25"/>
        <v>1.7657499999999999</v>
      </c>
      <c r="J221" s="143">
        <f t="shared" si="26"/>
        <v>307.95999999999998</v>
      </c>
      <c r="K221" s="144">
        <v>153768</v>
      </c>
      <c r="L221" s="125">
        <f t="shared" si="27"/>
        <v>47354393</v>
      </c>
      <c r="M221" s="15"/>
      <c r="N221" s="12"/>
      <c r="O221" s="12"/>
      <c r="P221" s="12"/>
      <c r="Q221" s="12"/>
      <c r="R221" s="12"/>
      <c r="S221" s="12"/>
      <c r="T221" s="12"/>
      <c r="U221" s="12"/>
      <c r="V221" s="12"/>
      <c r="W221" s="12"/>
      <c r="X221" s="12"/>
    </row>
    <row r="222" spans="1:24" s="13" customFormat="1" ht="10.15" customHeight="1" x14ac:dyDescent="0.2">
      <c r="A222" s="113" t="s">
        <v>20</v>
      </c>
      <c r="B222" s="113">
        <v>502</v>
      </c>
      <c r="C222" s="141" t="s">
        <v>510</v>
      </c>
      <c r="D222" s="117"/>
      <c r="E222" s="118">
        <f>8202529/48725</f>
        <v>168.34333504361211</v>
      </c>
      <c r="F222" s="142">
        <v>38200</v>
      </c>
      <c r="G222" s="120">
        <v>4027</v>
      </c>
      <c r="H222" s="162">
        <v>7289</v>
      </c>
      <c r="I222" s="122">
        <f t="shared" si="25"/>
        <v>1.81003</v>
      </c>
      <c r="J222" s="143">
        <f t="shared" si="26"/>
        <v>304.70999999999998</v>
      </c>
      <c r="K222" s="144">
        <v>48725</v>
      </c>
      <c r="L222" s="125">
        <f t="shared" si="27"/>
        <v>14846995</v>
      </c>
      <c r="M222" s="15"/>
      <c r="N222" s="12"/>
      <c r="O222" s="12"/>
      <c r="P222" s="12"/>
      <c r="Q222" s="12"/>
      <c r="R222" s="12"/>
      <c r="S222" s="12"/>
      <c r="T222" s="12"/>
      <c r="U222" s="12"/>
      <c r="V222" s="12"/>
      <c r="W222" s="12"/>
      <c r="X222" s="12"/>
    </row>
    <row r="223" spans="1:24" s="13" customFormat="1" ht="10.15" customHeight="1" x14ac:dyDescent="0.2">
      <c r="A223" s="113" t="s">
        <v>20</v>
      </c>
      <c r="B223" s="190" t="s">
        <v>511</v>
      </c>
      <c r="C223" s="141" t="s">
        <v>476</v>
      </c>
      <c r="D223" s="117"/>
      <c r="E223" s="118">
        <f>4908614/17983</f>
        <v>272.95857198465217</v>
      </c>
      <c r="F223" s="142">
        <v>38200</v>
      </c>
      <c r="G223" s="120">
        <v>4027</v>
      </c>
      <c r="H223" s="162">
        <v>7289</v>
      </c>
      <c r="I223" s="122">
        <f t="shared" si="25"/>
        <v>1.81003</v>
      </c>
      <c r="J223" s="143">
        <f t="shared" si="26"/>
        <v>494.06</v>
      </c>
      <c r="K223" s="144">
        <v>17983</v>
      </c>
      <c r="L223" s="125">
        <f t="shared" ref="L223:L231" si="28">ROUND(J223*K223,0)</f>
        <v>8884681</v>
      </c>
      <c r="M223" s="15"/>
      <c r="N223" s="12"/>
      <c r="O223" s="12"/>
      <c r="P223" s="12"/>
      <c r="Q223" s="12"/>
      <c r="R223" s="12"/>
      <c r="S223" s="12"/>
      <c r="T223" s="12"/>
      <c r="U223" s="12"/>
      <c r="V223" s="12"/>
      <c r="W223" s="12"/>
      <c r="X223" s="12"/>
    </row>
    <row r="224" spans="1:24" s="13" customFormat="1" ht="10.15" customHeight="1" x14ac:dyDescent="0.2">
      <c r="A224" s="146" t="s">
        <v>24</v>
      </c>
      <c r="B224" s="147">
        <v>195</v>
      </c>
      <c r="C224" s="137" t="s">
        <v>512</v>
      </c>
      <c r="D224" s="117"/>
      <c r="E224" s="118">
        <f>1971715/9673</f>
        <v>203.83696888245632</v>
      </c>
      <c r="F224" s="139">
        <v>38534</v>
      </c>
      <c r="G224" s="120">
        <v>4197</v>
      </c>
      <c r="H224" s="162">
        <v>7289</v>
      </c>
      <c r="I224" s="122">
        <f t="shared" ref="I224:I232" si="29">ROUND(H224/G224,5)</f>
        <v>1.73672</v>
      </c>
      <c r="J224" s="143">
        <f t="shared" ref="J224:J232" si="30">ROUND(E224*I224,2)</f>
        <v>354.01</v>
      </c>
      <c r="K224" s="144">
        <v>9673</v>
      </c>
      <c r="L224" s="125">
        <f t="shared" si="28"/>
        <v>3424339</v>
      </c>
      <c r="M224" s="15"/>
      <c r="N224" s="12"/>
      <c r="O224" s="12"/>
      <c r="P224" s="12"/>
      <c r="Q224" s="12"/>
      <c r="R224" s="12"/>
      <c r="S224" s="12"/>
      <c r="T224" s="12"/>
      <c r="U224" s="12"/>
      <c r="V224" s="12"/>
      <c r="W224" s="12"/>
      <c r="X224" s="12"/>
    </row>
    <row r="225" spans="1:24" s="13" customFormat="1" ht="10.15" customHeight="1" x14ac:dyDescent="0.2">
      <c r="A225" s="146" t="s">
        <v>23</v>
      </c>
      <c r="B225" s="147">
        <v>649</v>
      </c>
      <c r="C225" s="141" t="s">
        <v>520</v>
      </c>
      <c r="D225" s="117"/>
      <c r="E225" s="118">
        <f>4352453/21771</f>
        <v>199.91975563823434</v>
      </c>
      <c r="F225" s="139">
        <v>38534</v>
      </c>
      <c r="G225" s="120">
        <v>4197</v>
      </c>
      <c r="H225" s="162">
        <v>7289</v>
      </c>
      <c r="I225" s="122">
        <f t="shared" si="29"/>
        <v>1.73672</v>
      </c>
      <c r="J225" s="143">
        <f t="shared" si="30"/>
        <v>347.2</v>
      </c>
      <c r="K225" s="144">
        <v>21771</v>
      </c>
      <c r="L225" s="125">
        <f t="shared" si="28"/>
        <v>7558891</v>
      </c>
      <c r="M225" s="15"/>
      <c r="N225" s="12"/>
      <c r="O225" s="12"/>
      <c r="P225" s="12"/>
      <c r="Q225" s="12"/>
      <c r="R225" s="12"/>
      <c r="S225" s="12"/>
      <c r="T225" s="12"/>
      <c r="U225" s="12"/>
      <c r="V225" s="12"/>
      <c r="W225" s="12"/>
      <c r="X225" s="12"/>
    </row>
    <row r="226" spans="1:24" s="13" customFormat="1" ht="10.15" customHeight="1" x14ac:dyDescent="0.2">
      <c r="A226" s="146" t="s">
        <v>20</v>
      </c>
      <c r="B226" s="147">
        <v>504</v>
      </c>
      <c r="C226" s="137" t="s">
        <v>521</v>
      </c>
      <c r="D226" s="117"/>
      <c r="E226" s="118">
        <f>12710930/76257</f>
        <v>166.68541904349766</v>
      </c>
      <c r="F226" s="139">
        <v>38534</v>
      </c>
      <c r="G226" s="120">
        <v>4197</v>
      </c>
      <c r="H226" s="162">
        <v>7289</v>
      </c>
      <c r="I226" s="122">
        <f t="shared" si="29"/>
        <v>1.73672</v>
      </c>
      <c r="J226" s="143">
        <f t="shared" si="30"/>
        <v>289.49</v>
      </c>
      <c r="K226" s="144">
        <v>76257</v>
      </c>
      <c r="L226" s="125">
        <f t="shared" si="28"/>
        <v>22075639</v>
      </c>
      <c r="M226" s="15"/>
      <c r="N226" s="12"/>
      <c r="O226" s="12"/>
      <c r="P226" s="12"/>
      <c r="Q226" s="12"/>
      <c r="R226" s="12"/>
      <c r="S226" s="12"/>
      <c r="T226" s="12"/>
      <c r="U226" s="12"/>
      <c r="V226" s="12"/>
      <c r="W226" s="12"/>
      <c r="X226" s="12"/>
    </row>
    <row r="227" spans="1:24" s="13" customFormat="1" ht="10.15" customHeight="1" x14ac:dyDescent="0.2">
      <c r="A227" s="146" t="s">
        <v>22</v>
      </c>
      <c r="B227" s="147">
        <v>856</v>
      </c>
      <c r="C227" s="137" t="s">
        <v>523</v>
      </c>
      <c r="D227" s="117"/>
      <c r="E227" s="118">
        <f>20112557/87824</f>
        <v>229.00980369830569</v>
      </c>
      <c r="F227" s="139">
        <v>38581</v>
      </c>
      <c r="G227" s="120">
        <v>4210</v>
      </c>
      <c r="H227" s="162">
        <v>7289</v>
      </c>
      <c r="I227" s="122">
        <f t="shared" si="29"/>
        <v>1.7313499999999999</v>
      </c>
      <c r="J227" s="143">
        <f t="shared" si="30"/>
        <v>396.5</v>
      </c>
      <c r="K227" s="144">
        <v>87824</v>
      </c>
      <c r="L227" s="125">
        <f t="shared" si="28"/>
        <v>34822216</v>
      </c>
      <c r="M227" s="15"/>
      <c r="N227" s="12"/>
      <c r="O227" s="12"/>
      <c r="P227" s="12"/>
      <c r="Q227" s="12"/>
      <c r="R227" s="12"/>
      <c r="S227" s="12"/>
      <c r="T227" s="12"/>
      <c r="U227" s="12"/>
      <c r="V227" s="12"/>
      <c r="W227" s="12"/>
      <c r="X227" s="12"/>
    </row>
    <row r="228" spans="1:24" s="13" customFormat="1" ht="10.15" customHeight="1" x14ac:dyDescent="0.2">
      <c r="A228" s="146" t="s">
        <v>21</v>
      </c>
      <c r="B228" s="147">
        <v>987</v>
      </c>
      <c r="C228" s="145" t="s">
        <v>524</v>
      </c>
      <c r="D228" s="117"/>
      <c r="E228" s="118">
        <f>9907462/67550</f>
        <v>146.66857142857143</v>
      </c>
      <c r="F228" s="139">
        <v>38534</v>
      </c>
      <c r="G228" s="120">
        <v>4197</v>
      </c>
      <c r="H228" s="162">
        <v>7289</v>
      </c>
      <c r="I228" s="122">
        <f t="shared" si="29"/>
        <v>1.73672</v>
      </c>
      <c r="J228" s="143">
        <f t="shared" si="30"/>
        <v>254.72</v>
      </c>
      <c r="K228" s="144">
        <v>67550</v>
      </c>
      <c r="L228" s="125">
        <f t="shared" si="28"/>
        <v>17206336</v>
      </c>
      <c r="M228" s="15"/>
      <c r="N228" s="12"/>
      <c r="O228" s="12"/>
      <c r="P228" s="12"/>
      <c r="Q228" s="12"/>
      <c r="R228" s="12"/>
      <c r="S228" s="12"/>
      <c r="T228" s="12"/>
      <c r="U228" s="12"/>
      <c r="V228" s="12"/>
      <c r="W228" s="12"/>
      <c r="X228" s="12"/>
    </row>
    <row r="229" spans="1:24" s="13" customFormat="1" ht="10.15" customHeight="1" x14ac:dyDescent="0.2">
      <c r="A229" s="146" t="s">
        <v>128</v>
      </c>
      <c r="B229" s="147">
        <v>1024</v>
      </c>
      <c r="C229" s="145" t="s">
        <v>526</v>
      </c>
      <c r="D229" s="117"/>
      <c r="E229" s="118">
        <f>6832012/41811</f>
        <v>163.40226256248354</v>
      </c>
      <c r="F229" s="139">
        <v>38322</v>
      </c>
      <c r="G229" s="120">
        <v>4123</v>
      </c>
      <c r="H229" s="162">
        <v>7289</v>
      </c>
      <c r="I229" s="122">
        <f t="shared" si="29"/>
        <v>1.76789</v>
      </c>
      <c r="J229" s="143">
        <f t="shared" si="30"/>
        <v>288.88</v>
      </c>
      <c r="K229" s="144">
        <v>41811</v>
      </c>
      <c r="L229" s="125">
        <f t="shared" si="28"/>
        <v>12078362</v>
      </c>
      <c r="M229" s="12"/>
      <c r="N229" s="12"/>
      <c r="O229" s="12"/>
      <c r="P229" s="12"/>
      <c r="Q229" s="12"/>
      <c r="R229" s="12"/>
      <c r="S229" s="12"/>
      <c r="T229" s="12"/>
      <c r="U229" s="12"/>
      <c r="V229" s="12"/>
      <c r="W229" s="12"/>
      <c r="X229" s="12"/>
    </row>
    <row r="230" spans="1:24" s="13" customFormat="1" ht="10.15" customHeight="1" x14ac:dyDescent="0.2">
      <c r="A230" s="146" t="s">
        <v>24</v>
      </c>
      <c r="B230" s="147">
        <v>288</v>
      </c>
      <c r="C230" s="145" t="s">
        <v>537</v>
      </c>
      <c r="D230" s="117"/>
      <c r="E230" s="118">
        <f>13427105/40978</f>
        <v>327.66618673434527</v>
      </c>
      <c r="F230" s="139">
        <v>38991</v>
      </c>
      <c r="G230" s="120">
        <v>4431</v>
      </c>
      <c r="H230" s="162">
        <v>7289</v>
      </c>
      <c r="I230" s="122">
        <f t="shared" si="29"/>
        <v>1.645</v>
      </c>
      <c r="J230" s="143">
        <f t="shared" si="30"/>
        <v>539.01</v>
      </c>
      <c r="K230" s="144">
        <v>40978</v>
      </c>
      <c r="L230" s="125">
        <f t="shared" si="28"/>
        <v>22087552</v>
      </c>
      <c r="M230" s="12"/>
      <c r="N230" s="12"/>
      <c r="O230" s="12"/>
      <c r="P230" s="12"/>
      <c r="Q230" s="12"/>
      <c r="R230" s="12"/>
      <c r="S230" s="12"/>
      <c r="T230" s="12"/>
      <c r="U230" s="12"/>
      <c r="V230" s="12"/>
      <c r="W230" s="12"/>
      <c r="X230" s="12"/>
    </row>
    <row r="231" spans="1:24" s="13" customFormat="1" ht="10.15" customHeight="1" x14ac:dyDescent="0.2">
      <c r="A231" s="146" t="s">
        <v>19</v>
      </c>
      <c r="B231" s="147">
        <v>296</v>
      </c>
      <c r="C231" s="137" t="s">
        <v>541</v>
      </c>
      <c r="D231" s="117"/>
      <c r="E231" s="118">
        <f>23815183/105133</f>
        <v>226.52433584126771</v>
      </c>
      <c r="F231" s="139">
        <v>39052</v>
      </c>
      <c r="G231" s="120">
        <v>4441</v>
      </c>
      <c r="H231" s="162">
        <v>7289</v>
      </c>
      <c r="I231" s="122">
        <f t="shared" si="29"/>
        <v>1.6413</v>
      </c>
      <c r="J231" s="143">
        <f t="shared" si="30"/>
        <v>371.79</v>
      </c>
      <c r="K231" s="144">
        <v>105133</v>
      </c>
      <c r="L231" s="125">
        <f t="shared" si="28"/>
        <v>39087398</v>
      </c>
      <c r="M231" s="12"/>
      <c r="N231" s="12"/>
      <c r="O231" s="12"/>
      <c r="P231" s="12"/>
      <c r="Q231" s="12"/>
      <c r="R231" s="12"/>
      <c r="S231" s="12"/>
      <c r="T231" s="12"/>
      <c r="U231" s="12"/>
      <c r="V231" s="12"/>
      <c r="W231" s="12"/>
      <c r="X231" s="12"/>
    </row>
    <row r="232" spans="1:24" s="13" customFormat="1" ht="10.15" customHeight="1" x14ac:dyDescent="0.2">
      <c r="A232" s="113" t="s">
        <v>19</v>
      </c>
      <c r="B232" s="113">
        <v>288</v>
      </c>
      <c r="C232" s="137" t="s">
        <v>542</v>
      </c>
      <c r="D232" s="117"/>
      <c r="E232" s="118">
        <f>6606630/18195</f>
        <v>363.10140148392418</v>
      </c>
      <c r="F232" s="136">
        <v>38718</v>
      </c>
      <c r="G232" s="120">
        <v>4335</v>
      </c>
      <c r="H232" s="162">
        <v>7289</v>
      </c>
      <c r="I232" s="122">
        <f t="shared" si="29"/>
        <v>1.68143</v>
      </c>
      <c r="J232" s="143">
        <f t="shared" si="30"/>
        <v>610.53</v>
      </c>
      <c r="K232" s="124">
        <v>18195</v>
      </c>
      <c r="L232" s="125">
        <f t="shared" ref="L232:L278" si="31">ROUND(J232*K232,0)</f>
        <v>11108593</v>
      </c>
      <c r="M232" s="12"/>
      <c r="N232" s="12"/>
      <c r="O232" s="12"/>
      <c r="P232" s="12"/>
      <c r="Q232" s="12"/>
      <c r="R232" s="12"/>
      <c r="S232" s="12"/>
      <c r="T232" s="12"/>
      <c r="U232" s="12"/>
      <c r="V232" s="12"/>
      <c r="W232" s="12"/>
      <c r="X232" s="12"/>
    </row>
    <row r="233" spans="1:24" s="13" customFormat="1" ht="10.15" customHeight="1" x14ac:dyDescent="0.2">
      <c r="A233" s="146" t="s">
        <v>23</v>
      </c>
      <c r="B233" s="147">
        <v>621</v>
      </c>
      <c r="C233" s="137" t="s">
        <v>545</v>
      </c>
      <c r="D233" s="117"/>
      <c r="E233" s="118">
        <f>8900000/50000</f>
        <v>178</v>
      </c>
      <c r="F233" s="136">
        <v>39052</v>
      </c>
      <c r="G233" s="120">
        <v>4441</v>
      </c>
      <c r="H233" s="162">
        <v>7289</v>
      </c>
      <c r="I233" s="122">
        <f t="shared" ref="I233:I239" si="32">ROUND(H233/G233,5)</f>
        <v>1.6413</v>
      </c>
      <c r="J233" s="143">
        <f t="shared" ref="J233:J239" si="33">ROUND(E233*I233,2)</f>
        <v>292.14999999999998</v>
      </c>
      <c r="K233" s="124">
        <v>50000</v>
      </c>
      <c r="L233" s="125">
        <f t="shared" si="31"/>
        <v>14607500</v>
      </c>
      <c r="M233" s="12"/>
      <c r="N233" s="12"/>
      <c r="O233" s="12"/>
      <c r="P233" s="12"/>
      <c r="Q233" s="12"/>
      <c r="R233" s="12"/>
      <c r="S233" s="12"/>
      <c r="T233" s="12"/>
      <c r="U233" s="12"/>
      <c r="V233" s="12"/>
      <c r="W233" s="12"/>
      <c r="X233" s="12"/>
    </row>
    <row r="234" spans="1:24" s="12" customFormat="1" ht="10.15" customHeight="1" x14ac:dyDescent="0.2">
      <c r="A234" s="113" t="s">
        <v>17</v>
      </c>
      <c r="B234" s="113">
        <v>597</v>
      </c>
      <c r="C234" s="137" t="s">
        <v>547</v>
      </c>
      <c r="D234" s="117"/>
      <c r="E234" s="118">
        <f>9261791/52897</f>
        <v>175.09104486076714</v>
      </c>
      <c r="F234" s="136">
        <v>38899</v>
      </c>
      <c r="G234" s="120">
        <v>4356</v>
      </c>
      <c r="H234" s="162">
        <v>7289</v>
      </c>
      <c r="I234" s="122">
        <f t="shared" si="32"/>
        <v>1.6733199999999999</v>
      </c>
      <c r="J234" s="143">
        <f t="shared" si="33"/>
        <v>292.98</v>
      </c>
      <c r="K234" s="124">
        <v>52897</v>
      </c>
      <c r="L234" s="125">
        <f t="shared" si="31"/>
        <v>15497763</v>
      </c>
    </row>
    <row r="235" spans="1:24" s="12" customFormat="1" ht="10.15" customHeight="1" x14ac:dyDescent="0.2">
      <c r="A235" s="113" t="s">
        <v>19</v>
      </c>
      <c r="B235" s="113">
        <v>284</v>
      </c>
      <c r="C235" s="137" t="s">
        <v>549</v>
      </c>
      <c r="D235" s="117"/>
      <c r="E235" s="118">
        <f>10928770/47756</f>
        <v>228.84600887846554</v>
      </c>
      <c r="F235" s="136">
        <v>39173</v>
      </c>
      <c r="G235" s="120">
        <v>4356</v>
      </c>
      <c r="H235" s="162">
        <v>7289</v>
      </c>
      <c r="I235" s="122">
        <f t="shared" si="32"/>
        <v>1.6733199999999999</v>
      </c>
      <c r="J235" s="143">
        <f t="shared" si="33"/>
        <v>382.93</v>
      </c>
      <c r="K235" s="124">
        <v>47756</v>
      </c>
      <c r="L235" s="125">
        <f t="shared" si="31"/>
        <v>18287205</v>
      </c>
    </row>
    <row r="236" spans="1:24" s="12" customFormat="1" ht="10.15" customHeight="1" x14ac:dyDescent="0.2">
      <c r="A236" s="113" t="s">
        <v>21</v>
      </c>
      <c r="B236" s="113"/>
      <c r="C236" s="145" t="s">
        <v>559</v>
      </c>
      <c r="D236" s="117"/>
      <c r="E236" s="118">
        <f>10146781/37919</f>
        <v>267.59094385400459</v>
      </c>
      <c r="F236" s="136">
        <v>39252</v>
      </c>
      <c r="G236" s="120">
        <v>4471</v>
      </c>
      <c r="H236" s="162">
        <v>7289</v>
      </c>
      <c r="I236" s="122">
        <f t="shared" si="32"/>
        <v>1.63028</v>
      </c>
      <c r="J236" s="143">
        <f t="shared" si="33"/>
        <v>436.25</v>
      </c>
      <c r="K236" s="124">
        <v>37919</v>
      </c>
      <c r="L236" s="125">
        <f t="shared" si="31"/>
        <v>16542164</v>
      </c>
    </row>
    <row r="237" spans="1:24" s="12" customFormat="1" ht="10.15" customHeight="1" x14ac:dyDescent="0.2">
      <c r="A237" s="113" t="s">
        <v>21</v>
      </c>
      <c r="B237" s="113"/>
      <c r="C237" s="137" t="s">
        <v>558</v>
      </c>
      <c r="D237" s="117"/>
      <c r="E237" s="118">
        <f>1595078/2887</f>
        <v>552.50363699341881</v>
      </c>
      <c r="F237" s="136">
        <v>39083</v>
      </c>
      <c r="G237" s="120">
        <v>4432</v>
      </c>
      <c r="H237" s="162">
        <v>7289</v>
      </c>
      <c r="I237" s="122">
        <f t="shared" si="32"/>
        <v>1.64463</v>
      </c>
      <c r="J237" s="143">
        <f t="shared" si="33"/>
        <v>908.66</v>
      </c>
      <c r="K237" s="124">
        <v>2887</v>
      </c>
      <c r="L237" s="125">
        <f t="shared" si="31"/>
        <v>2623301</v>
      </c>
    </row>
    <row r="238" spans="1:24" s="12" customFormat="1" ht="10.15" customHeight="1" x14ac:dyDescent="0.2">
      <c r="A238" s="113" t="s">
        <v>21</v>
      </c>
      <c r="B238" s="113"/>
      <c r="C238" s="145" t="s">
        <v>560</v>
      </c>
      <c r="D238" s="117"/>
      <c r="E238" s="118">
        <f>21194717/97969</f>
        <v>216.34105686492666</v>
      </c>
      <c r="F238" s="136">
        <v>39387</v>
      </c>
      <c r="G238" s="120">
        <v>4558</v>
      </c>
      <c r="H238" s="162">
        <v>7289</v>
      </c>
      <c r="I238" s="122">
        <f t="shared" si="32"/>
        <v>1.59917</v>
      </c>
      <c r="J238" s="143">
        <f t="shared" si="33"/>
        <v>345.97</v>
      </c>
      <c r="K238" s="124">
        <v>97969</v>
      </c>
      <c r="L238" s="125">
        <f t="shared" si="31"/>
        <v>33894335</v>
      </c>
    </row>
    <row r="239" spans="1:24" s="12" customFormat="1" ht="10.15" customHeight="1" x14ac:dyDescent="0.2">
      <c r="A239" s="113" t="s">
        <v>24</v>
      </c>
      <c r="B239" s="113">
        <v>206</v>
      </c>
      <c r="C239" s="145" t="s">
        <v>564</v>
      </c>
      <c r="D239" s="117"/>
      <c r="E239" s="118">
        <f>19065460/69518</f>
        <v>274.25213613740328</v>
      </c>
      <c r="F239" s="142">
        <v>39783</v>
      </c>
      <c r="G239" s="120">
        <v>4797</v>
      </c>
      <c r="H239" s="162">
        <v>7289</v>
      </c>
      <c r="I239" s="122">
        <f t="shared" si="32"/>
        <v>1.51949</v>
      </c>
      <c r="J239" s="143">
        <f t="shared" si="33"/>
        <v>416.72</v>
      </c>
      <c r="K239" s="144">
        <v>69518</v>
      </c>
      <c r="L239" s="125">
        <f t="shared" si="31"/>
        <v>28969541</v>
      </c>
    </row>
    <row r="240" spans="1:24" s="12" customFormat="1" ht="10.15" customHeight="1" x14ac:dyDescent="0.2">
      <c r="A240" s="113" t="s">
        <v>19</v>
      </c>
      <c r="B240" s="113" t="s">
        <v>566</v>
      </c>
      <c r="C240" s="145" t="s">
        <v>572</v>
      </c>
      <c r="D240" s="117"/>
      <c r="E240" s="118">
        <f>9698771/42755</f>
        <v>226.84530464273183</v>
      </c>
      <c r="F240" s="136">
        <v>39722</v>
      </c>
      <c r="G240" s="120">
        <v>4867</v>
      </c>
      <c r="H240" s="162">
        <v>7289</v>
      </c>
      <c r="I240" s="122">
        <f t="shared" ref="I240:I256" si="34">ROUND(H240/G240,5)</f>
        <v>1.4976400000000001</v>
      </c>
      <c r="J240" s="143">
        <f t="shared" ref="J240:J256" si="35">ROUND(E240*I240,2)</f>
        <v>339.73</v>
      </c>
      <c r="K240" s="124">
        <v>42755</v>
      </c>
      <c r="L240" s="125">
        <f t="shared" si="31"/>
        <v>14525156</v>
      </c>
    </row>
    <row r="241" spans="1:14" s="12" customFormat="1" ht="10.15" customHeight="1" x14ac:dyDescent="0.2">
      <c r="A241" s="113" t="s">
        <v>22</v>
      </c>
      <c r="B241" s="113">
        <v>833</v>
      </c>
      <c r="C241" s="145" t="s">
        <v>571</v>
      </c>
      <c r="D241" s="117"/>
      <c r="E241" s="118">
        <f>33949005/114903</f>
        <v>295.45795148951726</v>
      </c>
      <c r="F241" s="142">
        <v>39753</v>
      </c>
      <c r="G241" s="120">
        <v>4847</v>
      </c>
      <c r="H241" s="162">
        <v>7289</v>
      </c>
      <c r="I241" s="122">
        <f t="shared" si="34"/>
        <v>1.5038199999999999</v>
      </c>
      <c r="J241" s="143">
        <f t="shared" si="35"/>
        <v>444.32</v>
      </c>
      <c r="K241" s="144">
        <v>114903</v>
      </c>
      <c r="L241" s="125">
        <f t="shared" si="31"/>
        <v>51053701</v>
      </c>
    </row>
    <row r="242" spans="1:14" s="12" customFormat="1" ht="10.15" customHeight="1" x14ac:dyDescent="0.2">
      <c r="A242" s="113" t="s">
        <v>24</v>
      </c>
      <c r="B242" s="113">
        <v>256</v>
      </c>
      <c r="C242" s="145" t="s">
        <v>574</v>
      </c>
      <c r="D242" s="117"/>
      <c r="E242" s="118">
        <f>5972833/22549</f>
        <v>264.88238946294734</v>
      </c>
      <c r="F242" s="142">
        <v>39845</v>
      </c>
      <c r="G242" s="120">
        <v>4765</v>
      </c>
      <c r="H242" s="162">
        <v>7289</v>
      </c>
      <c r="I242" s="122">
        <f t="shared" si="34"/>
        <v>1.5297000000000001</v>
      </c>
      <c r="J242" s="143">
        <f t="shared" si="35"/>
        <v>405.19</v>
      </c>
      <c r="K242" s="144">
        <v>22549</v>
      </c>
      <c r="L242" s="125">
        <f t="shared" si="31"/>
        <v>9136629</v>
      </c>
    </row>
    <row r="243" spans="1:14" s="12" customFormat="1" ht="10.15" customHeight="1" x14ac:dyDescent="0.2">
      <c r="A243" s="113" t="s">
        <v>24</v>
      </c>
      <c r="B243" s="113">
        <v>303</v>
      </c>
      <c r="C243" s="145" t="s">
        <v>587</v>
      </c>
      <c r="D243" s="117"/>
      <c r="E243" s="118">
        <f>5396258/21535</f>
        <v>250.58082191780821</v>
      </c>
      <c r="F243" s="142">
        <v>39448</v>
      </c>
      <c r="G243" s="120">
        <v>4557</v>
      </c>
      <c r="H243" s="162">
        <v>7289</v>
      </c>
      <c r="I243" s="122">
        <f t="shared" si="34"/>
        <v>1.5995200000000001</v>
      </c>
      <c r="J243" s="143">
        <f t="shared" si="35"/>
        <v>400.81</v>
      </c>
      <c r="K243" s="144">
        <v>21535</v>
      </c>
      <c r="L243" s="125">
        <f t="shared" si="31"/>
        <v>8631443</v>
      </c>
    </row>
    <row r="244" spans="1:14" s="12" customFormat="1" ht="10.15" customHeight="1" x14ac:dyDescent="0.2">
      <c r="A244" s="113" t="s">
        <v>20</v>
      </c>
      <c r="B244" s="113">
        <v>521</v>
      </c>
      <c r="C244" s="145" t="s">
        <v>589</v>
      </c>
      <c r="D244" s="117"/>
      <c r="E244" s="118">
        <f>19179884/74710</f>
        <v>256.72445455762283</v>
      </c>
      <c r="F244" s="142">
        <v>39995</v>
      </c>
      <c r="G244" s="120">
        <v>4762</v>
      </c>
      <c r="H244" s="162">
        <v>7289</v>
      </c>
      <c r="I244" s="122">
        <f t="shared" si="34"/>
        <v>1.5306599999999999</v>
      </c>
      <c r="J244" s="143">
        <f t="shared" si="35"/>
        <v>392.96</v>
      </c>
      <c r="K244" s="144">
        <v>74710</v>
      </c>
      <c r="L244" s="125">
        <f t="shared" si="31"/>
        <v>29358042</v>
      </c>
    </row>
    <row r="245" spans="1:14" s="12" customFormat="1" ht="10.15" customHeight="1" x14ac:dyDescent="0.2">
      <c r="A245" s="113" t="s">
        <v>20</v>
      </c>
      <c r="B245" s="113">
        <v>528</v>
      </c>
      <c r="C245" s="145" t="s">
        <v>578</v>
      </c>
      <c r="D245" s="117"/>
      <c r="E245" s="118">
        <f>19179884/77380</f>
        <v>247.86616696820883</v>
      </c>
      <c r="F245" s="142">
        <v>39904</v>
      </c>
      <c r="G245" s="120">
        <v>4761</v>
      </c>
      <c r="H245" s="162">
        <v>7289</v>
      </c>
      <c r="I245" s="122">
        <f t="shared" si="34"/>
        <v>1.53098</v>
      </c>
      <c r="J245" s="143">
        <f t="shared" si="35"/>
        <v>379.48</v>
      </c>
      <c r="K245" s="144">
        <v>77380</v>
      </c>
      <c r="L245" s="125">
        <f t="shared" si="31"/>
        <v>29364162</v>
      </c>
    </row>
    <row r="246" spans="1:14" s="12" customFormat="1" ht="10.15" customHeight="1" x14ac:dyDescent="0.2">
      <c r="A246" s="113" t="s">
        <v>20</v>
      </c>
      <c r="B246" s="113">
        <v>536</v>
      </c>
      <c r="C246" s="145" t="s">
        <v>579</v>
      </c>
      <c r="D246" s="117"/>
      <c r="E246" s="118">
        <f>15691296/117442</f>
        <v>133.60889630626181</v>
      </c>
      <c r="F246" s="142">
        <v>39904</v>
      </c>
      <c r="G246" s="120">
        <v>4761</v>
      </c>
      <c r="H246" s="162">
        <v>7289</v>
      </c>
      <c r="I246" s="122">
        <f t="shared" si="34"/>
        <v>1.53098</v>
      </c>
      <c r="J246" s="143">
        <f t="shared" si="35"/>
        <v>204.55</v>
      </c>
      <c r="K246" s="144">
        <v>117442</v>
      </c>
      <c r="L246" s="125">
        <f t="shared" si="31"/>
        <v>24022761</v>
      </c>
    </row>
    <row r="247" spans="1:14" s="12" customFormat="1" ht="10.15" customHeight="1" x14ac:dyDescent="0.2">
      <c r="A247" s="113" t="s">
        <v>17</v>
      </c>
      <c r="B247" s="113">
        <v>550</v>
      </c>
      <c r="C247" s="145" t="s">
        <v>590</v>
      </c>
      <c r="D247" s="117"/>
      <c r="E247" s="118">
        <f>35573448/113535</f>
        <v>313.32582903950322</v>
      </c>
      <c r="F247" s="142">
        <v>39814</v>
      </c>
      <c r="G247" s="120">
        <v>4782</v>
      </c>
      <c r="H247" s="162">
        <v>7289</v>
      </c>
      <c r="I247" s="122">
        <f t="shared" si="34"/>
        <v>1.5242599999999999</v>
      </c>
      <c r="J247" s="143">
        <f t="shared" si="35"/>
        <v>477.59</v>
      </c>
      <c r="K247" s="144">
        <v>113535</v>
      </c>
      <c r="L247" s="125">
        <f t="shared" si="31"/>
        <v>54223181</v>
      </c>
    </row>
    <row r="248" spans="1:14" s="12" customFormat="1" ht="10.15" customHeight="1" x14ac:dyDescent="0.2">
      <c r="A248" s="113" t="s">
        <v>17</v>
      </c>
      <c r="B248" s="113">
        <v>512</v>
      </c>
      <c r="C248" s="145" t="s">
        <v>581</v>
      </c>
      <c r="D248" s="117"/>
      <c r="E248" s="118">
        <f>18865248/74788</f>
        <v>252.24966572177354</v>
      </c>
      <c r="F248" s="142">
        <v>40118</v>
      </c>
      <c r="G248" s="120">
        <v>4757</v>
      </c>
      <c r="H248" s="162">
        <v>7289</v>
      </c>
      <c r="I248" s="122">
        <f t="shared" si="34"/>
        <v>1.53227</v>
      </c>
      <c r="J248" s="143">
        <f t="shared" si="35"/>
        <v>386.51</v>
      </c>
      <c r="K248" s="144">
        <v>74788</v>
      </c>
      <c r="L248" s="125">
        <f t="shared" si="31"/>
        <v>28906310</v>
      </c>
    </row>
    <row r="249" spans="1:14" s="12" customFormat="1" ht="10.15" customHeight="1" x14ac:dyDescent="0.2">
      <c r="A249" s="113" t="s">
        <v>23</v>
      </c>
      <c r="B249" s="113">
        <v>678</v>
      </c>
      <c r="C249" s="145" t="s">
        <v>583</v>
      </c>
      <c r="D249" s="117"/>
      <c r="E249" s="118">
        <f>18825512/73208</f>
        <v>257.15102174625724</v>
      </c>
      <c r="F249" s="142">
        <v>39934</v>
      </c>
      <c r="G249" s="120">
        <v>4773</v>
      </c>
      <c r="H249" s="162">
        <v>7289</v>
      </c>
      <c r="I249" s="122">
        <f t="shared" si="34"/>
        <v>1.5271300000000001</v>
      </c>
      <c r="J249" s="143">
        <f t="shared" si="35"/>
        <v>392.7</v>
      </c>
      <c r="K249" s="144">
        <v>73208</v>
      </c>
      <c r="L249" s="125">
        <f t="shared" si="31"/>
        <v>28748782</v>
      </c>
    </row>
    <row r="250" spans="1:14" s="12" customFormat="1" ht="10.15" customHeight="1" x14ac:dyDescent="0.2">
      <c r="A250" s="113" t="s">
        <v>29</v>
      </c>
      <c r="B250" s="113"/>
      <c r="C250" s="145" t="s">
        <v>585</v>
      </c>
      <c r="D250" s="117"/>
      <c r="E250" s="118">
        <f>22381425/94719</f>
        <v>236.29287682513541</v>
      </c>
      <c r="F250" s="142">
        <v>39965</v>
      </c>
      <c r="G250" s="120">
        <v>4771</v>
      </c>
      <c r="H250" s="162">
        <v>7289</v>
      </c>
      <c r="I250" s="122">
        <f t="shared" si="34"/>
        <v>1.5277700000000001</v>
      </c>
      <c r="J250" s="143">
        <f t="shared" si="35"/>
        <v>361</v>
      </c>
      <c r="K250" s="144">
        <v>94719</v>
      </c>
      <c r="L250" s="125">
        <f t="shared" si="31"/>
        <v>34193559</v>
      </c>
    </row>
    <row r="251" spans="1:14" s="12" customFormat="1" ht="10.15" customHeight="1" x14ac:dyDescent="0.2">
      <c r="A251" s="113" t="s">
        <v>128</v>
      </c>
      <c r="B251" s="113"/>
      <c r="C251" s="145" t="s">
        <v>596</v>
      </c>
      <c r="D251" s="117"/>
      <c r="E251" s="118">
        <f>14930038/69275</f>
        <v>215.51841212558642</v>
      </c>
      <c r="F251" s="142">
        <v>40513</v>
      </c>
      <c r="G251" s="120">
        <v>4970</v>
      </c>
      <c r="H251" s="162">
        <v>7289</v>
      </c>
      <c r="I251" s="122">
        <f t="shared" si="34"/>
        <v>1.4665999999999999</v>
      </c>
      <c r="J251" s="143">
        <f t="shared" si="35"/>
        <v>316.08</v>
      </c>
      <c r="K251" s="144">
        <v>69275</v>
      </c>
      <c r="L251" s="125">
        <f t="shared" si="31"/>
        <v>21896442</v>
      </c>
    </row>
    <row r="252" spans="1:14" s="12" customFormat="1" ht="10.15" customHeight="1" x14ac:dyDescent="0.2">
      <c r="A252" s="113" t="s">
        <v>603</v>
      </c>
      <c r="B252" s="113"/>
      <c r="C252" s="145" t="s">
        <v>604</v>
      </c>
      <c r="D252" s="117"/>
      <c r="E252" s="118">
        <f>8582133/35622</f>
        <v>240.92226713828532</v>
      </c>
      <c r="F252" s="142">
        <v>40210</v>
      </c>
      <c r="G252" s="120">
        <v>4812</v>
      </c>
      <c r="H252" s="162">
        <v>7289</v>
      </c>
      <c r="I252" s="122">
        <f t="shared" si="34"/>
        <v>1.51475</v>
      </c>
      <c r="J252" s="143">
        <f t="shared" si="35"/>
        <v>364.94</v>
      </c>
      <c r="K252" s="144">
        <v>35622</v>
      </c>
      <c r="L252" s="125">
        <f t="shared" si="31"/>
        <v>12999893</v>
      </c>
    </row>
    <row r="253" spans="1:14" s="12" customFormat="1" ht="10.15" customHeight="1" x14ac:dyDescent="0.2">
      <c r="A253" s="113" t="s">
        <v>24</v>
      </c>
      <c r="B253" s="113"/>
      <c r="C253" s="145" t="s">
        <v>619</v>
      </c>
      <c r="D253" s="117"/>
      <c r="E253" s="118">
        <f>11432301/48590</f>
        <v>235.28094258077795</v>
      </c>
      <c r="F253" s="142">
        <v>40448</v>
      </c>
      <c r="G253" s="120">
        <v>4910</v>
      </c>
      <c r="H253" s="162">
        <v>7289</v>
      </c>
      <c r="I253" s="122">
        <f t="shared" si="34"/>
        <v>1.4845200000000001</v>
      </c>
      <c r="J253" s="143">
        <f t="shared" si="35"/>
        <v>349.28</v>
      </c>
      <c r="K253" s="144">
        <v>48590</v>
      </c>
      <c r="L253" s="125">
        <f t="shared" si="31"/>
        <v>16971515</v>
      </c>
    </row>
    <row r="254" spans="1:14" s="12" customFormat="1" ht="10.15" customHeight="1" x14ac:dyDescent="0.2">
      <c r="A254" s="113" t="s">
        <v>24</v>
      </c>
      <c r="B254" s="113"/>
      <c r="C254" s="145" t="s">
        <v>622</v>
      </c>
      <c r="D254" s="117"/>
      <c r="E254" s="118">
        <f>4464264/18042</f>
        <v>247.43731293648153</v>
      </c>
      <c r="F254" s="142">
        <v>40479</v>
      </c>
      <c r="G254" s="120">
        <v>4947</v>
      </c>
      <c r="H254" s="162">
        <v>7289</v>
      </c>
      <c r="I254" s="122">
        <f t="shared" si="34"/>
        <v>1.47342</v>
      </c>
      <c r="J254" s="143">
        <f t="shared" si="35"/>
        <v>364.58</v>
      </c>
      <c r="K254" s="144">
        <v>18042</v>
      </c>
      <c r="L254" s="125">
        <f t="shared" si="31"/>
        <v>6577752</v>
      </c>
      <c r="M254" s="25"/>
    </row>
    <row r="255" spans="1:14" s="22" customFormat="1" ht="10.15" customHeight="1" x14ac:dyDescent="0.2">
      <c r="A255" s="113" t="s">
        <v>22</v>
      </c>
      <c r="B255" s="113"/>
      <c r="C255" s="145" t="s">
        <v>623</v>
      </c>
      <c r="D255" s="117"/>
      <c r="E255" s="118">
        <f>13898708/58238</f>
        <v>238.65359387341599</v>
      </c>
      <c r="F255" s="142">
        <v>40087</v>
      </c>
      <c r="G255" s="120">
        <v>4762</v>
      </c>
      <c r="H255" s="162">
        <v>7289</v>
      </c>
      <c r="I255" s="122">
        <f t="shared" si="34"/>
        <v>1.5306599999999999</v>
      </c>
      <c r="J255" s="143">
        <f t="shared" si="35"/>
        <v>365.3</v>
      </c>
      <c r="K255" s="144">
        <v>58238</v>
      </c>
      <c r="L255" s="125">
        <f t="shared" si="31"/>
        <v>21274341</v>
      </c>
      <c r="M255" s="25"/>
      <c r="N255" s="12"/>
    </row>
    <row r="256" spans="1:14" s="22" customFormat="1" ht="10.15" customHeight="1" x14ac:dyDescent="0.2">
      <c r="A256" s="113" t="s">
        <v>24</v>
      </c>
      <c r="B256" s="150"/>
      <c r="C256" s="145" t="s">
        <v>624</v>
      </c>
      <c r="D256" s="117"/>
      <c r="E256" s="118">
        <f>46275000/114329</f>
        <v>404.75294982025559</v>
      </c>
      <c r="F256" s="142">
        <v>40575</v>
      </c>
      <c r="G256" s="120">
        <v>5007</v>
      </c>
      <c r="H256" s="162">
        <v>7289</v>
      </c>
      <c r="I256" s="122">
        <f t="shared" si="34"/>
        <v>1.4557599999999999</v>
      </c>
      <c r="J256" s="143">
        <f t="shared" si="35"/>
        <v>589.22</v>
      </c>
      <c r="K256" s="144">
        <v>114329</v>
      </c>
      <c r="L256" s="125">
        <f t="shared" si="31"/>
        <v>67364933</v>
      </c>
      <c r="M256" s="25"/>
    </row>
    <row r="257" spans="1:14" s="22" customFormat="1" ht="10.15" customHeight="1" x14ac:dyDescent="0.2">
      <c r="A257" s="113" t="s">
        <v>24</v>
      </c>
      <c r="B257" s="150"/>
      <c r="C257" s="145" t="s">
        <v>626</v>
      </c>
      <c r="D257" s="117"/>
      <c r="E257" s="118">
        <f>36105881/68619</f>
        <v>526.17906119296401</v>
      </c>
      <c r="F257" s="142">
        <v>40806</v>
      </c>
      <c r="G257" s="120">
        <v>5098</v>
      </c>
      <c r="H257" s="162">
        <v>7289</v>
      </c>
      <c r="I257" s="122">
        <f t="shared" ref="I257:I274" si="36">ROUND(H257/G257,5)</f>
        <v>1.4297800000000001</v>
      </c>
      <c r="J257" s="143">
        <f t="shared" ref="J257:J273" si="37">ROUND(E257*I257,2)</f>
        <v>752.32</v>
      </c>
      <c r="K257" s="144">
        <v>119198</v>
      </c>
      <c r="L257" s="125">
        <f t="shared" si="31"/>
        <v>89675039</v>
      </c>
      <c r="M257" s="25"/>
    </row>
    <row r="258" spans="1:14" s="22" customFormat="1" ht="10.15" customHeight="1" x14ac:dyDescent="0.2">
      <c r="A258" s="113" t="s">
        <v>29</v>
      </c>
      <c r="B258" s="150"/>
      <c r="C258" s="145" t="s">
        <v>632</v>
      </c>
      <c r="D258" s="117"/>
      <c r="E258" s="118">
        <f>3396700/19832</f>
        <v>171.27369907220654</v>
      </c>
      <c r="F258" s="142">
        <v>40210</v>
      </c>
      <c r="G258" s="120">
        <v>4812</v>
      </c>
      <c r="H258" s="162">
        <v>7289</v>
      </c>
      <c r="I258" s="122">
        <f t="shared" si="36"/>
        <v>1.51475</v>
      </c>
      <c r="J258" s="143">
        <f t="shared" si="37"/>
        <v>259.44</v>
      </c>
      <c r="K258" s="144">
        <v>19832</v>
      </c>
      <c r="L258" s="125">
        <f t="shared" si="31"/>
        <v>5145214</v>
      </c>
      <c r="M258" s="25"/>
    </row>
    <row r="259" spans="1:14" s="22" customFormat="1" ht="10.15" customHeight="1" x14ac:dyDescent="0.2">
      <c r="A259" s="113" t="s">
        <v>21</v>
      </c>
      <c r="B259" s="150"/>
      <c r="C259" s="145" t="s">
        <v>635</v>
      </c>
      <c r="D259" s="117"/>
      <c r="E259" s="118">
        <f>3393262/15991</f>
        <v>212.19823650803576</v>
      </c>
      <c r="F259" s="142">
        <v>40544</v>
      </c>
      <c r="G259" s="120">
        <v>4969</v>
      </c>
      <c r="H259" s="162">
        <v>7289</v>
      </c>
      <c r="I259" s="122">
        <f t="shared" si="36"/>
        <v>1.46689</v>
      </c>
      <c r="J259" s="143">
        <f t="shared" si="37"/>
        <v>311.27</v>
      </c>
      <c r="K259" s="144">
        <v>15991</v>
      </c>
      <c r="L259" s="125">
        <f t="shared" si="31"/>
        <v>4977519</v>
      </c>
      <c r="M259" s="25"/>
    </row>
    <row r="260" spans="1:14" s="22" customFormat="1" ht="10.15" customHeight="1" x14ac:dyDescent="0.2">
      <c r="A260" s="113" t="s">
        <v>24</v>
      </c>
      <c r="B260" s="150"/>
      <c r="C260" s="145" t="s">
        <v>627</v>
      </c>
      <c r="D260" s="117"/>
      <c r="E260" s="118">
        <f>3635149/11788</f>
        <v>308.3770783847981</v>
      </c>
      <c r="F260" s="142">
        <v>40817</v>
      </c>
      <c r="G260" s="120">
        <v>5104</v>
      </c>
      <c r="H260" s="162">
        <v>7289</v>
      </c>
      <c r="I260" s="122">
        <f t="shared" si="36"/>
        <v>1.4280999999999999</v>
      </c>
      <c r="J260" s="143">
        <f t="shared" si="37"/>
        <v>440.39</v>
      </c>
      <c r="K260" s="144">
        <v>11788</v>
      </c>
      <c r="L260" s="125">
        <f t="shared" si="31"/>
        <v>5191317</v>
      </c>
      <c r="M260" s="25"/>
    </row>
    <row r="261" spans="1:14" s="22" customFormat="1" ht="10.15" customHeight="1" x14ac:dyDescent="0.2">
      <c r="A261" s="113" t="s">
        <v>29</v>
      </c>
      <c r="B261" s="150"/>
      <c r="C261" s="145" t="s">
        <v>639</v>
      </c>
      <c r="D261" s="117"/>
      <c r="E261" s="118">
        <f>13810164/44380</f>
        <v>311.17990085624155</v>
      </c>
      <c r="F261" s="142">
        <v>40695</v>
      </c>
      <c r="G261" s="120">
        <v>5059</v>
      </c>
      <c r="H261" s="162">
        <v>7289</v>
      </c>
      <c r="I261" s="122">
        <f t="shared" si="36"/>
        <v>1.4408000000000001</v>
      </c>
      <c r="J261" s="143">
        <f t="shared" si="37"/>
        <v>448.35</v>
      </c>
      <c r="K261" s="144">
        <v>44380</v>
      </c>
      <c r="L261" s="125">
        <f t="shared" si="31"/>
        <v>19897773</v>
      </c>
      <c r="M261" s="25"/>
    </row>
    <row r="262" spans="1:14" s="22" customFormat="1" ht="10.15" customHeight="1" x14ac:dyDescent="0.2">
      <c r="A262" s="113" t="s">
        <v>22</v>
      </c>
      <c r="B262" s="113"/>
      <c r="C262" s="145" t="s">
        <v>645</v>
      </c>
      <c r="D262" s="117"/>
      <c r="E262" s="118">
        <f>56163409/136076</f>
        <v>412.73559628442928</v>
      </c>
      <c r="F262" s="142">
        <v>41306</v>
      </c>
      <c r="G262" s="120">
        <v>5246</v>
      </c>
      <c r="H262" s="162">
        <v>7289</v>
      </c>
      <c r="I262" s="122">
        <f t="shared" si="36"/>
        <v>1.38944</v>
      </c>
      <c r="J262" s="143">
        <f t="shared" si="37"/>
        <v>573.47</v>
      </c>
      <c r="K262" s="144">
        <v>136076</v>
      </c>
      <c r="L262" s="125">
        <f t="shared" si="31"/>
        <v>78035504</v>
      </c>
    </row>
    <row r="263" spans="1:14" s="22" customFormat="1" ht="10.15" customHeight="1" x14ac:dyDescent="0.2">
      <c r="A263" s="113" t="s">
        <v>19</v>
      </c>
      <c r="B263" s="113"/>
      <c r="C263" s="145" t="s">
        <v>653</v>
      </c>
      <c r="D263" s="117"/>
      <c r="E263" s="118">
        <f>15395753/33400</f>
        <v>460.95068862275451</v>
      </c>
      <c r="F263" s="142">
        <v>41620</v>
      </c>
      <c r="G263" s="120">
        <v>5326</v>
      </c>
      <c r="H263" s="162">
        <v>7289</v>
      </c>
      <c r="I263" s="122">
        <f t="shared" si="36"/>
        <v>1.3685700000000001</v>
      </c>
      <c r="J263" s="143">
        <f t="shared" si="37"/>
        <v>630.84</v>
      </c>
      <c r="K263" s="144">
        <v>33400</v>
      </c>
      <c r="L263" s="125">
        <f t="shared" si="31"/>
        <v>21070056</v>
      </c>
    </row>
    <row r="264" spans="1:14" s="22" customFormat="1" ht="10.15" customHeight="1" x14ac:dyDescent="0.2">
      <c r="A264" s="113" t="s">
        <v>24</v>
      </c>
      <c r="B264" s="113"/>
      <c r="C264" s="191" t="s">
        <v>652</v>
      </c>
      <c r="D264" s="117"/>
      <c r="E264" s="118">
        <f>12508379/26182</f>
        <v>477.74726911618671</v>
      </c>
      <c r="F264" s="142">
        <v>41275</v>
      </c>
      <c r="G264" s="120">
        <v>5226</v>
      </c>
      <c r="H264" s="162">
        <v>7289</v>
      </c>
      <c r="I264" s="122">
        <f t="shared" si="36"/>
        <v>1.39476</v>
      </c>
      <c r="J264" s="143">
        <f t="shared" si="37"/>
        <v>666.34</v>
      </c>
      <c r="K264" s="144">
        <v>26182</v>
      </c>
      <c r="L264" s="125">
        <f t="shared" si="31"/>
        <v>17446114</v>
      </c>
    </row>
    <row r="265" spans="1:14" s="22" customFormat="1" ht="10.15" customHeight="1" x14ac:dyDescent="0.2">
      <c r="A265" s="113" t="s">
        <v>24</v>
      </c>
      <c r="B265" s="113"/>
      <c r="C265" s="191" t="s">
        <v>655</v>
      </c>
      <c r="D265" s="117"/>
      <c r="E265" s="118">
        <f>36126802/129418</f>
        <v>279.14820195026965</v>
      </c>
      <c r="F265" s="142">
        <v>41434</v>
      </c>
      <c r="G265" s="120">
        <v>5286</v>
      </c>
      <c r="H265" s="162">
        <v>7289</v>
      </c>
      <c r="I265" s="122">
        <f t="shared" si="36"/>
        <v>1.37893</v>
      </c>
      <c r="J265" s="143">
        <f t="shared" si="37"/>
        <v>384.93</v>
      </c>
      <c r="K265" s="144">
        <v>129418</v>
      </c>
      <c r="L265" s="125">
        <f t="shared" si="31"/>
        <v>49816871</v>
      </c>
    </row>
    <row r="266" spans="1:14" s="22" customFormat="1" ht="10.15" customHeight="1" x14ac:dyDescent="0.2">
      <c r="A266" s="113" t="s">
        <v>24</v>
      </c>
      <c r="B266" s="113"/>
      <c r="C266" s="191" t="s">
        <v>658</v>
      </c>
      <c r="D266" s="117"/>
      <c r="E266" s="118">
        <f>22650000/K266</f>
        <v>404.46428571428572</v>
      </c>
      <c r="F266" s="142">
        <v>41947</v>
      </c>
      <c r="G266" s="120">
        <v>5468</v>
      </c>
      <c r="H266" s="162">
        <v>7289</v>
      </c>
      <c r="I266" s="122">
        <f t="shared" si="36"/>
        <v>1.3330299999999999</v>
      </c>
      <c r="J266" s="143">
        <f t="shared" si="37"/>
        <v>539.16</v>
      </c>
      <c r="K266" s="144">
        <v>56000</v>
      </c>
      <c r="L266" s="125">
        <f t="shared" si="31"/>
        <v>30192960</v>
      </c>
    </row>
    <row r="267" spans="1:14" s="22" customFormat="1" ht="10.15" customHeight="1" x14ac:dyDescent="0.2">
      <c r="A267" s="113" t="s">
        <v>22</v>
      </c>
      <c r="B267" s="113"/>
      <c r="C267" s="191" t="s">
        <v>659</v>
      </c>
      <c r="D267" s="117"/>
      <c r="E267" s="118">
        <f>36099868.07/K267</f>
        <v>319.32373946272037</v>
      </c>
      <c r="F267" s="142">
        <v>41852</v>
      </c>
      <c r="G267" s="120">
        <v>5390</v>
      </c>
      <c r="H267" s="162">
        <v>7289</v>
      </c>
      <c r="I267" s="122">
        <f t="shared" si="36"/>
        <v>1.35232</v>
      </c>
      <c r="J267" s="143">
        <f t="shared" si="37"/>
        <v>431.83</v>
      </c>
      <c r="K267" s="144">
        <v>113051</v>
      </c>
      <c r="L267" s="125">
        <f t="shared" si="31"/>
        <v>48818813</v>
      </c>
    </row>
    <row r="268" spans="1:14" ht="10.15" customHeight="1" x14ac:dyDescent="0.2">
      <c r="A268" s="113" t="s">
        <v>22</v>
      </c>
      <c r="B268" s="113"/>
      <c r="C268" s="191" t="s">
        <v>660</v>
      </c>
      <c r="D268" s="117"/>
      <c r="E268" s="118">
        <f>46163143/K268</f>
        <v>289.63473748933393</v>
      </c>
      <c r="F268" s="142">
        <v>41821</v>
      </c>
      <c r="G268" s="120">
        <v>5383</v>
      </c>
      <c r="H268" s="162">
        <v>7289</v>
      </c>
      <c r="I268" s="122">
        <f t="shared" si="36"/>
        <v>1.35408</v>
      </c>
      <c r="J268" s="143">
        <f t="shared" si="37"/>
        <v>392.19</v>
      </c>
      <c r="K268" s="144">
        <v>159384</v>
      </c>
      <c r="L268" s="125">
        <f t="shared" si="31"/>
        <v>62508811</v>
      </c>
      <c r="M268" s="22"/>
      <c r="N268" s="22"/>
    </row>
    <row r="269" spans="1:14" s="12" customFormat="1" ht="10.15" customHeight="1" x14ac:dyDescent="0.2">
      <c r="A269" s="113" t="s">
        <v>24</v>
      </c>
      <c r="B269" s="150"/>
      <c r="C269" s="145" t="s">
        <v>671</v>
      </c>
      <c r="D269" s="117"/>
      <c r="E269" s="118">
        <f>45419000/109202</f>
        <v>415.91729089210821</v>
      </c>
      <c r="F269" s="142">
        <v>42200</v>
      </c>
      <c r="G269" s="120">
        <v>5510</v>
      </c>
      <c r="H269" s="162">
        <v>7289</v>
      </c>
      <c r="I269" s="122">
        <f t="shared" si="36"/>
        <v>1.32287</v>
      </c>
      <c r="J269" s="143">
        <f t="shared" si="37"/>
        <v>550.20000000000005</v>
      </c>
      <c r="K269" s="144">
        <v>109202</v>
      </c>
      <c r="L269" s="125">
        <f t="shared" si="31"/>
        <v>60082940</v>
      </c>
      <c r="M269" s="22"/>
      <c r="N269" s="22"/>
    </row>
    <row r="270" spans="1:14" s="12" customFormat="1" ht="10.15" customHeight="1" x14ac:dyDescent="0.2">
      <c r="A270" s="113" t="s">
        <v>631</v>
      </c>
      <c r="B270" s="150"/>
      <c r="C270" s="145" t="s">
        <v>678</v>
      </c>
      <c r="D270" s="117"/>
      <c r="E270" s="118">
        <f>30227660/68880</f>
        <v>438.84523809523807</v>
      </c>
      <c r="F270" s="142">
        <v>42720</v>
      </c>
      <c r="G270" s="120">
        <v>5722</v>
      </c>
      <c r="H270" s="162">
        <v>7289</v>
      </c>
      <c r="I270" s="122">
        <f t="shared" si="36"/>
        <v>1.27386</v>
      </c>
      <c r="J270" s="143">
        <f t="shared" si="37"/>
        <v>559.03</v>
      </c>
      <c r="K270" s="144">
        <v>68880</v>
      </c>
      <c r="L270" s="125">
        <f t="shared" si="31"/>
        <v>38505986</v>
      </c>
      <c r="M270" s="22"/>
      <c r="N270" s="22"/>
    </row>
    <row r="271" spans="1:14" s="12" customFormat="1" ht="10.15" customHeight="1" x14ac:dyDescent="0.2">
      <c r="A271" s="113" t="s">
        <v>23</v>
      </c>
      <c r="B271" s="150"/>
      <c r="C271" s="145" t="s">
        <v>679</v>
      </c>
      <c r="D271" s="117"/>
      <c r="E271" s="118">
        <f>5755993/22694</f>
        <v>253.63501365999824</v>
      </c>
      <c r="F271" s="142">
        <v>42537</v>
      </c>
      <c r="G271" s="120">
        <v>5636</v>
      </c>
      <c r="H271" s="162">
        <v>7289</v>
      </c>
      <c r="I271" s="122">
        <f t="shared" si="36"/>
        <v>1.2932900000000001</v>
      </c>
      <c r="J271" s="143">
        <f t="shared" si="37"/>
        <v>328.02</v>
      </c>
      <c r="K271" s="144">
        <v>22694</v>
      </c>
      <c r="L271" s="125">
        <f t="shared" si="31"/>
        <v>7444086</v>
      </c>
      <c r="M271" s="22"/>
      <c r="N271" s="22"/>
    </row>
    <row r="272" spans="1:14" s="12" customFormat="1" ht="10.15" customHeight="1" x14ac:dyDescent="0.2">
      <c r="A272" s="113" t="s">
        <v>20</v>
      </c>
      <c r="B272" s="150"/>
      <c r="C272" s="145" t="s">
        <v>680</v>
      </c>
      <c r="D272" s="117"/>
      <c r="E272" s="118">
        <f>15650465/54887</f>
        <v>285.13974165102849</v>
      </c>
      <c r="F272" s="142">
        <v>42385</v>
      </c>
      <c r="G272" s="120">
        <v>5561</v>
      </c>
      <c r="H272" s="162">
        <v>7289</v>
      </c>
      <c r="I272" s="122">
        <f t="shared" si="36"/>
        <v>1.31074</v>
      </c>
      <c r="J272" s="143">
        <f t="shared" si="37"/>
        <v>373.74</v>
      </c>
      <c r="K272" s="144">
        <v>54887</v>
      </c>
      <c r="L272" s="125">
        <f t="shared" si="31"/>
        <v>20513467</v>
      </c>
      <c r="M272" s="22"/>
      <c r="N272" s="22"/>
    </row>
    <row r="273" spans="1:14" s="12" customFormat="1" ht="10.15" customHeight="1" x14ac:dyDescent="0.2">
      <c r="A273" s="113" t="s">
        <v>20</v>
      </c>
      <c r="B273" s="150"/>
      <c r="C273" s="145" t="s">
        <v>681</v>
      </c>
      <c r="D273" s="117"/>
      <c r="E273" s="118">
        <f>5663766/21657</f>
        <v>261.52126333287157</v>
      </c>
      <c r="F273" s="142">
        <v>42385</v>
      </c>
      <c r="G273" s="120">
        <v>5561</v>
      </c>
      <c r="H273" s="162">
        <v>7289</v>
      </c>
      <c r="I273" s="122">
        <f t="shared" si="36"/>
        <v>1.31074</v>
      </c>
      <c r="J273" s="143">
        <f t="shared" si="37"/>
        <v>342.79</v>
      </c>
      <c r="K273" s="144">
        <v>21657</v>
      </c>
      <c r="L273" s="125">
        <f t="shared" si="31"/>
        <v>7423803</v>
      </c>
      <c r="M273" s="22"/>
      <c r="N273" s="22"/>
    </row>
    <row r="274" spans="1:14" s="12" customFormat="1" ht="10.15" customHeight="1" x14ac:dyDescent="0.2">
      <c r="A274" s="113" t="s">
        <v>22</v>
      </c>
      <c r="B274" s="150"/>
      <c r="C274" s="145" t="s">
        <v>682</v>
      </c>
      <c r="D274" s="117"/>
      <c r="E274" s="118">
        <f>33662314/94476</f>
        <v>356.30545323680087</v>
      </c>
      <c r="F274" s="142">
        <v>42567</v>
      </c>
      <c r="G274" s="120">
        <v>5659</v>
      </c>
      <c r="H274" s="162">
        <v>7289</v>
      </c>
      <c r="I274" s="122">
        <f t="shared" si="36"/>
        <v>1.2880400000000001</v>
      </c>
      <c r="J274" s="143">
        <f t="shared" ref="J274:J284" si="38">ROUND(E274*I274,2)</f>
        <v>458.94</v>
      </c>
      <c r="K274" s="144">
        <v>94476</v>
      </c>
      <c r="L274" s="125">
        <f>ROUND(J274*K274,0)</f>
        <v>43358815</v>
      </c>
      <c r="M274" s="22"/>
      <c r="N274" s="22"/>
    </row>
    <row r="275" spans="1:14" s="12" customFormat="1" ht="10.15" customHeight="1" x14ac:dyDescent="0.2">
      <c r="A275" s="113" t="s">
        <v>18</v>
      </c>
      <c r="B275" s="150"/>
      <c r="C275" s="145" t="s">
        <v>695</v>
      </c>
      <c r="D275" s="117"/>
      <c r="E275" s="118">
        <f>COSTBASE!F895/COSTBASE!G895</f>
        <v>295.12034383954153</v>
      </c>
      <c r="F275" s="142">
        <v>42971</v>
      </c>
      <c r="G275" s="120">
        <v>5862</v>
      </c>
      <c r="H275" s="162">
        <v>7289</v>
      </c>
      <c r="I275" s="122">
        <f t="shared" ref="I275:I284" si="39">ROUND(H275/G275,5)</f>
        <v>1.24343</v>
      </c>
      <c r="J275" s="143">
        <f t="shared" si="38"/>
        <v>366.96</v>
      </c>
      <c r="K275" s="144">
        <v>6980</v>
      </c>
      <c r="L275" s="125">
        <f t="shared" si="31"/>
        <v>2561381</v>
      </c>
      <c r="M275" s="22"/>
      <c r="N275" s="22"/>
    </row>
    <row r="276" spans="1:14" s="12" customFormat="1" ht="10.15" customHeight="1" x14ac:dyDescent="0.2">
      <c r="A276" s="113" t="s">
        <v>24</v>
      </c>
      <c r="B276" s="150"/>
      <c r="C276" s="145" t="s">
        <v>697</v>
      </c>
      <c r="D276" s="117"/>
      <c r="E276" s="118">
        <f>COSTBASE!F424/COSTBASE!G424</f>
        <v>292.65507633366229</v>
      </c>
      <c r="F276" s="142">
        <v>43070</v>
      </c>
      <c r="G276" s="120">
        <v>5914</v>
      </c>
      <c r="H276" s="162">
        <v>7289</v>
      </c>
      <c r="I276" s="122">
        <f t="shared" si="39"/>
        <v>1.2324999999999999</v>
      </c>
      <c r="J276" s="143">
        <f t="shared" si="38"/>
        <v>360.7</v>
      </c>
      <c r="K276" s="144">
        <v>51681</v>
      </c>
      <c r="L276" s="125">
        <f t="shared" si="31"/>
        <v>18641337</v>
      </c>
      <c r="M276" s="22"/>
      <c r="N276" s="22"/>
    </row>
    <row r="277" spans="1:14" s="12" customFormat="1" ht="10.15" customHeight="1" x14ac:dyDescent="0.2">
      <c r="A277" s="113" t="s">
        <v>21</v>
      </c>
      <c r="B277" s="150"/>
      <c r="C277" s="145" t="s">
        <v>696</v>
      </c>
      <c r="D277" s="117"/>
      <c r="E277" s="118">
        <f>COSTBASE!F2290/COSTBASE!G2290</f>
        <v>213.22174176776429</v>
      </c>
      <c r="F277" s="142">
        <v>43070</v>
      </c>
      <c r="G277" s="120">
        <v>5914</v>
      </c>
      <c r="H277" s="162">
        <v>7289</v>
      </c>
      <c r="I277" s="122">
        <f t="shared" si="39"/>
        <v>1.2324999999999999</v>
      </c>
      <c r="J277" s="143">
        <f t="shared" si="38"/>
        <v>262.8</v>
      </c>
      <c r="K277" s="144">
        <v>115400</v>
      </c>
      <c r="L277" s="125">
        <f t="shared" si="31"/>
        <v>30327120</v>
      </c>
      <c r="M277" s="22"/>
      <c r="N277" s="22"/>
    </row>
    <row r="278" spans="1:14" s="12" customFormat="1" ht="10.15" customHeight="1" x14ac:dyDescent="0.2">
      <c r="A278" s="113" t="s">
        <v>709</v>
      </c>
      <c r="B278" s="150"/>
      <c r="C278" s="145" t="s">
        <v>704</v>
      </c>
      <c r="D278" s="117"/>
      <c r="E278" s="118">
        <v>375.31</v>
      </c>
      <c r="F278" s="142">
        <v>43283</v>
      </c>
      <c r="G278" s="120">
        <v>6043</v>
      </c>
      <c r="H278" s="162">
        <v>7289</v>
      </c>
      <c r="I278" s="122">
        <f t="shared" si="39"/>
        <v>1.2061900000000001</v>
      </c>
      <c r="J278" s="143">
        <f t="shared" si="38"/>
        <v>452.7</v>
      </c>
      <c r="K278" s="144">
        <v>8016</v>
      </c>
      <c r="L278" s="125">
        <f t="shared" si="31"/>
        <v>3628843</v>
      </c>
      <c r="M278" s="22"/>
      <c r="N278" s="22"/>
    </row>
    <row r="279" spans="1:14" s="12" customFormat="1" ht="10.15" customHeight="1" x14ac:dyDescent="0.2">
      <c r="A279" s="113" t="s">
        <v>19</v>
      </c>
      <c r="B279" s="150"/>
      <c r="C279" s="145" t="s">
        <v>703</v>
      </c>
      <c r="D279" s="117"/>
      <c r="E279" s="118">
        <v>306.70999999999998</v>
      </c>
      <c r="F279" s="142">
        <v>43101</v>
      </c>
      <c r="G279" s="120">
        <v>5921</v>
      </c>
      <c r="H279" s="162">
        <v>7289</v>
      </c>
      <c r="I279" s="122">
        <f t="shared" si="39"/>
        <v>1.2310399999999999</v>
      </c>
      <c r="J279" s="143">
        <f t="shared" si="38"/>
        <v>377.57</v>
      </c>
      <c r="K279" s="144">
        <v>23852</v>
      </c>
      <c r="L279" s="125">
        <f t="shared" ref="L279:L284" si="40">ROUND(J279*K279,0)</f>
        <v>9005800</v>
      </c>
      <c r="M279" s="22"/>
      <c r="N279" s="22"/>
    </row>
    <row r="280" spans="1:14" s="12" customFormat="1" ht="10.15" customHeight="1" x14ac:dyDescent="0.2">
      <c r="A280" s="113" t="s">
        <v>20</v>
      </c>
      <c r="B280" s="150"/>
      <c r="C280" s="145" t="s">
        <v>712</v>
      </c>
      <c r="D280" s="117"/>
      <c r="E280" s="118">
        <v>234.83</v>
      </c>
      <c r="F280" s="142">
        <v>43330</v>
      </c>
      <c r="G280" s="120">
        <v>6060</v>
      </c>
      <c r="H280" s="162">
        <v>7289</v>
      </c>
      <c r="I280" s="122">
        <f t="shared" si="39"/>
        <v>1.2028099999999999</v>
      </c>
      <c r="J280" s="143">
        <f t="shared" si="38"/>
        <v>282.45999999999998</v>
      </c>
      <c r="K280" s="144">
        <v>136786</v>
      </c>
      <c r="L280" s="125">
        <f t="shared" si="40"/>
        <v>38636574</v>
      </c>
      <c r="M280" s="22"/>
      <c r="N280" s="22"/>
    </row>
    <row r="281" spans="1:14" s="12" customFormat="1" ht="10.15" customHeight="1" x14ac:dyDescent="0.2">
      <c r="A281" s="113" t="s">
        <v>19</v>
      </c>
      <c r="B281" s="150"/>
      <c r="C281" s="145" t="s">
        <v>718</v>
      </c>
      <c r="D281" s="117"/>
      <c r="E281" s="118">
        <f>COSTBASE!F738/COSTBASE!G738</f>
        <v>220.75944444444445</v>
      </c>
      <c r="F281" s="142">
        <v>43584</v>
      </c>
      <c r="G281" s="120">
        <v>6110</v>
      </c>
      <c r="H281" s="162">
        <v>7289</v>
      </c>
      <c r="I281" s="122">
        <f t="shared" si="39"/>
        <v>1.19296</v>
      </c>
      <c r="J281" s="143">
        <f t="shared" si="38"/>
        <v>263.36</v>
      </c>
      <c r="K281" s="144">
        <v>36000</v>
      </c>
      <c r="L281" s="125">
        <f t="shared" si="40"/>
        <v>9480960</v>
      </c>
      <c r="M281" s="22"/>
      <c r="N281" s="22"/>
    </row>
    <row r="282" spans="1:14" s="12" customFormat="1" ht="10.15" customHeight="1" x14ac:dyDescent="0.2">
      <c r="A282" s="113" t="s">
        <v>19</v>
      </c>
      <c r="B282" s="150"/>
      <c r="C282" s="145" t="s">
        <v>733</v>
      </c>
      <c r="D282" s="117"/>
      <c r="E282" s="118">
        <f>COSTBASE!F728/COSTBASE!G728</f>
        <v>393.08074078216976</v>
      </c>
      <c r="F282" s="142">
        <v>43802</v>
      </c>
      <c r="G282" s="120">
        <v>6199</v>
      </c>
      <c r="H282" s="162">
        <v>7289</v>
      </c>
      <c r="I282" s="122">
        <f t="shared" si="39"/>
        <v>1.1758299999999999</v>
      </c>
      <c r="J282" s="143">
        <f t="shared" si="38"/>
        <v>462.2</v>
      </c>
      <c r="K282" s="144">
        <v>143038</v>
      </c>
      <c r="L282" s="125">
        <f t="shared" si="40"/>
        <v>66112164</v>
      </c>
      <c r="M282" s="22"/>
      <c r="N282" s="22"/>
    </row>
    <row r="283" spans="1:14" s="12" customFormat="1" ht="10.15" customHeight="1" x14ac:dyDescent="0.2">
      <c r="A283" s="113" t="s">
        <v>24</v>
      </c>
      <c r="B283" s="150"/>
      <c r="C283" s="145" t="s">
        <v>729</v>
      </c>
      <c r="D283" s="117"/>
      <c r="E283" s="118">
        <f>COSTBASE!F436/COSTBASE!G436</f>
        <v>487.9241489023226</v>
      </c>
      <c r="F283" s="142">
        <v>43784</v>
      </c>
      <c r="G283" s="120">
        <v>6179</v>
      </c>
      <c r="H283" s="162">
        <v>7289</v>
      </c>
      <c r="I283" s="122">
        <f t="shared" si="39"/>
        <v>1.17964</v>
      </c>
      <c r="J283" s="143">
        <f t="shared" si="38"/>
        <v>575.57000000000005</v>
      </c>
      <c r="K283" s="144">
        <v>15715</v>
      </c>
      <c r="L283" s="125">
        <f t="shared" si="40"/>
        <v>9045083</v>
      </c>
      <c r="M283" s="22"/>
      <c r="N283" s="22"/>
    </row>
    <row r="284" spans="1:14" s="30" customFormat="1" ht="10.5" customHeight="1" x14ac:dyDescent="0.2">
      <c r="A284" s="164" t="s">
        <v>18</v>
      </c>
      <c r="B284" s="165"/>
      <c r="C284" s="166" t="s">
        <v>747</v>
      </c>
      <c r="D284" s="167"/>
      <c r="E284" s="168">
        <v>360.12</v>
      </c>
      <c r="F284" s="169">
        <v>44305</v>
      </c>
      <c r="G284" s="170">
        <v>6612</v>
      </c>
      <c r="H284" s="162">
        <v>7289</v>
      </c>
      <c r="I284" s="122">
        <f t="shared" si="39"/>
        <v>1.10239</v>
      </c>
      <c r="J284" s="143">
        <f t="shared" si="38"/>
        <v>396.99</v>
      </c>
      <c r="K284" s="173">
        <v>89493</v>
      </c>
      <c r="L284" s="174">
        <f t="shared" si="40"/>
        <v>35527826</v>
      </c>
      <c r="M284" s="29"/>
      <c r="N284" s="29"/>
    </row>
    <row r="285" spans="1:14" s="30" customFormat="1" ht="10.5" customHeight="1" x14ac:dyDescent="0.2">
      <c r="A285" s="164" t="s">
        <v>24</v>
      </c>
      <c r="B285" s="165"/>
      <c r="C285" s="166" t="s">
        <v>761</v>
      </c>
      <c r="D285" s="167"/>
      <c r="E285" s="168">
        <v>374.67</v>
      </c>
      <c r="F285" s="169">
        <v>44321</v>
      </c>
      <c r="G285" s="170">
        <v>6754</v>
      </c>
      <c r="H285" s="162">
        <v>7289</v>
      </c>
      <c r="I285" s="122">
        <f>ROUND(H285/G285,5)</f>
        <v>1.07921</v>
      </c>
      <c r="J285" s="143">
        <f>ROUND(E285*I285,2)</f>
        <v>404.35</v>
      </c>
      <c r="K285" s="173">
        <v>7298</v>
      </c>
      <c r="L285" s="174">
        <f>ROUND(J285*K285,0)</f>
        <v>2950946</v>
      </c>
      <c r="M285" s="29"/>
      <c r="N285" s="29"/>
    </row>
    <row r="286" spans="1:14" ht="10.15" customHeight="1" x14ac:dyDescent="0.2">
      <c r="A286" s="149"/>
      <c r="B286" s="149"/>
      <c r="C286" s="113" t="s">
        <v>33</v>
      </c>
      <c r="D286" s="149"/>
      <c r="E286" s="152"/>
      <c r="F286" s="36"/>
      <c r="G286" s="152"/>
      <c r="H286" s="152"/>
      <c r="I286" s="154"/>
      <c r="J286" s="152"/>
      <c r="K286" s="155">
        <f>SUM(K180:K285)</f>
        <v>4624634</v>
      </c>
      <c r="L286" s="155">
        <f>SUM(L180:L285)</f>
        <v>1826667160</v>
      </c>
    </row>
    <row r="287" spans="1:14" ht="10.15" customHeight="1" x14ac:dyDescent="0.2">
      <c r="A287" s="149"/>
      <c r="B287" s="149"/>
      <c r="C287" s="117"/>
      <c r="D287" s="117"/>
      <c r="E287" s="156"/>
      <c r="F287" s="153"/>
      <c r="G287" s="156"/>
      <c r="H287" s="156"/>
      <c r="I287" s="157"/>
      <c r="J287" s="156"/>
      <c r="K287" s="158"/>
      <c r="L287" s="158"/>
    </row>
    <row r="288" spans="1:14" ht="10.15" customHeight="1" x14ac:dyDescent="0.2">
      <c r="A288" s="149"/>
      <c r="B288" s="149"/>
      <c r="C288" s="159" t="s">
        <v>74</v>
      </c>
      <c r="D288" s="149"/>
      <c r="E288" s="152" t="s">
        <v>238</v>
      </c>
      <c r="F288" s="153"/>
      <c r="G288" s="152"/>
      <c r="H288" s="152"/>
      <c r="I288" s="154"/>
      <c r="J288" s="160">
        <f>ROUND(L286/K286,2)</f>
        <v>394.99</v>
      </c>
      <c r="K288" s="158"/>
      <c r="L288" s="158"/>
    </row>
    <row r="289" spans="1:14" ht="10.15" customHeight="1" x14ac:dyDescent="0.2">
      <c r="A289" s="149"/>
      <c r="B289" s="149"/>
      <c r="C289" s="117"/>
      <c r="D289" s="117"/>
      <c r="E289" s="156"/>
      <c r="F289" s="153"/>
      <c r="G289" s="156"/>
      <c r="H289" s="156"/>
      <c r="I289" s="157"/>
      <c r="J289" s="156"/>
      <c r="K289" s="158"/>
      <c r="L289" s="158"/>
    </row>
    <row r="290" spans="1:14" ht="11.25" x14ac:dyDescent="0.2">
      <c r="A290" s="161" t="s">
        <v>75</v>
      </c>
      <c r="B290" s="149"/>
      <c r="C290" s="117"/>
      <c r="D290" s="117"/>
      <c r="E290" s="156"/>
      <c r="F290" s="153"/>
      <c r="G290" s="156"/>
      <c r="H290" s="156"/>
      <c r="I290" s="157"/>
      <c r="J290" s="156"/>
      <c r="K290" s="158"/>
      <c r="L290" s="158"/>
    </row>
    <row r="291" spans="1:14" ht="11.25" x14ac:dyDescent="0.2">
      <c r="A291" s="113" t="s">
        <v>21</v>
      </c>
      <c r="B291" s="113">
        <v>905</v>
      </c>
      <c r="C291" s="116" t="s">
        <v>71</v>
      </c>
      <c r="D291" s="117"/>
      <c r="E291" s="118">
        <v>103.75</v>
      </c>
      <c r="F291" s="136">
        <v>35462</v>
      </c>
      <c r="G291" s="120"/>
      <c r="H291" s="121"/>
      <c r="I291" s="122"/>
      <c r="J291" s="143"/>
      <c r="K291" s="124"/>
      <c r="L291" s="125"/>
    </row>
    <row r="292" spans="1:14" ht="11.25" x14ac:dyDescent="0.2">
      <c r="A292" s="113" t="s">
        <v>23</v>
      </c>
      <c r="B292" s="113">
        <v>624</v>
      </c>
      <c r="C292" s="116" t="s">
        <v>77</v>
      </c>
      <c r="D292" s="117"/>
      <c r="E292" s="118">
        <v>127</v>
      </c>
      <c r="F292" s="136">
        <v>35643</v>
      </c>
      <c r="G292" s="120"/>
      <c r="H292" s="121"/>
      <c r="I292" s="122"/>
      <c r="J292" s="143"/>
      <c r="K292" s="124"/>
      <c r="L292" s="125"/>
    </row>
    <row r="293" spans="1:14" ht="11.25" x14ac:dyDescent="0.2">
      <c r="A293" s="113" t="s">
        <v>29</v>
      </c>
      <c r="B293" s="113">
        <v>719</v>
      </c>
      <c r="C293" s="116" t="s">
        <v>61</v>
      </c>
      <c r="D293" s="117"/>
      <c r="E293" s="118">
        <v>82.77</v>
      </c>
      <c r="F293" s="136">
        <v>35765</v>
      </c>
      <c r="G293" s="120"/>
      <c r="H293" s="121"/>
      <c r="I293" s="122"/>
      <c r="J293" s="143"/>
      <c r="K293" s="124"/>
      <c r="L293" s="125"/>
    </row>
    <row r="294" spans="1:14" ht="11.25" x14ac:dyDescent="0.2">
      <c r="A294" s="113" t="s">
        <v>24</v>
      </c>
      <c r="B294" s="126">
        <v>128</v>
      </c>
      <c r="C294" s="127" t="s">
        <v>131</v>
      </c>
      <c r="D294" s="128"/>
      <c r="E294" s="129">
        <v>108.05</v>
      </c>
      <c r="F294" s="130">
        <v>34759</v>
      </c>
      <c r="G294" s="131"/>
      <c r="H294" s="121"/>
      <c r="I294" s="132"/>
      <c r="J294" s="182"/>
      <c r="K294" s="134"/>
      <c r="L294" s="135"/>
    </row>
    <row r="295" spans="1:14" ht="10.15" customHeight="1" x14ac:dyDescent="0.2">
      <c r="A295" s="113" t="s">
        <v>19</v>
      </c>
      <c r="B295" s="113">
        <v>222</v>
      </c>
      <c r="C295" s="116" t="s">
        <v>125</v>
      </c>
      <c r="D295" s="117"/>
      <c r="E295" s="118">
        <v>143.12</v>
      </c>
      <c r="F295" s="136">
        <v>36039</v>
      </c>
      <c r="G295" s="120"/>
      <c r="H295" s="121"/>
      <c r="I295" s="122"/>
      <c r="J295" s="143"/>
      <c r="K295" s="124"/>
      <c r="L295" s="125"/>
    </row>
    <row r="296" spans="1:14" s="12" customFormat="1" ht="10.15" customHeight="1" x14ac:dyDescent="0.2">
      <c r="A296" s="113" t="s">
        <v>17</v>
      </c>
      <c r="B296" s="126">
        <v>550</v>
      </c>
      <c r="C296" s="127" t="s">
        <v>132</v>
      </c>
      <c r="D296" s="128"/>
      <c r="E296" s="129">
        <v>142.22</v>
      </c>
      <c r="F296" s="130">
        <v>35612</v>
      </c>
      <c r="G296" s="131"/>
      <c r="H296" s="121"/>
      <c r="I296" s="132"/>
      <c r="J296" s="182"/>
      <c r="K296" s="134"/>
      <c r="L296" s="135"/>
      <c r="M296"/>
      <c r="N296"/>
    </row>
    <row r="297" spans="1:14" s="12" customFormat="1" ht="10.15" customHeight="1" x14ac:dyDescent="0.2">
      <c r="A297" s="113" t="s">
        <v>20</v>
      </c>
      <c r="B297" s="113">
        <v>430</v>
      </c>
      <c r="C297" s="116" t="s">
        <v>155</v>
      </c>
      <c r="D297" s="117"/>
      <c r="E297" s="118">
        <v>107.85</v>
      </c>
      <c r="F297" s="136">
        <v>36161</v>
      </c>
      <c r="G297" s="120"/>
      <c r="H297" s="121"/>
      <c r="I297" s="122"/>
      <c r="J297" s="143"/>
      <c r="K297" s="124"/>
      <c r="L297" s="125"/>
    </row>
    <row r="298" spans="1:14" s="12" customFormat="1" ht="10.15" customHeight="1" x14ac:dyDescent="0.2">
      <c r="A298" s="113" t="s">
        <v>21</v>
      </c>
      <c r="B298" s="113">
        <v>929</v>
      </c>
      <c r="C298" s="116" t="s">
        <v>154</v>
      </c>
      <c r="D298" s="117"/>
      <c r="E298" s="118">
        <v>133.97</v>
      </c>
      <c r="F298" s="136">
        <v>36312</v>
      </c>
      <c r="G298" s="120"/>
      <c r="H298" s="121"/>
      <c r="I298" s="122"/>
      <c r="J298" s="143"/>
      <c r="K298" s="124"/>
      <c r="L298" s="125"/>
    </row>
    <row r="299" spans="1:14" s="12" customFormat="1" ht="10.15" customHeight="1" x14ac:dyDescent="0.2">
      <c r="A299" s="113" t="s">
        <v>24</v>
      </c>
      <c r="B299" s="113">
        <v>112</v>
      </c>
      <c r="C299" s="116" t="s">
        <v>430</v>
      </c>
      <c r="D299" s="117"/>
      <c r="E299" s="118">
        <f>4973201/30800</f>
        <v>161.46756493506493</v>
      </c>
      <c r="F299" s="192">
        <v>36678</v>
      </c>
      <c r="G299" s="120"/>
      <c r="H299" s="121"/>
      <c r="I299" s="122"/>
      <c r="J299" s="143"/>
      <c r="K299" s="124"/>
      <c r="L299" s="125"/>
    </row>
    <row r="300" spans="1:14" s="12" customFormat="1" ht="11.25" x14ac:dyDescent="0.2">
      <c r="A300" s="113" t="s">
        <v>447</v>
      </c>
      <c r="B300" s="113">
        <v>57</v>
      </c>
      <c r="C300" s="141" t="s">
        <v>449</v>
      </c>
      <c r="D300" s="149"/>
      <c r="E300" s="118">
        <f>5381000/31000</f>
        <v>173.58064516129033</v>
      </c>
      <c r="F300" s="193">
        <v>37196</v>
      </c>
      <c r="G300" s="120"/>
      <c r="H300" s="121"/>
      <c r="I300" s="194"/>
      <c r="J300" s="143"/>
      <c r="K300" s="124"/>
      <c r="L300" s="125"/>
    </row>
    <row r="301" spans="1:14" s="12" customFormat="1" ht="11.25" x14ac:dyDescent="0.2">
      <c r="A301" s="113" t="s">
        <v>23</v>
      </c>
      <c r="B301" s="113">
        <v>691</v>
      </c>
      <c r="C301" s="195" t="s">
        <v>459</v>
      </c>
      <c r="D301" s="117"/>
      <c r="E301" s="118">
        <f>1597756/10030</f>
        <v>159.29770687936193</v>
      </c>
      <c r="F301" s="139">
        <v>37285</v>
      </c>
      <c r="G301" s="120"/>
      <c r="H301" s="121"/>
      <c r="I301" s="194"/>
      <c r="J301" s="143"/>
      <c r="K301" s="124"/>
      <c r="L301" s="125"/>
    </row>
    <row r="302" spans="1:14" s="12" customFormat="1" ht="11.25" x14ac:dyDescent="0.2">
      <c r="A302" s="113" t="s">
        <v>24</v>
      </c>
      <c r="B302" s="113">
        <v>161</v>
      </c>
      <c r="C302" s="137" t="s">
        <v>473</v>
      </c>
      <c r="D302" s="117"/>
      <c r="E302" s="118">
        <f>6700000/58404</f>
        <v>114.71816998835696</v>
      </c>
      <c r="F302" s="139">
        <v>37585</v>
      </c>
      <c r="G302" s="120"/>
      <c r="H302" s="121"/>
      <c r="I302" s="194"/>
      <c r="J302" s="143"/>
      <c r="K302" s="124"/>
      <c r="L302" s="125"/>
    </row>
    <row r="303" spans="1:14" s="12" customFormat="1" ht="11.25" x14ac:dyDescent="0.2">
      <c r="A303" s="113" t="s">
        <v>128</v>
      </c>
      <c r="B303" s="113">
        <v>1029</v>
      </c>
      <c r="C303" s="141" t="s">
        <v>477</v>
      </c>
      <c r="D303" s="117"/>
      <c r="E303" s="118">
        <f>1383789/6500</f>
        <v>212.89061538461539</v>
      </c>
      <c r="F303" s="142">
        <v>37841</v>
      </c>
      <c r="G303" s="120">
        <v>3712</v>
      </c>
      <c r="H303" s="140">
        <v>7289</v>
      </c>
      <c r="I303" s="194">
        <f>ROUND(H303/G303,5)</f>
        <v>1.96363</v>
      </c>
      <c r="J303" s="143">
        <f>ROUND(E303*I303,2)</f>
        <v>418.04</v>
      </c>
      <c r="K303" s="124">
        <v>6500</v>
      </c>
      <c r="L303" s="125">
        <f>ROUND(J303*K303,0)</f>
        <v>2717260</v>
      </c>
    </row>
    <row r="304" spans="1:14" s="12" customFormat="1" ht="11.25" x14ac:dyDescent="0.2">
      <c r="A304" s="113" t="s">
        <v>24</v>
      </c>
      <c r="B304" s="113">
        <v>115</v>
      </c>
      <c r="C304" s="141" t="s">
        <v>490</v>
      </c>
      <c r="D304" s="117"/>
      <c r="E304" s="118">
        <f>4537574/26000</f>
        <v>174.52207692307692</v>
      </c>
      <c r="F304" s="142">
        <v>38200</v>
      </c>
      <c r="G304" s="120">
        <v>3908</v>
      </c>
      <c r="H304" s="140">
        <v>7289</v>
      </c>
      <c r="I304" s="194">
        <f>ROUND(H304/G304,5)</f>
        <v>1.8651500000000001</v>
      </c>
      <c r="J304" s="143">
        <f>ROUND(E304*I304,2)</f>
        <v>325.51</v>
      </c>
      <c r="K304" s="124">
        <v>26000</v>
      </c>
      <c r="L304" s="125">
        <f>ROUND(J304*K304,0)</f>
        <v>8463260</v>
      </c>
    </row>
    <row r="305" spans="1:14" s="12" customFormat="1" ht="11.25" x14ac:dyDescent="0.2">
      <c r="A305" s="113" t="s">
        <v>19</v>
      </c>
      <c r="B305" s="113">
        <v>272</v>
      </c>
      <c r="C305" s="141" t="s">
        <v>492</v>
      </c>
      <c r="D305" s="117"/>
      <c r="E305" s="118">
        <f>8826863/39481</f>
        <v>223.57242724348421</v>
      </c>
      <c r="F305" s="142">
        <v>38076</v>
      </c>
      <c r="G305" s="120">
        <v>3859</v>
      </c>
      <c r="H305" s="140">
        <v>7289</v>
      </c>
      <c r="I305" s="194">
        <f>ROUND(H305/G305,5)</f>
        <v>1.88883</v>
      </c>
      <c r="J305" s="143">
        <f>ROUND(E305*I305,2)</f>
        <v>422.29</v>
      </c>
      <c r="K305" s="124">
        <v>39481</v>
      </c>
      <c r="L305" s="125">
        <f>ROUND(J305*K305,0)</f>
        <v>16672431</v>
      </c>
    </row>
    <row r="306" spans="1:14" s="12" customFormat="1" ht="11.25" x14ac:dyDescent="0.2">
      <c r="A306" s="113" t="s">
        <v>19</v>
      </c>
      <c r="B306" s="113">
        <v>282</v>
      </c>
      <c r="C306" s="141" t="s">
        <v>493</v>
      </c>
      <c r="D306" s="117"/>
      <c r="E306" s="118">
        <f>8440392/37695</f>
        <v>223.91277357739753</v>
      </c>
      <c r="F306" s="142">
        <v>38076</v>
      </c>
      <c r="G306" s="120">
        <v>3859</v>
      </c>
      <c r="H306" s="140">
        <v>7289</v>
      </c>
      <c r="I306" s="194">
        <f t="shared" ref="I306:I311" si="41">ROUND(H306/G306,5)</f>
        <v>1.88883</v>
      </c>
      <c r="J306" s="143">
        <f t="shared" ref="J306:J311" si="42">ROUND(E306*I306,2)</f>
        <v>422.93</v>
      </c>
      <c r="K306" s="124">
        <v>37695</v>
      </c>
      <c r="L306" s="125">
        <f t="shared" ref="L306:L315" si="43">ROUND(J306*K306,0)</f>
        <v>15942346</v>
      </c>
    </row>
    <row r="307" spans="1:14" s="12" customFormat="1" ht="11.25" x14ac:dyDescent="0.2">
      <c r="A307" s="113" t="s">
        <v>23</v>
      </c>
      <c r="B307" s="113">
        <v>614</v>
      </c>
      <c r="C307" s="137" t="s">
        <v>505</v>
      </c>
      <c r="D307" s="117"/>
      <c r="E307" s="118">
        <f>4778447/20310</f>
        <v>235.27557853274249</v>
      </c>
      <c r="F307" s="142">
        <v>38231</v>
      </c>
      <c r="G307" s="120">
        <v>4102</v>
      </c>
      <c r="H307" s="140">
        <v>7289</v>
      </c>
      <c r="I307" s="122">
        <f t="shared" si="41"/>
        <v>1.77694</v>
      </c>
      <c r="J307" s="143">
        <f t="shared" si="42"/>
        <v>418.07</v>
      </c>
      <c r="K307" s="144">
        <v>20310</v>
      </c>
      <c r="L307" s="125">
        <f t="shared" si="43"/>
        <v>8491002</v>
      </c>
    </row>
    <row r="308" spans="1:14" s="12" customFormat="1" ht="11.25" x14ac:dyDescent="0.2">
      <c r="A308" s="113" t="s">
        <v>22</v>
      </c>
      <c r="B308" s="113">
        <v>839</v>
      </c>
      <c r="C308" s="141" t="s">
        <v>503</v>
      </c>
      <c r="D308" s="117"/>
      <c r="E308" s="118">
        <f>11157703/46784</f>
        <v>238.49399367305062</v>
      </c>
      <c r="F308" s="142">
        <v>38201</v>
      </c>
      <c r="G308" s="120">
        <v>4027</v>
      </c>
      <c r="H308" s="140">
        <v>7289</v>
      </c>
      <c r="I308" s="122">
        <f t="shared" si="41"/>
        <v>1.81003</v>
      </c>
      <c r="J308" s="143">
        <f t="shared" si="42"/>
        <v>431.68</v>
      </c>
      <c r="K308" s="144">
        <v>28197</v>
      </c>
      <c r="L308" s="125">
        <f t="shared" si="43"/>
        <v>12172081</v>
      </c>
    </row>
    <row r="309" spans="1:14" s="12" customFormat="1" ht="11.25" x14ac:dyDescent="0.2">
      <c r="A309" s="113" t="s">
        <v>20</v>
      </c>
      <c r="B309" s="190" t="s">
        <v>511</v>
      </c>
      <c r="C309" s="141" t="s">
        <v>476</v>
      </c>
      <c r="D309" s="117"/>
      <c r="E309" s="118">
        <f>4908614/17983</f>
        <v>272.95857198465217</v>
      </c>
      <c r="F309" s="142">
        <v>38200</v>
      </c>
      <c r="G309" s="120">
        <v>4027</v>
      </c>
      <c r="H309" s="140">
        <v>7289</v>
      </c>
      <c r="I309" s="122">
        <f t="shared" si="41"/>
        <v>1.81003</v>
      </c>
      <c r="J309" s="143">
        <f t="shared" si="42"/>
        <v>494.06</v>
      </c>
      <c r="K309" s="144">
        <v>17983</v>
      </c>
      <c r="L309" s="125">
        <f t="shared" si="43"/>
        <v>8884681</v>
      </c>
    </row>
    <row r="310" spans="1:14" s="12" customFormat="1" ht="11.25" x14ac:dyDescent="0.2">
      <c r="A310" s="113" t="s">
        <v>23</v>
      </c>
      <c r="B310" s="190" t="s">
        <v>553</v>
      </c>
      <c r="C310" s="137" t="s">
        <v>552</v>
      </c>
      <c r="D310" s="117"/>
      <c r="E310" s="118">
        <f>3578737/13161</f>
        <v>271.91983891801533</v>
      </c>
      <c r="F310" s="142">
        <v>39387</v>
      </c>
      <c r="G310" s="120">
        <v>4027</v>
      </c>
      <c r="H310" s="140">
        <v>7289</v>
      </c>
      <c r="I310" s="122">
        <f t="shared" si="41"/>
        <v>1.81003</v>
      </c>
      <c r="J310" s="143">
        <f t="shared" si="42"/>
        <v>492.18</v>
      </c>
      <c r="K310" s="144">
        <v>13161</v>
      </c>
      <c r="L310" s="125">
        <f t="shared" si="43"/>
        <v>6477581</v>
      </c>
      <c r="M310" s="15"/>
    </row>
    <row r="311" spans="1:14" s="12" customFormat="1" ht="11.25" x14ac:dyDescent="0.2">
      <c r="A311" s="113" t="s">
        <v>24</v>
      </c>
      <c r="B311" s="190" t="s">
        <v>557</v>
      </c>
      <c r="C311" s="145" t="s">
        <v>556</v>
      </c>
      <c r="D311" s="117"/>
      <c r="E311" s="118">
        <f>7670000/18082</f>
        <v>424.17874128968032</v>
      </c>
      <c r="F311" s="142">
        <v>39114</v>
      </c>
      <c r="G311" s="120">
        <v>4432</v>
      </c>
      <c r="H311" s="140">
        <v>7289</v>
      </c>
      <c r="I311" s="122">
        <f t="shared" si="41"/>
        <v>1.64463</v>
      </c>
      <c r="J311" s="143">
        <f t="shared" si="42"/>
        <v>697.62</v>
      </c>
      <c r="K311" s="144">
        <v>18082</v>
      </c>
      <c r="L311" s="125">
        <f t="shared" si="43"/>
        <v>12614365</v>
      </c>
    </row>
    <row r="312" spans="1:14" s="12" customFormat="1" ht="11.25" x14ac:dyDescent="0.2">
      <c r="A312" s="113" t="s">
        <v>20</v>
      </c>
      <c r="B312" s="190" t="s">
        <v>591</v>
      </c>
      <c r="C312" s="145" t="s">
        <v>578</v>
      </c>
      <c r="D312" s="117"/>
      <c r="E312" s="118">
        <f>19179884/77380</f>
        <v>247.86616696820883</v>
      </c>
      <c r="F312" s="142">
        <v>39904</v>
      </c>
      <c r="G312" s="120">
        <v>4761</v>
      </c>
      <c r="H312" s="140">
        <v>7289</v>
      </c>
      <c r="I312" s="122">
        <f t="shared" ref="I312:I318" si="44">ROUND(H312/G312,5)</f>
        <v>1.53098</v>
      </c>
      <c r="J312" s="143">
        <f t="shared" ref="J312:J318" si="45">ROUND(E312*I312,2)</f>
        <v>379.48</v>
      </c>
      <c r="K312" s="144">
        <v>77380</v>
      </c>
      <c r="L312" s="125">
        <f t="shared" si="43"/>
        <v>29364162</v>
      </c>
    </row>
    <row r="313" spans="1:14" s="12" customFormat="1" ht="11.25" x14ac:dyDescent="0.2">
      <c r="A313" s="113" t="s">
        <v>17</v>
      </c>
      <c r="B313" s="190" t="s">
        <v>592</v>
      </c>
      <c r="C313" s="145" t="s">
        <v>590</v>
      </c>
      <c r="D313" s="117"/>
      <c r="E313" s="118">
        <f>35573448/113535</f>
        <v>313.32582903950322</v>
      </c>
      <c r="F313" s="142">
        <v>39814</v>
      </c>
      <c r="G313" s="120">
        <v>4782</v>
      </c>
      <c r="H313" s="140">
        <v>7289</v>
      </c>
      <c r="I313" s="122">
        <f t="shared" si="44"/>
        <v>1.5242599999999999</v>
      </c>
      <c r="J313" s="143">
        <f t="shared" si="45"/>
        <v>477.59</v>
      </c>
      <c r="K313" s="144">
        <v>113535</v>
      </c>
      <c r="L313" s="125">
        <f t="shared" si="43"/>
        <v>54223181</v>
      </c>
    </row>
    <row r="314" spans="1:14" s="12" customFormat="1" ht="11.25" x14ac:dyDescent="0.2">
      <c r="A314" s="113" t="s">
        <v>19</v>
      </c>
      <c r="B314" s="113"/>
      <c r="C314" s="141" t="s">
        <v>607</v>
      </c>
      <c r="D314" s="117"/>
      <c r="E314" s="118">
        <f>4897677/24220</f>
        <v>202.21622625928984</v>
      </c>
      <c r="F314" s="142">
        <v>40210</v>
      </c>
      <c r="G314" s="120">
        <v>4812</v>
      </c>
      <c r="H314" s="140">
        <v>7289</v>
      </c>
      <c r="I314" s="122">
        <f t="shared" si="44"/>
        <v>1.51475</v>
      </c>
      <c r="J314" s="143">
        <f t="shared" si="45"/>
        <v>306.31</v>
      </c>
      <c r="K314" s="144">
        <v>24220</v>
      </c>
      <c r="L314" s="125">
        <f t="shared" si="43"/>
        <v>7418828</v>
      </c>
    </row>
    <row r="315" spans="1:14" s="22" customFormat="1" ht="11.25" x14ac:dyDescent="0.2">
      <c r="A315" s="113" t="s">
        <v>24</v>
      </c>
      <c r="B315" s="113"/>
      <c r="C315" s="141" t="s">
        <v>618</v>
      </c>
      <c r="D315" s="117"/>
      <c r="E315" s="118">
        <f>13304315/25950</f>
        <v>512.690366088632</v>
      </c>
      <c r="F315" s="142">
        <v>40200</v>
      </c>
      <c r="G315" s="120">
        <v>4800</v>
      </c>
      <c r="H315" s="140">
        <v>7289</v>
      </c>
      <c r="I315" s="122">
        <f t="shared" si="44"/>
        <v>1.51854</v>
      </c>
      <c r="J315" s="143">
        <f t="shared" si="45"/>
        <v>778.54</v>
      </c>
      <c r="K315" s="144">
        <v>25950</v>
      </c>
      <c r="L315" s="125">
        <f t="shared" si="43"/>
        <v>20203113</v>
      </c>
      <c r="M315" s="12"/>
      <c r="N315" s="12"/>
    </row>
    <row r="316" spans="1:14" ht="10.15" customHeight="1" x14ac:dyDescent="0.2">
      <c r="A316" s="113" t="s">
        <v>631</v>
      </c>
      <c r="B316" s="113"/>
      <c r="C316" s="141" t="s">
        <v>630</v>
      </c>
      <c r="D316" s="117"/>
      <c r="E316" s="118">
        <f>18446348/80901</f>
        <v>228.01137192370922</v>
      </c>
      <c r="F316" s="142">
        <v>40878</v>
      </c>
      <c r="G316" s="120">
        <v>5115</v>
      </c>
      <c r="H316" s="140">
        <v>7289</v>
      </c>
      <c r="I316" s="122">
        <f t="shared" si="44"/>
        <v>1.42502</v>
      </c>
      <c r="J316" s="143">
        <f t="shared" si="45"/>
        <v>324.92</v>
      </c>
      <c r="K316" s="144">
        <v>80901</v>
      </c>
      <c r="L316" s="125">
        <f>ROUND(J316*K316,0)</f>
        <v>26286353</v>
      </c>
      <c r="M316" s="22"/>
      <c r="N316" s="22"/>
    </row>
    <row r="317" spans="1:14" s="12" customFormat="1" ht="10.15" customHeight="1" x14ac:dyDescent="0.2">
      <c r="A317" s="113" t="s">
        <v>19</v>
      </c>
      <c r="B317" s="113"/>
      <c r="C317" s="141" t="s">
        <v>672</v>
      </c>
      <c r="D317" s="117"/>
      <c r="E317" s="118">
        <f>10905409/24763</f>
        <v>440.39126923232243</v>
      </c>
      <c r="F317" s="142">
        <v>42170</v>
      </c>
      <c r="G317" s="120">
        <v>5507</v>
      </c>
      <c r="H317" s="140">
        <v>7289</v>
      </c>
      <c r="I317" s="122">
        <f t="shared" si="44"/>
        <v>1.32359</v>
      </c>
      <c r="J317" s="143">
        <f t="shared" si="45"/>
        <v>582.9</v>
      </c>
      <c r="K317" s="144">
        <v>24763</v>
      </c>
      <c r="L317" s="125">
        <f>ROUND(J317*K317,0)</f>
        <v>14434353</v>
      </c>
      <c r="M317" s="22"/>
      <c r="N317" s="22"/>
    </row>
    <row r="318" spans="1:14" s="12" customFormat="1" ht="10.15" customHeight="1" x14ac:dyDescent="0.2">
      <c r="A318" s="113" t="s">
        <v>19</v>
      </c>
      <c r="B318" s="113"/>
      <c r="C318" s="141" t="s">
        <v>710</v>
      </c>
      <c r="D318" s="117"/>
      <c r="E318" s="118">
        <v>306.70999999999998</v>
      </c>
      <c r="F318" s="142">
        <v>43101</v>
      </c>
      <c r="G318" s="120">
        <v>5921</v>
      </c>
      <c r="H318" s="140">
        <v>7289</v>
      </c>
      <c r="I318" s="122">
        <f t="shared" si="44"/>
        <v>1.2310399999999999</v>
      </c>
      <c r="J318" s="143">
        <f t="shared" si="45"/>
        <v>377.57</v>
      </c>
      <c r="K318" s="144">
        <v>23852</v>
      </c>
      <c r="L318" s="125">
        <f>ROUND(J318*K318,0)</f>
        <v>9005800</v>
      </c>
      <c r="M318" s="22"/>
      <c r="N318" s="22"/>
    </row>
    <row r="319" spans="1:14" s="12" customFormat="1" ht="10.15" customHeight="1" x14ac:dyDescent="0.2">
      <c r="A319" s="113"/>
      <c r="B319" s="113"/>
      <c r="C319" s="141"/>
      <c r="D319" s="117"/>
      <c r="E319" s="118"/>
      <c r="F319" s="142"/>
      <c r="G319" s="120"/>
      <c r="H319" s="196"/>
      <c r="I319" s="122"/>
      <c r="J319" s="143"/>
      <c r="K319" s="144"/>
      <c r="L319" s="125"/>
      <c r="M319" s="22"/>
      <c r="N319" s="22"/>
    </row>
    <row r="320" spans="1:14" ht="10.15" customHeight="1" x14ac:dyDescent="0.2">
      <c r="A320" s="149"/>
      <c r="B320" s="149"/>
      <c r="C320" s="113" t="s">
        <v>33</v>
      </c>
      <c r="D320" s="149"/>
      <c r="E320" s="197"/>
      <c r="F320" s="198"/>
      <c r="G320" s="152"/>
      <c r="H320" s="121"/>
      <c r="I320" s="154"/>
      <c r="J320" s="152"/>
      <c r="K320" s="155">
        <f>SUM(K291:K319)</f>
        <v>578010</v>
      </c>
      <c r="L320" s="155">
        <f>SUM(L291:L319)</f>
        <v>253370797</v>
      </c>
    </row>
    <row r="321" spans="1:14" ht="10.15" customHeight="1" x14ac:dyDescent="0.2">
      <c r="A321" s="149"/>
      <c r="B321" s="149"/>
      <c r="C321" s="117"/>
      <c r="D321" s="117"/>
      <c r="E321" s="117"/>
      <c r="F321" s="199"/>
      <c r="G321" s="117"/>
      <c r="H321" s="121"/>
      <c r="I321" s="157"/>
      <c r="J321" s="117"/>
      <c r="K321" s="117"/>
      <c r="L321" s="117"/>
    </row>
    <row r="322" spans="1:14" ht="10.15" customHeight="1" x14ac:dyDescent="0.2">
      <c r="A322" s="149"/>
      <c r="B322" s="149"/>
      <c r="C322" s="159" t="s">
        <v>78</v>
      </c>
      <c r="D322" s="149"/>
      <c r="E322" s="152"/>
      <c r="F322" s="199"/>
      <c r="G322" s="152"/>
      <c r="H322" s="121"/>
      <c r="I322" s="154"/>
      <c r="J322" s="160">
        <f>ROUND(L320/K320,2)</f>
        <v>438.35</v>
      </c>
      <c r="K322" s="158"/>
      <c r="L322" s="158"/>
    </row>
    <row r="323" spans="1:14" ht="10.15" customHeight="1" x14ac:dyDescent="0.2">
      <c r="A323" s="149"/>
      <c r="B323" s="149"/>
      <c r="C323" s="117"/>
      <c r="D323" s="117"/>
      <c r="E323" s="117"/>
      <c r="F323" s="199"/>
      <c r="G323" s="117"/>
      <c r="H323" s="121"/>
      <c r="I323" s="157"/>
      <c r="J323" s="117"/>
      <c r="K323" s="117"/>
      <c r="L323" s="117"/>
    </row>
    <row r="324" spans="1:14" ht="10.15" customHeight="1" x14ac:dyDescent="0.2">
      <c r="A324" s="161" t="s">
        <v>79</v>
      </c>
      <c r="B324" s="149"/>
      <c r="C324" s="117"/>
      <c r="D324" s="117"/>
      <c r="E324" s="156"/>
      <c r="F324" s="199"/>
      <c r="G324" s="156"/>
      <c r="H324" s="121"/>
      <c r="I324" s="157"/>
      <c r="J324" s="156"/>
      <c r="K324" s="158"/>
      <c r="L324" s="158"/>
    </row>
    <row r="325" spans="1:14" ht="10.15" customHeight="1" x14ac:dyDescent="0.2">
      <c r="A325" s="113" t="s">
        <v>24</v>
      </c>
      <c r="B325" s="113">
        <v>159</v>
      </c>
      <c r="C325" s="117" t="s">
        <v>190</v>
      </c>
      <c r="D325" s="117"/>
      <c r="E325" s="118">
        <v>52.05</v>
      </c>
      <c r="F325" s="119" t="s">
        <v>169</v>
      </c>
      <c r="G325" s="156"/>
      <c r="H325" s="121"/>
      <c r="I325" s="157"/>
      <c r="J325" s="156"/>
      <c r="K325" s="158"/>
      <c r="L325" s="158"/>
    </row>
    <row r="326" spans="1:14" ht="10.15" customHeight="1" x14ac:dyDescent="0.2">
      <c r="A326" s="113" t="s">
        <v>29</v>
      </c>
      <c r="B326" s="113">
        <v>725</v>
      </c>
      <c r="C326" s="116" t="s">
        <v>203</v>
      </c>
      <c r="D326" s="117"/>
      <c r="E326" s="118">
        <v>58.21</v>
      </c>
      <c r="F326" s="199" t="s">
        <v>192</v>
      </c>
      <c r="G326" s="156"/>
      <c r="H326" s="121"/>
      <c r="I326" s="157"/>
      <c r="J326" s="156"/>
      <c r="K326" s="158"/>
      <c r="L326" s="158"/>
    </row>
    <row r="327" spans="1:14" ht="10.15" customHeight="1" x14ac:dyDescent="0.2">
      <c r="A327" s="113" t="s">
        <v>23</v>
      </c>
      <c r="B327" s="113">
        <v>244</v>
      </c>
      <c r="C327" s="116" t="s">
        <v>80</v>
      </c>
      <c r="D327" s="117"/>
      <c r="E327" s="118">
        <v>77.31</v>
      </c>
      <c r="F327" s="199" t="s">
        <v>54</v>
      </c>
      <c r="G327" s="120">
        <v>2016.1</v>
      </c>
      <c r="H327" s="140">
        <v>7289</v>
      </c>
      <c r="I327" s="200">
        <f t="shared" ref="I327:I332" si="46">ROUND(H327/G327,5)</f>
        <v>3.6154000000000002</v>
      </c>
      <c r="J327" s="118">
        <f t="shared" ref="J327:J332" si="47">ROUND(E327*I327,2)</f>
        <v>279.51</v>
      </c>
      <c r="K327" s="124">
        <v>49267</v>
      </c>
      <c r="L327" s="124">
        <f t="shared" ref="L327:L332" si="48">ROUND(J327*K327,0)</f>
        <v>13770619</v>
      </c>
    </row>
    <row r="328" spans="1:14" ht="10.15" customHeight="1" x14ac:dyDescent="0.2">
      <c r="A328" s="113" t="s">
        <v>17</v>
      </c>
      <c r="B328" s="113">
        <v>587</v>
      </c>
      <c r="C328" s="116" t="s">
        <v>81</v>
      </c>
      <c r="D328" s="117"/>
      <c r="E328" s="118">
        <v>72.06</v>
      </c>
      <c r="F328" s="199" t="s">
        <v>55</v>
      </c>
      <c r="G328" s="120">
        <v>2568.7800000000002</v>
      </c>
      <c r="H328" s="140">
        <v>7289</v>
      </c>
      <c r="I328" s="200">
        <f t="shared" si="46"/>
        <v>2.8375300000000001</v>
      </c>
      <c r="J328" s="118">
        <f t="shared" si="47"/>
        <v>204.47</v>
      </c>
      <c r="K328" s="124">
        <v>22161</v>
      </c>
      <c r="L328" s="124">
        <f t="shared" si="48"/>
        <v>4531260</v>
      </c>
    </row>
    <row r="329" spans="1:14" ht="10.15" customHeight="1" x14ac:dyDescent="0.2">
      <c r="A329" s="113" t="s">
        <v>29</v>
      </c>
      <c r="B329" s="113">
        <v>785</v>
      </c>
      <c r="C329" s="116" t="s">
        <v>82</v>
      </c>
      <c r="D329" s="117"/>
      <c r="E329" s="118">
        <f>ROUND(1034700/10355,2)</f>
        <v>99.92</v>
      </c>
      <c r="F329" s="199" t="s">
        <v>83</v>
      </c>
      <c r="G329" s="120">
        <v>2785.47</v>
      </c>
      <c r="H329" s="140">
        <v>7289</v>
      </c>
      <c r="I329" s="200">
        <f t="shared" si="46"/>
        <v>2.6167899999999999</v>
      </c>
      <c r="J329" s="118">
        <f t="shared" si="47"/>
        <v>261.47000000000003</v>
      </c>
      <c r="K329" s="124">
        <v>10355</v>
      </c>
      <c r="L329" s="124">
        <f t="shared" si="48"/>
        <v>2707522</v>
      </c>
    </row>
    <row r="330" spans="1:14" ht="10.15" customHeight="1" x14ac:dyDescent="0.2">
      <c r="A330" s="113" t="s">
        <v>17</v>
      </c>
      <c r="B330" s="113">
        <v>522</v>
      </c>
      <c r="C330" s="116" t="s">
        <v>156</v>
      </c>
      <c r="D330" s="117"/>
      <c r="E330" s="118">
        <v>180.18</v>
      </c>
      <c r="F330" s="136">
        <v>36312</v>
      </c>
      <c r="G330" s="120">
        <v>3432.92</v>
      </c>
      <c r="H330" s="140">
        <v>7289</v>
      </c>
      <c r="I330" s="188">
        <f t="shared" si="46"/>
        <v>2.1232700000000002</v>
      </c>
      <c r="J330" s="143">
        <f t="shared" si="47"/>
        <v>382.57</v>
      </c>
      <c r="K330" s="124">
        <v>26996</v>
      </c>
      <c r="L330" s="125">
        <f t="shared" si="48"/>
        <v>10327860</v>
      </c>
    </row>
    <row r="331" spans="1:14" s="12" customFormat="1" ht="10.15" customHeight="1" x14ac:dyDescent="0.2">
      <c r="A331" s="113" t="s">
        <v>19</v>
      </c>
      <c r="B331" s="113">
        <v>217</v>
      </c>
      <c r="C331" s="141" t="s">
        <v>476</v>
      </c>
      <c r="D331" s="117"/>
      <c r="E331" s="118">
        <f>4804136/18922</f>
        <v>253.89155480393194</v>
      </c>
      <c r="F331" s="142">
        <v>37778</v>
      </c>
      <c r="G331" s="120">
        <v>3677</v>
      </c>
      <c r="H331" s="140">
        <v>7289</v>
      </c>
      <c r="I331" s="188">
        <f t="shared" si="46"/>
        <v>1.9823200000000001</v>
      </c>
      <c r="J331" s="143">
        <f t="shared" si="47"/>
        <v>503.29</v>
      </c>
      <c r="K331" s="144">
        <v>18922</v>
      </c>
      <c r="L331" s="125">
        <f t="shared" si="48"/>
        <v>9523253</v>
      </c>
      <c r="M331"/>
      <c r="N331"/>
    </row>
    <row r="332" spans="1:14" ht="10.15" customHeight="1" x14ac:dyDescent="0.2">
      <c r="A332" s="113" t="s">
        <v>18</v>
      </c>
      <c r="B332" s="113">
        <v>399</v>
      </c>
      <c r="C332" s="141" t="s">
        <v>494</v>
      </c>
      <c r="D332" s="117"/>
      <c r="E332" s="118">
        <f>21175050/160385</f>
        <v>132.02637403747232</v>
      </c>
      <c r="F332" s="142">
        <v>38032</v>
      </c>
      <c r="G332" s="120">
        <v>3802</v>
      </c>
      <c r="H332" s="140">
        <v>7289</v>
      </c>
      <c r="I332" s="122">
        <f t="shared" si="46"/>
        <v>1.9171499999999999</v>
      </c>
      <c r="J332" s="143">
        <f t="shared" si="47"/>
        <v>253.11</v>
      </c>
      <c r="K332" s="144">
        <v>160385</v>
      </c>
      <c r="L332" s="125">
        <f t="shared" si="48"/>
        <v>40595047</v>
      </c>
      <c r="M332" s="12"/>
      <c r="N332" s="12"/>
    </row>
    <row r="333" spans="1:14" ht="10.15" customHeight="1" x14ac:dyDescent="0.2">
      <c r="A333" s="149"/>
      <c r="B333" s="149"/>
      <c r="C333" s="113" t="s">
        <v>33</v>
      </c>
      <c r="D333" s="149"/>
      <c r="E333" s="152"/>
      <c r="F333" s="153"/>
      <c r="G333" s="152"/>
      <c r="H333" s="152"/>
      <c r="I333" s="154"/>
      <c r="J333" s="152"/>
      <c r="K333" s="155">
        <f>SUM(K327:K332)</f>
        <v>288086</v>
      </c>
      <c r="L333" s="155">
        <f>SUM(L327:L332)</f>
        <v>81455561</v>
      </c>
    </row>
    <row r="334" spans="1:14" ht="10.15" customHeight="1" x14ac:dyDescent="0.2">
      <c r="A334" s="149"/>
      <c r="B334" s="149"/>
      <c r="C334" s="117"/>
      <c r="D334" s="117"/>
      <c r="E334" s="156"/>
      <c r="F334" s="153"/>
      <c r="G334" s="156"/>
      <c r="H334" s="156"/>
      <c r="I334" s="157"/>
      <c r="J334" s="156"/>
      <c r="K334" s="158"/>
      <c r="L334" s="158"/>
    </row>
    <row r="335" spans="1:14" ht="10.15" customHeight="1" x14ac:dyDescent="0.2">
      <c r="A335" s="149"/>
      <c r="B335" s="149"/>
      <c r="C335" s="159" t="s">
        <v>84</v>
      </c>
      <c r="D335" s="149"/>
      <c r="E335" s="152"/>
      <c r="F335" s="153"/>
      <c r="G335" s="152"/>
      <c r="H335" s="152"/>
      <c r="I335" s="154"/>
      <c r="J335" s="160">
        <f>ROUND(L333/K333,2)</f>
        <v>282.75</v>
      </c>
      <c r="K335" s="158"/>
      <c r="L335" s="158"/>
    </row>
    <row r="336" spans="1:14" ht="10.15" customHeight="1" x14ac:dyDescent="0.2">
      <c r="A336" s="149"/>
      <c r="B336" s="149"/>
      <c r="C336" s="117"/>
      <c r="D336" s="117"/>
      <c r="E336" s="117"/>
      <c r="F336" s="153"/>
      <c r="G336" s="117"/>
      <c r="H336" s="117"/>
      <c r="I336" s="157"/>
      <c r="J336" s="117"/>
      <c r="K336" s="117"/>
      <c r="L336" s="117"/>
    </row>
    <row r="337" spans="1:12" ht="10.15" customHeight="1" x14ac:dyDescent="0.2">
      <c r="A337" s="201" t="s">
        <v>85</v>
      </c>
      <c r="B337" s="202"/>
      <c r="C337" s="203"/>
      <c r="D337" s="203"/>
      <c r="E337" s="204" t="s">
        <v>738</v>
      </c>
      <c r="F337" s="205"/>
      <c r="G337" s="206"/>
      <c r="H337" s="206"/>
      <c r="I337" s="207"/>
      <c r="J337" s="206"/>
      <c r="K337" s="208"/>
      <c r="L337" s="208"/>
    </row>
    <row r="338" spans="1:12" ht="10.15" customHeight="1" x14ac:dyDescent="0.2">
      <c r="A338" s="113" t="s">
        <v>21</v>
      </c>
      <c r="B338" s="113">
        <v>913</v>
      </c>
      <c r="C338" s="116" t="s">
        <v>204</v>
      </c>
      <c r="D338" s="117"/>
      <c r="E338" s="118">
        <v>80.3</v>
      </c>
      <c r="F338" s="153" t="s">
        <v>202</v>
      </c>
      <c r="G338" s="156"/>
      <c r="H338" s="156"/>
      <c r="I338" s="157"/>
      <c r="J338" s="156"/>
      <c r="K338" s="158"/>
      <c r="L338" s="158"/>
    </row>
    <row r="339" spans="1:12" ht="10.15" customHeight="1" x14ac:dyDescent="0.2">
      <c r="A339" s="113" t="s">
        <v>22</v>
      </c>
      <c r="B339" s="113">
        <v>824</v>
      </c>
      <c r="C339" s="116" t="s">
        <v>193</v>
      </c>
      <c r="D339" s="117"/>
      <c r="E339" s="118">
        <v>77.150000000000006</v>
      </c>
      <c r="F339" s="153" t="s">
        <v>192</v>
      </c>
      <c r="G339" s="156"/>
      <c r="H339" s="156"/>
      <c r="I339" s="157"/>
      <c r="J339" s="156"/>
      <c r="K339" s="158"/>
      <c r="L339" s="158"/>
    </row>
    <row r="340" spans="1:12" ht="10.15" customHeight="1" x14ac:dyDescent="0.2">
      <c r="A340" s="113" t="s">
        <v>21</v>
      </c>
      <c r="B340" s="113">
        <v>922</v>
      </c>
      <c r="C340" s="116" t="s">
        <v>205</v>
      </c>
      <c r="D340" s="117"/>
      <c r="E340" s="118">
        <v>53.64</v>
      </c>
      <c r="F340" s="153" t="s">
        <v>206</v>
      </c>
      <c r="G340" s="156"/>
      <c r="H340" s="156"/>
      <c r="I340" s="157"/>
      <c r="J340" s="156"/>
      <c r="K340" s="158"/>
      <c r="L340" s="158"/>
    </row>
    <row r="341" spans="1:12" ht="10.15" customHeight="1" x14ac:dyDescent="0.2">
      <c r="A341" s="113" t="s">
        <v>20</v>
      </c>
      <c r="B341" s="113">
        <v>423</v>
      </c>
      <c r="C341" s="116" t="s">
        <v>207</v>
      </c>
      <c r="D341" s="117"/>
      <c r="E341" s="118">
        <v>73.06</v>
      </c>
      <c r="F341" s="153" t="s">
        <v>208</v>
      </c>
      <c r="G341" s="156"/>
      <c r="H341" s="156"/>
      <c r="I341" s="157"/>
      <c r="J341" s="156"/>
      <c r="K341" s="158"/>
      <c r="L341" s="158"/>
    </row>
    <row r="342" spans="1:12" ht="10.15" customHeight="1" x14ac:dyDescent="0.2">
      <c r="A342" s="113" t="s">
        <v>19</v>
      </c>
      <c r="B342" s="113">
        <v>239</v>
      </c>
      <c r="C342" s="116" t="s">
        <v>160</v>
      </c>
      <c r="D342" s="117"/>
      <c r="E342" s="118">
        <v>92.07</v>
      </c>
      <c r="F342" s="176" t="s">
        <v>161</v>
      </c>
      <c r="G342" s="156"/>
      <c r="H342" s="156"/>
      <c r="I342" s="157"/>
      <c r="J342" s="156"/>
      <c r="K342" s="158"/>
      <c r="L342" s="158"/>
    </row>
    <row r="343" spans="1:12" ht="10.15" customHeight="1" x14ac:dyDescent="0.2">
      <c r="A343" s="113" t="s">
        <v>23</v>
      </c>
      <c r="B343" s="113">
        <v>621</v>
      </c>
      <c r="C343" s="116" t="s">
        <v>196</v>
      </c>
      <c r="D343" s="117"/>
      <c r="E343" s="118">
        <v>88.93</v>
      </c>
      <c r="F343" s="176" t="s">
        <v>182</v>
      </c>
      <c r="G343" s="156"/>
      <c r="H343" s="156"/>
      <c r="I343" s="157"/>
      <c r="J343" s="156"/>
      <c r="K343" s="158"/>
      <c r="L343" s="158"/>
    </row>
    <row r="344" spans="1:12" ht="10.15" customHeight="1" x14ac:dyDescent="0.2">
      <c r="A344" s="113" t="s">
        <v>21</v>
      </c>
      <c r="B344" s="113">
        <v>941</v>
      </c>
      <c r="C344" s="116" t="s">
        <v>209</v>
      </c>
      <c r="D344" s="117"/>
      <c r="E344" s="118">
        <v>70.3</v>
      </c>
      <c r="F344" s="153" t="s">
        <v>210</v>
      </c>
      <c r="G344" s="156"/>
      <c r="H344" s="156"/>
      <c r="I344" s="157"/>
      <c r="J344" s="156"/>
      <c r="K344" s="158"/>
      <c r="L344" s="158"/>
    </row>
    <row r="345" spans="1:12" ht="10.15" customHeight="1" x14ac:dyDescent="0.2">
      <c r="A345" s="113" t="s">
        <v>24</v>
      </c>
      <c r="B345" s="113">
        <v>105</v>
      </c>
      <c r="C345" s="116" t="s">
        <v>211</v>
      </c>
      <c r="D345" s="117"/>
      <c r="E345" s="118">
        <f>ROUND(4974804/54194,2)</f>
        <v>91.8</v>
      </c>
      <c r="F345" s="153" t="s">
        <v>173</v>
      </c>
      <c r="G345" s="156"/>
      <c r="H345" s="156"/>
      <c r="I345" s="157"/>
      <c r="J345" s="156"/>
      <c r="K345" s="158"/>
      <c r="L345" s="158"/>
    </row>
    <row r="346" spans="1:12" ht="10.15" customHeight="1" x14ac:dyDescent="0.2">
      <c r="A346" s="113" t="s">
        <v>24</v>
      </c>
      <c r="B346" s="113">
        <v>116</v>
      </c>
      <c r="C346" s="116" t="s">
        <v>212</v>
      </c>
      <c r="D346" s="117"/>
      <c r="E346" s="118">
        <f>ROUND(991272/9997,2)</f>
        <v>99.16</v>
      </c>
      <c r="F346" s="153" t="s">
        <v>213</v>
      </c>
      <c r="G346" s="156"/>
      <c r="H346" s="156"/>
      <c r="I346" s="157"/>
      <c r="J346" s="156"/>
      <c r="K346" s="158"/>
      <c r="L346" s="158"/>
    </row>
    <row r="347" spans="1:12" ht="10.15" customHeight="1" x14ac:dyDescent="0.2">
      <c r="A347" s="113" t="s">
        <v>20</v>
      </c>
      <c r="B347" s="113">
        <v>452</v>
      </c>
      <c r="C347" s="116" t="s">
        <v>86</v>
      </c>
      <c r="D347" s="117"/>
      <c r="E347" s="118">
        <f>ROUND(8265000/93439,2)</f>
        <v>88.45</v>
      </c>
      <c r="F347" s="153" t="s">
        <v>87</v>
      </c>
      <c r="G347" s="120">
        <v>2874.83</v>
      </c>
      <c r="H347" s="140">
        <v>6445</v>
      </c>
      <c r="I347" s="157">
        <f t="shared" ref="I347:I352" si="49">ROUND(H347/G347,5)</f>
        <v>2.24187</v>
      </c>
      <c r="J347" s="118">
        <f t="shared" ref="J347:J352" si="50">ROUND(E347*I347,2)</f>
        <v>198.29</v>
      </c>
      <c r="K347" s="124">
        <v>93439</v>
      </c>
      <c r="L347" s="124">
        <f t="shared" ref="L347:L352" si="51">ROUND(J347*K347,0)</f>
        <v>18528019</v>
      </c>
    </row>
    <row r="348" spans="1:12" ht="10.15" customHeight="1" x14ac:dyDescent="0.2">
      <c r="A348" s="113" t="s">
        <v>24</v>
      </c>
      <c r="B348" s="113">
        <v>152</v>
      </c>
      <c r="C348" s="116" t="s">
        <v>88</v>
      </c>
      <c r="D348" s="117"/>
      <c r="E348" s="118">
        <f>ROUND(4562000/57629,2)</f>
        <v>79.16</v>
      </c>
      <c r="F348" s="153" t="s">
        <v>56</v>
      </c>
      <c r="G348" s="120">
        <v>2886.42</v>
      </c>
      <c r="H348" s="140">
        <v>6445</v>
      </c>
      <c r="I348" s="157">
        <f t="shared" si="49"/>
        <v>2.2328700000000001</v>
      </c>
      <c r="J348" s="118">
        <f t="shared" si="50"/>
        <v>176.75</v>
      </c>
      <c r="K348" s="124">
        <v>57629</v>
      </c>
      <c r="L348" s="124">
        <f t="shared" si="51"/>
        <v>10185926</v>
      </c>
    </row>
    <row r="349" spans="1:12" ht="10.15" customHeight="1" x14ac:dyDescent="0.2">
      <c r="A349" s="113" t="s">
        <v>22</v>
      </c>
      <c r="B349" s="126">
        <v>808</v>
      </c>
      <c r="C349" s="127" t="s">
        <v>89</v>
      </c>
      <c r="D349" s="128"/>
      <c r="E349" s="129">
        <f>ROUND(4023777/38190,2)</f>
        <v>105.36</v>
      </c>
      <c r="F349" s="153" t="s">
        <v>59</v>
      </c>
      <c r="G349" s="131">
        <v>3071.1</v>
      </c>
      <c r="H349" s="140">
        <v>6445</v>
      </c>
      <c r="I349" s="209">
        <f t="shared" si="49"/>
        <v>2.0985999999999998</v>
      </c>
      <c r="J349" s="129">
        <f t="shared" si="50"/>
        <v>221.11</v>
      </c>
      <c r="K349" s="134">
        <v>38190</v>
      </c>
      <c r="L349" s="134">
        <f t="shared" si="51"/>
        <v>8444191</v>
      </c>
    </row>
    <row r="350" spans="1:12" ht="10.15" customHeight="1" x14ac:dyDescent="0.2">
      <c r="A350" s="113" t="s">
        <v>22</v>
      </c>
      <c r="B350" s="126">
        <v>897</v>
      </c>
      <c r="C350" s="127" t="s">
        <v>90</v>
      </c>
      <c r="D350" s="128"/>
      <c r="E350" s="129">
        <f>ROUND(6058965/57604,2)</f>
        <v>105.18</v>
      </c>
      <c r="F350" s="153" t="s">
        <v>59</v>
      </c>
      <c r="G350" s="131">
        <v>3071.1</v>
      </c>
      <c r="H350" s="140">
        <v>6445</v>
      </c>
      <c r="I350" s="209">
        <f t="shared" si="49"/>
        <v>2.0985999999999998</v>
      </c>
      <c r="J350" s="129">
        <f t="shared" si="50"/>
        <v>220.73</v>
      </c>
      <c r="K350" s="134">
        <v>57604</v>
      </c>
      <c r="L350" s="134">
        <f t="shared" si="51"/>
        <v>12714931</v>
      </c>
    </row>
    <row r="351" spans="1:12" ht="10.15" customHeight="1" x14ac:dyDescent="0.2">
      <c r="A351" s="113" t="s">
        <v>19</v>
      </c>
      <c r="B351" s="113">
        <v>282</v>
      </c>
      <c r="C351" s="141" t="s">
        <v>493</v>
      </c>
      <c r="D351" s="117"/>
      <c r="E351" s="118">
        <f>8440392/37695</f>
        <v>223.91277357739753</v>
      </c>
      <c r="F351" s="142">
        <v>38076</v>
      </c>
      <c r="G351" s="120">
        <v>3859</v>
      </c>
      <c r="H351" s="140">
        <v>6445</v>
      </c>
      <c r="I351" s="194">
        <f t="shared" si="49"/>
        <v>1.67012</v>
      </c>
      <c r="J351" s="143">
        <f t="shared" si="50"/>
        <v>373.96</v>
      </c>
      <c r="K351" s="124">
        <v>37695</v>
      </c>
      <c r="L351" s="125">
        <f t="shared" si="51"/>
        <v>14096422</v>
      </c>
    </row>
    <row r="352" spans="1:12" ht="10.15" customHeight="1" x14ac:dyDescent="0.2">
      <c r="A352" s="113" t="s">
        <v>17</v>
      </c>
      <c r="B352" s="113">
        <v>589</v>
      </c>
      <c r="C352" s="137" t="s">
        <v>498</v>
      </c>
      <c r="D352" s="117"/>
      <c r="E352" s="118">
        <f>15333469/98089</f>
        <v>156.32200348662948</v>
      </c>
      <c r="F352" s="142">
        <v>38338</v>
      </c>
      <c r="G352" s="120">
        <v>4123</v>
      </c>
      <c r="H352" s="140">
        <v>6445</v>
      </c>
      <c r="I352" s="122">
        <f t="shared" si="49"/>
        <v>1.56318</v>
      </c>
      <c r="J352" s="143">
        <f t="shared" si="50"/>
        <v>244.36</v>
      </c>
      <c r="K352" s="144">
        <v>98089</v>
      </c>
      <c r="L352" s="125">
        <f t="shared" si="51"/>
        <v>23969028</v>
      </c>
    </row>
    <row r="353" spans="1:12" ht="10.15" customHeight="1" x14ac:dyDescent="0.2">
      <c r="A353" s="149"/>
      <c r="B353" s="149"/>
      <c r="C353" s="113" t="s">
        <v>33</v>
      </c>
      <c r="D353" s="149"/>
      <c r="E353" s="152"/>
      <c r="F353" s="153"/>
      <c r="G353" s="152"/>
      <c r="H353" s="152"/>
      <c r="I353" s="154"/>
      <c r="J353" s="152"/>
      <c r="K353" s="155">
        <f>SUM(K347:K352)</f>
        <v>382646</v>
      </c>
      <c r="L353" s="155">
        <f>SUM(L347:L352)</f>
        <v>87938517</v>
      </c>
    </row>
    <row r="354" spans="1:12" ht="10.15" customHeight="1" x14ac:dyDescent="0.2">
      <c r="A354" s="149"/>
      <c r="B354" s="149"/>
      <c r="C354" s="117"/>
      <c r="D354" s="117"/>
      <c r="E354" s="156"/>
      <c r="F354" s="153"/>
      <c r="G354" s="156"/>
      <c r="H354" s="156"/>
      <c r="I354" s="157"/>
      <c r="J354" s="156"/>
      <c r="K354" s="158"/>
      <c r="L354" s="158"/>
    </row>
    <row r="355" spans="1:12" ht="10.15" customHeight="1" x14ac:dyDescent="0.2">
      <c r="A355" s="202"/>
      <c r="B355" s="202"/>
      <c r="C355" s="210" t="s">
        <v>91</v>
      </c>
      <c r="D355" s="202"/>
      <c r="E355" s="204"/>
      <c r="F355" s="205"/>
      <c r="G355" s="204"/>
      <c r="H355" s="204"/>
      <c r="I355" s="211"/>
      <c r="J355" s="212">
        <f>ROUND(L353/K353,2)</f>
        <v>229.82</v>
      </c>
      <c r="K355" s="208"/>
      <c r="L355" s="208"/>
    </row>
    <row r="356" spans="1:12" ht="10.15" customHeight="1" x14ac:dyDescent="0.2">
      <c r="A356" s="149"/>
      <c r="B356" s="149"/>
      <c r="C356" s="117"/>
      <c r="D356" s="117"/>
      <c r="E356" s="156"/>
      <c r="F356" s="153"/>
      <c r="G356" s="156"/>
      <c r="H356" s="156"/>
      <c r="I356" s="157"/>
      <c r="J356" s="156"/>
      <c r="K356" s="158"/>
      <c r="L356" s="158"/>
    </row>
    <row r="357" spans="1:12" ht="10.15" customHeight="1" x14ac:dyDescent="0.2">
      <c r="A357" s="161" t="s">
        <v>92</v>
      </c>
      <c r="B357" s="149"/>
      <c r="C357" s="117"/>
      <c r="D357" s="117"/>
      <c r="E357" s="156"/>
      <c r="F357" s="153"/>
      <c r="G357" s="156"/>
      <c r="H357" s="156"/>
      <c r="I357" s="157"/>
      <c r="J357" s="156"/>
      <c r="K357" s="158"/>
      <c r="L357" s="158"/>
    </row>
    <row r="358" spans="1:12" ht="10.15" customHeight="1" x14ac:dyDescent="0.2">
      <c r="A358" s="113" t="s">
        <v>23</v>
      </c>
      <c r="B358" s="113">
        <v>603</v>
      </c>
      <c r="C358" s="116" t="s">
        <v>93</v>
      </c>
      <c r="D358" s="117"/>
      <c r="E358" s="118">
        <v>54.42</v>
      </c>
      <c r="F358" s="153" t="s">
        <v>214</v>
      </c>
      <c r="G358" s="156"/>
      <c r="H358" s="156"/>
      <c r="I358" s="157"/>
      <c r="J358" s="156"/>
      <c r="K358" s="158"/>
      <c r="L358" s="158"/>
    </row>
    <row r="359" spans="1:12" ht="10.15" customHeight="1" x14ac:dyDescent="0.2">
      <c r="A359" s="113" t="s">
        <v>19</v>
      </c>
      <c r="B359" s="113">
        <v>286</v>
      </c>
      <c r="C359" s="116" t="s">
        <v>215</v>
      </c>
      <c r="D359" s="117"/>
      <c r="E359" s="118">
        <f>ROUND(10568442/102941,2)</f>
        <v>102.67</v>
      </c>
      <c r="F359" s="153" t="s">
        <v>166</v>
      </c>
      <c r="G359" s="156"/>
      <c r="H359" s="156"/>
      <c r="I359" s="157"/>
      <c r="J359" s="156"/>
      <c r="K359" s="158"/>
      <c r="L359" s="158"/>
    </row>
    <row r="360" spans="1:12" ht="10.15" customHeight="1" x14ac:dyDescent="0.2">
      <c r="A360" s="113" t="s">
        <v>20</v>
      </c>
      <c r="B360" s="113">
        <v>442</v>
      </c>
      <c r="C360" s="116" t="s">
        <v>216</v>
      </c>
      <c r="D360" s="117"/>
      <c r="E360" s="118">
        <f>ROUND(8091487/89204,2)</f>
        <v>90.71</v>
      </c>
      <c r="F360" s="153" t="s">
        <v>217</v>
      </c>
      <c r="G360" s="156"/>
      <c r="H360" s="156"/>
      <c r="I360" s="157"/>
      <c r="J360" s="156"/>
      <c r="K360" s="158"/>
      <c r="L360" s="158"/>
    </row>
    <row r="361" spans="1:12" ht="10.15" customHeight="1" x14ac:dyDescent="0.2">
      <c r="A361" s="113" t="s">
        <v>21</v>
      </c>
      <c r="B361" s="113">
        <v>955</v>
      </c>
      <c r="C361" s="116" t="s">
        <v>93</v>
      </c>
      <c r="D361" s="117"/>
      <c r="E361" s="118">
        <f>ROUND(7689800/100078,2)</f>
        <v>76.84</v>
      </c>
      <c r="F361" s="153" t="s">
        <v>94</v>
      </c>
      <c r="G361" s="120"/>
      <c r="H361" s="121"/>
      <c r="I361" s="213"/>
      <c r="J361" s="118"/>
      <c r="K361" s="124"/>
      <c r="L361" s="124"/>
    </row>
    <row r="362" spans="1:12" ht="10.15" customHeight="1" x14ac:dyDescent="0.2">
      <c r="A362" s="113" t="s">
        <v>17</v>
      </c>
      <c r="B362" s="113">
        <v>535</v>
      </c>
      <c r="C362" s="116" t="s">
        <v>95</v>
      </c>
      <c r="D362" s="117"/>
      <c r="E362" s="118">
        <f>ROUND(7858000/90382,2)</f>
        <v>86.94</v>
      </c>
      <c r="F362" s="153" t="s">
        <v>36</v>
      </c>
      <c r="G362" s="120"/>
      <c r="H362" s="121"/>
      <c r="I362" s="213"/>
      <c r="J362" s="118"/>
      <c r="K362" s="124"/>
      <c r="L362" s="124"/>
    </row>
    <row r="363" spans="1:12" ht="10.15" customHeight="1" x14ac:dyDescent="0.2">
      <c r="A363" s="113" t="s">
        <v>22</v>
      </c>
      <c r="B363" s="126">
        <v>892</v>
      </c>
      <c r="C363" s="127" t="s">
        <v>96</v>
      </c>
      <c r="D363" s="128"/>
      <c r="E363" s="129">
        <f>ROUND(1173700/12861,2)</f>
        <v>91.26</v>
      </c>
      <c r="F363" s="153" t="s">
        <v>57</v>
      </c>
      <c r="G363" s="131"/>
      <c r="H363" s="121"/>
      <c r="I363" s="214"/>
      <c r="J363" s="129"/>
      <c r="K363" s="134"/>
      <c r="L363" s="134"/>
    </row>
    <row r="364" spans="1:12" ht="10.15" customHeight="1" x14ac:dyDescent="0.2">
      <c r="A364" s="113" t="s">
        <v>19</v>
      </c>
      <c r="B364" s="126">
        <v>253</v>
      </c>
      <c r="C364" s="127" t="s">
        <v>97</v>
      </c>
      <c r="D364" s="128"/>
      <c r="E364" s="129">
        <f>ROUND(378999/2800,2)</f>
        <v>135.36000000000001</v>
      </c>
      <c r="F364" s="153" t="s">
        <v>39</v>
      </c>
      <c r="G364" s="131">
        <v>3109.43</v>
      </c>
      <c r="H364" s="162">
        <v>7289</v>
      </c>
      <c r="I364" s="214">
        <f t="shared" ref="I364:I370" si="52">ROUND(H364/G364,5)</f>
        <v>2.34416</v>
      </c>
      <c r="J364" s="129">
        <f t="shared" ref="J364:J370" si="53">ROUND(E364*I364,2)</f>
        <v>317.31</v>
      </c>
      <c r="K364" s="134">
        <v>2800</v>
      </c>
      <c r="L364" s="134">
        <f>ROUND(J364*K364,0)</f>
        <v>888468</v>
      </c>
    </row>
    <row r="365" spans="1:12" ht="10.15" customHeight="1" x14ac:dyDescent="0.2">
      <c r="A365" s="113" t="s">
        <v>23</v>
      </c>
      <c r="B365" s="113">
        <v>650</v>
      </c>
      <c r="C365" s="116" t="s">
        <v>423</v>
      </c>
      <c r="D365" s="117"/>
      <c r="E365" s="118">
        <f>6562325/59088</f>
        <v>111.06019834822638</v>
      </c>
      <c r="F365" s="192">
        <v>36557</v>
      </c>
      <c r="G365" s="120">
        <v>3523</v>
      </c>
      <c r="H365" s="162">
        <v>7289</v>
      </c>
      <c r="I365" s="213">
        <f t="shared" si="52"/>
        <v>2.0689799999999998</v>
      </c>
      <c r="J365" s="118">
        <f t="shared" si="53"/>
        <v>229.78</v>
      </c>
      <c r="K365" s="124">
        <v>59088</v>
      </c>
      <c r="L365" s="124">
        <f>ROUND(J365*K365,0)</f>
        <v>13577241</v>
      </c>
    </row>
    <row r="366" spans="1:12" ht="10.15" customHeight="1" x14ac:dyDescent="0.2">
      <c r="A366" s="113" t="s">
        <v>20</v>
      </c>
      <c r="B366" s="113">
        <v>440</v>
      </c>
      <c r="C366" s="137" t="s">
        <v>435</v>
      </c>
      <c r="D366" s="117"/>
      <c r="E366" s="118">
        <f>10771389/80794</f>
        <v>133.31916974032725</v>
      </c>
      <c r="F366" s="192">
        <v>36770</v>
      </c>
      <c r="G366" s="120">
        <v>3539</v>
      </c>
      <c r="H366" s="162">
        <v>7289</v>
      </c>
      <c r="I366" s="213">
        <f t="shared" si="52"/>
        <v>2.0596199999999998</v>
      </c>
      <c r="J366" s="118">
        <f t="shared" si="53"/>
        <v>274.58999999999997</v>
      </c>
      <c r="K366" s="124">
        <v>80794</v>
      </c>
      <c r="L366" s="124">
        <f>ROUND(J366*K366,0)</f>
        <v>22185224</v>
      </c>
    </row>
    <row r="367" spans="1:12" ht="10.15" customHeight="1" x14ac:dyDescent="0.2">
      <c r="A367" s="113" t="s">
        <v>128</v>
      </c>
      <c r="B367" s="113">
        <v>1021</v>
      </c>
      <c r="C367" s="137" t="s">
        <v>452</v>
      </c>
      <c r="D367" s="117"/>
      <c r="E367" s="118">
        <f>11405229/77615</f>
        <v>146.94619596727438</v>
      </c>
      <c r="F367" s="192">
        <v>37135</v>
      </c>
      <c r="G367" s="120">
        <v>3655</v>
      </c>
      <c r="H367" s="162">
        <v>7289</v>
      </c>
      <c r="I367" s="213">
        <f t="shared" si="52"/>
        <v>1.9942500000000001</v>
      </c>
      <c r="J367" s="118">
        <f t="shared" si="53"/>
        <v>293.05</v>
      </c>
      <c r="K367" s="124">
        <v>77615</v>
      </c>
      <c r="L367" s="124">
        <f t="shared" ref="L367:L375" si="54">ROUND(J367*K367,0)</f>
        <v>22745076</v>
      </c>
    </row>
    <row r="368" spans="1:12" ht="10.15" customHeight="1" x14ac:dyDescent="0.2">
      <c r="A368" s="113" t="s">
        <v>22</v>
      </c>
      <c r="B368" s="113">
        <v>873</v>
      </c>
      <c r="C368" s="137" t="s">
        <v>482</v>
      </c>
      <c r="D368" s="117"/>
      <c r="E368" s="118">
        <f>5970314/50017</f>
        <v>119.36569566347441</v>
      </c>
      <c r="F368" s="192">
        <v>37819</v>
      </c>
      <c r="G368" s="120">
        <v>3683</v>
      </c>
      <c r="H368" s="162">
        <v>7289</v>
      </c>
      <c r="I368" s="213">
        <f t="shared" si="52"/>
        <v>1.97909</v>
      </c>
      <c r="J368" s="118">
        <f t="shared" si="53"/>
        <v>236.24</v>
      </c>
      <c r="K368" s="124">
        <v>50017</v>
      </c>
      <c r="L368" s="124">
        <f t="shared" si="54"/>
        <v>11816016</v>
      </c>
    </row>
    <row r="369" spans="1:14" ht="10.15" customHeight="1" x14ac:dyDescent="0.2">
      <c r="A369" s="113" t="s">
        <v>29</v>
      </c>
      <c r="B369" s="113">
        <v>708</v>
      </c>
      <c r="C369" s="137" t="s">
        <v>485</v>
      </c>
      <c r="D369" s="117"/>
      <c r="E369" s="118">
        <f>12763601/108358</f>
        <v>117.79103527196884</v>
      </c>
      <c r="F369" s="192">
        <v>37841</v>
      </c>
      <c r="G369" s="120">
        <v>3683</v>
      </c>
      <c r="H369" s="162">
        <v>7289</v>
      </c>
      <c r="I369" s="213">
        <f t="shared" si="52"/>
        <v>1.97909</v>
      </c>
      <c r="J369" s="118">
        <f t="shared" si="53"/>
        <v>233.12</v>
      </c>
      <c r="K369" s="124">
        <v>108358</v>
      </c>
      <c r="L369" s="124">
        <f t="shared" si="54"/>
        <v>25260417</v>
      </c>
    </row>
    <row r="370" spans="1:14" s="12" customFormat="1" ht="10.15" customHeight="1" x14ac:dyDescent="0.2">
      <c r="A370" s="113" t="s">
        <v>18</v>
      </c>
      <c r="B370" s="113">
        <v>304</v>
      </c>
      <c r="C370" s="141" t="s">
        <v>562</v>
      </c>
      <c r="D370" s="117"/>
      <c r="E370" s="118">
        <v>247.28850325379611</v>
      </c>
      <c r="F370" s="192">
        <v>39295</v>
      </c>
      <c r="G370" s="120">
        <v>4512</v>
      </c>
      <c r="H370" s="162">
        <v>7289</v>
      </c>
      <c r="I370" s="213">
        <f t="shared" si="52"/>
        <v>1.61547</v>
      </c>
      <c r="J370" s="118">
        <f t="shared" si="53"/>
        <v>399.49</v>
      </c>
      <c r="K370" s="124">
        <v>138000</v>
      </c>
      <c r="L370" s="124">
        <f t="shared" si="54"/>
        <v>55129620</v>
      </c>
      <c r="M370"/>
      <c r="N370"/>
    </row>
    <row r="371" spans="1:14" s="26" customFormat="1" ht="10.15" customHeight="1" x14ac:dyDescent="0.2">
      <c r="A371" s="113" t="s">
        <v>23</v>
      </c>
      <c r="B371" s="113">
        <v>668</v>
      </c>
      <c r="C371" s="141" t="s">
        <v>481</v>
      </c>
      <c r="D371" s="117"/>
      <c r="E371" s="118">
        <f>8173658/39026</f>
        <v>209.44134679444474</v>
      </c>
      <c r="F371" s="192">
        <v>39448</v>
      </c>
      <c r="G371" s="120">
        <v>4557</v>
      </c>
      <c r="H371" s="162">
        <v>7289</v>
      </c>
      <c r="I371" s="213">
        <f>ROUND(H371/G371,5)</f>
        <v>1.5995200000000001</v>
      </c>
      <c r="J371" s="118">
        <f>ROUND(E371*I371,2)</f>
        <v>335.01</v>
      </c>
      <c r="K371" s="124">
        <v>39026</v>
      </c>
      <c r="L371" s="124">
        <f t="shared" si="54"/>
        <v>13074100</v>
      </c>
      <c r="M371" s="12"/>
      <c r="N371" s="12"/>
    </row>
    <row r="372" spans="1:14" s="22" customFormat="1" ht="10.15" customHeight="1" x14ac:dyDescent="0.2">
      <c r="A372" s="113" t="s">
        <v>19</v>
      </c>
      <c r="B372" s="113"/>
      <c r="C372" s="141" t="s">
        <v>614</v>
      </c>
      <c r="D372" s="117"/>
      <c r="E372" s="118">
        <f>3096011/45440</f>
        <v>68.134044894366198</v>
      </c>
      <c r="F372" s="192">
        <v>40238</v>
      </c>
      <c r="G372" s="120">
        <v>4811</v>
      </c>
      <c r="H372" s="162">
        <v>7289</v>
      </c>
      <c r="I372" s="213">
        <f>ROUND(H372/G372,5)</f>
        <v>1.5150699999999999</v>
      </c>
      <c r="J372" s="118">
        <f>ROUND(E372*I372,2)</f>
        <v>103.23</v>
      </c>
      <c r="K372" s="124">
        <v>45440</v>
      </c>
      <c r="L372" s="124">
        <f t="shared" si="54"/>
        <v>4690771</v>
      </c>
      <c r="M372" s="12"/>
      <c r="N372" s="12"/>
    </row>
    <row r="373" spans="1:14" ht="10.15" customHeight="1" x14ac:dyDescent="0.2">
      <c r="A373" s="113" t="s">
        <v>22</v>
      </c>
      <c r="B373" s="113"/>
      <c r="C373" s="141" t="s">
        <v>633</v>
      </c>
      <c r="D373" s="117"/>
      <c r="E373" s="118">
        <f>5085920/12021</f>
        <v>423.08626570168872</v>
      </c>
      <c r="F373" s="192">
        <v>40603</v>
      </c>
      <c r="G373" s="120">
        <v>5010</v>
      </c>
      <c r="H373" s="162">
        <v>7289</v>
      </c>
      <c r="I373" s="213">
        <f>ROUND(H373/G373,5)</f>
        <v>1.45489</v>
      </c>
      <c r="J373" s="118">
        <f>ROUND(E373*I373,2)</f>
        <v>615.54</v>
      </c>
      <c r="K373" s="124">
        <v>12021</v>
      </c>
      <c r="L373" s="124">
        <f t="shared" si="54"/>
        <v>7399406</v>
      </c>
      <c r="M373" s="22"/>
      <c r="N373" s="22"/>
    </row>
    <row r="374" spans="1:14" s="30" customFormat="1" ht="10.15" customHeight="1" x14ac:dyDescent="0.2">
      <c r="A374" s="164" t="s">
        <v>22</v>
      </c>
      <c r="B374" s="164"/>
      <c r="C374" s="215" t="s">
        <v>692</v>
      </c>
      <c r="D374" s="167"/>
      <c r="E374" s="168">
        <f>COSTBASE!F2153/COSTBASE!G2153</f>
        <v>325.53132592568596</v>
      </c>
      <c r="F374" s="216">
        <v>43041</v>
      </c>
      <c r="G374" s="170">
        <v>5902</v>
      </c>
      <c r="H374" s="162">
        <v>7289</v>
      </c>
      <c r="I374" s="217">
        <f>ROUND(H374/G374,5)</f>
        <v>1.2350099999999999</v>
      </c>
      <c r="J374" s="168">
        <f>ROUND(E374*I374,2)</f>
        <v>402.03</v>
      </c>
      <c r="K374" s="218">
        <v>61738</v>
      </c>
      <c r="L374" s="218">
        <f t="shared" si="54"/>
        <v>24820528</v>
      </c>
      <c r="M374" s="29"/>
      <c r="N374" s="29"/>
    </row>
    <row r="375" spans="1:14" s="30" customFormat="1" ht="10.15" customHeight="1" x14ac:dyDescent="0.2">
      <c r="A375" s="113" t="s">
        <v>29</v>
      </c>
      <c r="B375" s="113"/>
      <c r="C375" s="141" t="s">
        <v>711</v>
      </c>
      <c r="D375" s="117"/>
      <c r="E375" s="118">
        <v>189.74</v>
      </c>
      <c r="F375" s="192">
        <v>43191</v>
      </c>
      <c r="G375" s="120">
        <v>5954</v>
      </c>
      <c r="H375" s="162">
        <v>7289</v>
      </c>
      <c r="I375" s="213">
        <f>ROUND(H375/G375,5)</f>
        <v>1.2242200000000001</v>
      </c>
      <c r="J375" s="118">
        <f>ROUND(E375*I375,2)</f>
        <v>232.28</v>
      </c>
      <c r="K375" s="124">
        <v>34353</v>
      </c>
      <c r="L375" s="124">
        <f t="shared" si="54"/>
        <v>7979515</v>
      </c>
      <c r="M375" s="29"/>
      <c r="N375" s="29"/>
    </row>
    <row r="376" spans="1:14" ht="10.15" customHeight="1" x14ac:dyDescent="0.2">
      <c r="A376" s="149"/>
      <c r="B376" s="149"/>
      <c r="C376" s="113" t="s">
        <v>33</v>
      </c>
      <c r="D376" s="149"/>
      <c r="E376" s="149"/>
      <c r="F376" s="153"/>
      <c r="G376" s="149"/>
      <c r="H376" s="149"/>
      <c r="I376" s="149"/>
      <c r="J376" s="149"/>
      <c r="K376" s="155">
        <f>SUM(K361:K375)</f>
        <v>709250</v>
      </c>
      <c r="L376" s="155">
        <f>SUM(L361:L375)</f>
        <v>209566382</v>
      </c>
    </row>
    <row r="377" spans="1:14" ht="10.15" customHeight="1" x14ac:dyDescent="0.2">
      <c r="A377" s="149"/>
      <c r="B377" s="149"/>
      <c r="C377" s="117"/>
      <c r="D377" s="117"/>
      <c r="E377" s="117"/>
      <c r="F377" s="153"/>
      <c r="G377" s="117"/>
      <c r="H377" s="117"/>
      <c r="I377" s="117"/>
      <c r="J377" s="117"/>
      <c r="K377" s="117"/>
      <c r="L377" s="117"/>
    </row>
    <row r="378" spans="1:14" ht="10.15" customHeight="1" x14ac:dyDescent="0.2">
      <c r="A378" s="149"/>
      <c r="B378" s="149"/>
      <c r="C378" s="159" t="s">
        <v>98</v>
      </c>
      <c r="D378" s="149"/>
      <c r="E378" s="152"/>
      <c r="F378" s="153"/>
      <c r="G378" s="152"/>
      <c r="H378" s="152"/>
      <c r="I378" s="154"/>
      <c r="J378" s="160">
        <f>ROUND(L376/K376,2)</f>
        <v>295.48</v>
      </c>
      <c r="K378" s="181"/>
      <c r="L378" s="158"/>
    </row>
    <row r="379" spans="1:14" ht="10.15" customHeight="1" x14ac:dyDescent="0.2">
      <c r="A379" s="149"/>
      <c r="B379" s="149"/>
      <c r="C379" s="117"/>
      <c r="D379" s="117"/>
      <c r="E379" s="156"/>
      <c r="F379" s="153"/>
      <c r="G379" s="156"/>
      <c r="H379" s="156"/>
      <c r="I379" s="157"/>
      <c r="J379" s="156"/>
      <c r="K379" s="158"/>
      <c r="L379" s="158"/>
    </row>
    <row r="380" spans="1:14" ht="10.15" customHeight="1" x14ac:dyDescent="0.2">
      <c r="A380" s="161" t="s">
        <v>99</v>
      </c>
      <c r="B380" s="149"/>
      <c r="C380" s="117"/>
      <c r="D380" s="117"/>
      <c r="E380" s="156"/>
      <c r="F380" s="153"/>
      <c r="G380" s="156"/>
      <c r="H380" s="156"/>
      <c r="I380" s="157"/>
      <c r="J380" s="156"/>
      <c r="K380" s="158"/>
      <c r="L380" s="158"/>
    </row>
    <row r="381" spans="1:14" ht="10.15" customHeight="1" x14ac:dyDescent="0.2">
      <c r="A381" s="113" t="s">
        <v>19</v>
      </c>
      <c r="B381" s="113">
        <v>211</v>
      </c>
      <c r="C381" s="116" t="s">
        <v>218</v>
      </c>
      <c r="D381" s="117"/>
      <c r="E381" s="118">
        <v>39.06</v>
      </c>
      <c r="F381" s="153" t="s">
        <v>202</v>
      </c>
      <c r="G381" s="156"/>
      <c r="H381" s="156"/>
      <c r="I381" s="157"/>
      <c r="J381" s="156"/>
      <c r="K381" s="158"/>
      <c r="L381" s="158"/>
    </row>
    <row r="382" spans="1:14" ht="10.15" customHeight="1" x14ac:dyDescent="0.2">
      <c r="A382" s="113" t="s">
        <v>22</v>
      </c>
      <c r="B382" s="113" t="s">
        <v>219</v>
      </c>
      <c r="C382" s="116" t="s">
        <v>220</v>
      </c>
      <c r="D382" s="117"/>
      <c r="E382" s="118">
        <v>57.66</v>
      </c>
      <c r="F382" s="153" t="s">
        <v>221</v>
      </c>
      <c r="G382" s="156"/>
      <c r="H382" s="156"/>
      <c r="I382" s="157"/>
      <c r="J382" s="156"/>
      <c r="K382" s="158"/>
      <c r="L382" s="158"/>
    </row>
    <row r="383" spans="1:14" ht="10.15" customHeight="1" x14ac:dyDescent="0.2">
      <c r="A383" s="113" t="s">
        <v>22</v>
      </c>
      <c r="B383" s="113">
        <v>834</v>
      </c>
      <c r="C383" s="116" t="s">
        <v>195</v>
      </c>
      <c r="D383" s="117"/>
      <c r="E383" s="118">
        <v>64.28</v>
      </c>
      <c r="F383" s="153" t="s">
        <v>170</v>
      </c>
      <c r="G383" s="156"/>
      <c r="H383" s="156"/>
      <c r="I383" s="157"/>
      <c r="J383" s="156"/>
      <c r="K383" s="158"/>
      <c r="L383" s="158"/>
    </row>
    <row r="384" spans="1:14" ht="10.15" customHeight="1" x14ac:dyDescent="0.2">
      <c r="A384" s="113" t="s">
        <v>20</v>
      </c>
      <c r="B384" s="113">
        <v>476</v>
      </c>
      <c r="C384" s="116" t="s">
        <v>222</v>
      </c>
      <c r="D384" s="117"/>
      <c r="E384" s="118">
        <f>ROUND(1907500/55865,2)</f>
        <v>34.14</v>
      </c>
      <c r="F384" s="153" t="s">
        <v>188</v>
      </c>
      <c r="G384" s="156"/>
      <c r="H384" s="156"/>
      <c r="I384" s="157"/>
      <c r="J384" s="156"/>
      <c r="K384" s="158"/>
      <c r="L384" s="158"/>
    </row>
    <row r="385" spans="1:14" ht="10.15" customHeight="1" x14ac:dyDescent="0.2">
      <c r="A385" s="113" t="s">
        <v>23</v>
      </c>
      <c r="B385" s="113">
        <v>686</v>
      </c>
      <c r="C385" s="116" t="s">
        <v>201</v>
      </c>
      <c r="D385" s="117"/>
      <c r="E385" s="118">
        <f>ROUND(460100/4400,2)</f>
        <v>104.57</v>
      </c>
      <c r="F385" s="153" t="s">
        <v>188</v>
      </c>
      <c r="G385" s="156"/>
      <c r="H385" s="156"/>
      <c r="I385" s="157"/>
      <c r="J385" s="156"/>
      <c r="K385" s="158"/>
      <c r="L385" s="158"/>
    </row>
    <row r="386" spans="1:14" ht="10.15" customHeight="1" x14ac:dyDescent="0.2">
      <c r="A386" s="113" t="s">
        <v>24</v>
      </c>
      <c r="B386" s="113">
        <v>146</v>
      </c>
      <c r="C386" s="116" t="s">
        <v>223</v>
      </c>
      <c r="D386" s="117"/>
      <c r="E386" s="118">
        <f>ROUND(888350/10830,2)</f>
        <v>82.03</v>
      </c>
      <c r="F386" s="153" t="s">
        <v>36</v>
      </c>
      <c r="G386" s="156"/>
      <c r="H386" s="156"/>
      <c r="I386" s="157"/>
      <c r="J386" s="156"/>
      <c r="K386" s="158"/>
      <c r="L386" s="158"/>
    </row>
    <row r="387" spans="1:14" ht="10.15" customHeight="1" x14ac:dyDescent="0.2">
      <c r="A387" s="113" t="s">
        <v>18</v>
      </c>
      <c r="B387" s="126">
        <v>380</v>
      </c>
      <c r="C387" s="127" t="s">
        <v>224</v>
      </c>
      <c r="D387" s="128"/>
      <c r="E387" s="129">
        <f>ROUND(6966764/79709,2)</f>
        <v>87.4</v>
      </c>
      <c r="F387" s="153" t="s">
        <v>225</v>
      </c>
      <c r="G387" s="156"/>
      <c r="H387" s="156"/>
      <c r="I387" s="157"/>
      <c r="J387" s="156"/>
      <c r="K387" s="158"/>
      <c r="L387" s="158"/>
    </row>
    <row r="388" spans="1:14" ht="10.15" customHeight="1" x14ac:dyDescent="0.2">
      <c r="A388" s="113" t="s">
        <v>21</v>
      </c>
      <c r="B388" s="126">
        <v>973</v>
      </c>
      <c r="C388" s="127" t="s">
        <v>100</v>
      </c>
      <c r="D388" s="128"/>
      <c r="E388" s="129">
        <f>ROUND(2000000/34523,2)</f>
        <v>57.93</v>
      </c>
      <c r="F388" s="153" t="s">
        <v>101</v>
      </c>
      <c r="G388" s="131"/>
      <c r="H388" s="121"/>
      <c r="I388" s="219"/>
      <c r="J388" s="129"/>
      <c r="K388" s="134"/>
      <c r="L388" s="134"/>
    </row>
    <row r="389" spans="1:14" ht="10.15" customHeight="1" x14ac:dyDescent="0.2">
      <c r="A389" s="113" t="s">
        <v>29</v>
      </c>
      <c r="B389" s="126">
        <v>796</v>
      </c>
      <c r="C389" s="127" t="s">
        <v>102</v>
      </c>
      <c r="D389" s="128"/>
      <c r="E389" s="129">
        <f>ROUND(4924008/52891,2)</f>
        <v>93.1</v>
      </c>
      <c r="F389" s="153" t="s">
        <v>66</v>
      </c>
      <c r="G389" s="131"/>
      <c r="H389" s="121"/>
      <c r="I389" s="219"/>
      <c r="J389" s="129"/>
      <c r="K389" s="134"/>
      <c r="L389" s="134"/>
    </row>
    <row r="390" spans="1:14" ht="10.15" customHeight="1" x14ac:dyDescent="0.2">
      <c r="A390" s="113" t="s">
        <v>20</v>
      </c>
      <c r="B390" s="126">
        <v>407</v>
      </c>
      <c r="C390" s="127" t="s">
        <v>103</v>
      </c>
      <c r="D390" s="128"/>
      <c r="E390" s="129">
        <f>ROUND(473555/12175,2)</f>
        <v>38.9</v>
      </c>
      <c r="F390" s="220" t="s">
        <v>104</v>
      </c>
      <c r="G390" s="131"/>
      <c r="H390" s="121"/>
      <c r="I390" s="219"/>
      <c r="J390" s="129"/>
      <c r="K390" s="134"/>
      <c r="L390" s="134"/>
    </row>
    <row r="391" spans="1:14" ht="10.15" customHeight="1" x14ac:dyDescent="0.2">
      <c r="A391" s="113" t="s">
        <v>20</v>
      </c>
      <c r="B391" s="126">
        <v>405</v>
      </c>
      <c r="C391" s="127" t="s">
        <v>69</v>
      </c>
      <c r="D391" s="128"/>
      <c r="E391" s="129">
        <v>112.09</v>
      </c>
      <c r="F391" s="220" t="s">
        <v>70</v>
      </c>
      <c r="G391" s="131"/>
      <c r="H391" s="121"/>
      <c r="I391" s="132"/>
      <c r="J391" s="182"/>
      <c r="K391" s="134"/>
      <c r="L391" s="135"/>
    </row>
    <row r="392" spans="1:14" ht="10.15" customHeight="1" x14ac:dyDescent="0.2">
      <c r="A392" s="113" t="s">
        <v>19</v>
      </c>
      <c r="B392" s="113">
        <v>292</v>
      </c>
      <c r="C392" s="116" t="s">
        <v>72</v>
      </c>
      <c r="D392" s="117"/>
      <c r="E392" s="118">
        <v>120.7</v>
      </c>
      <c r="F392" s="136">
        <v>35612</v>
      </c>
      <c r="G392" s="120"/>
      <c r="H392" s="121"/>
      <c r="I392" s="122"/>
      <c r="J392" s="143"/>
      <c r="K392" s="124"/>
      <c r="L392" s="125"/>
    </row>
    <row r="393" spans="1:14" ht="10.15" customHeight="1" x14ac:dyDescent="0.2">
      <c r="A393" s="113" t="s">
        <v>22</v>
      </c>
      <c r="B393" s="113">
        <v>804</v>
      </c>
      <c r="C393" s="116" t="s">
        <v>105</v>
      </c>
      <c r="D393" s="117"/>
      <c r="E393" s="118">
        <v>80.849999999999994</v>
      </c>
      <c r="F393" s="136">
        <v>35674</v>
      </c>
      <c r="G393" s="120"/>
      <c r="H393" s="121"/>
      <c r="I393" s="122"/>
      <c r="J393" s="143"/>
      <c r="K393" s="124"/>
      <c r="L393" s="125"/>
    </row>
    <row r="394" spans="1:14" s="12" customFormat="1" ht="10.15" customHeight="1" x14ac:dyDescent="0.2">
      <c r="A394" s="113" t="s">
        <v>128</v>
      </c>
      <c r="B394" s="113">
        <v>1008</v>
      </c>
      <c r="C394" s="116" t="s">
        <v>129</v>
      </c>
      <c r="D394" s="117"/>
      <c r="E394" s="118">
        <v>124.88</v>
      </c>
      <c r="F394" s="136">
        <v>36039</v>
      </c>
      <c r="G394" s="120">
        <v>3414.43</v>
      </c>
      <c r="H394" s="140">
        <v>7289</v>
      </c>
      <c r="I394" s="122">
        <f>ROUND(H394/G394,5)</f>
        <v>2.13476</v>
      </c>
      <c r="J394" s="143">
        <f>ROUND(E394*I394,2)</f>
        <v>266.58999999999997</v>
      </c>
      <c r="K394" s="124">
        <v>46348</v>
      </c>
      <c r="L394" s="125">
        <f t="shared" ref="L394:L403" si="55">ROUND(J394*K394,0)</f>
        <v>12355913</v>
      </c>
    </row>
    <row r="395" spans="1:14" ht="10.15" customHeight="1" x14ac:dyDescent="0.2">
      <c r="A395" s="113" t="s">
        <v>23</v>
      </c>
      <c r="B395" s="113" t="s">
        <v>456</v>
      </c>
      <c r="C395" s="137" t="s">
        <v>457</v>
      </c>
      <c r="D395" s="117"/>
      <c r="E395" s="118">
        <f>2828652/41971</f>
        <v>67.395392056419908</v>
      </c>
      <c r="F395" s="136">
        <v>37088</v>
      </c>
      <c r="G395" s="120">
        <v>3624</v>
      </c>
      <c r="H395" s="140">
        <v>7289</v>
      </c>
      <c r="I395" s="122">
        <f>ROUND(H395/G395,5)</f>
        <v>2.0113099999999999</v>
      </c>
      <c r="J395" s="143">
        <f>ROUND(E395*I395,2)</f>
        <v>135.55000000000001</v>
      </c>
      <c r="K395" s="124">
        <v>41971</v>
      </c>
      <c r="L395" s="125">
        <f t="shared" si="55"/>
        <v>5689169</v>
      </c>
      <c r="M395" s="12"/>
      <c r="N395" s="12"/>
    </row>
    <row r="396" spans="1:14" ht="10.15" customHeight="1" x14ac:dyDescent="0.2">
      <c r="A396" s="113" t="s">
        <v>22</v>
      </c>
      <c r="B396" s="113">
        <v>822</v>
      </c>
      <c r="C396" s="141" t="s">
        <v>504</v>
      </c>
      <c r="D396" s="117"/>
      <c r="E396" s="118">
        <f>4100700/9305</f>
        <v>440.69854916711444</v>
      </c>
      <c r="F396" s="136">
        <v>38217</v>
      </c>
      <c r="G396" s="120">
        <v>4027</v>
      </c>
      <c r="H396" s="140">
        <v>7289</v>
      </c>
      <c r="I396" s="122">
        <f>ROUND(H396/G396,5)</f>
        <v>1.81003</v>
      </c>
      <c r="J396" s="143">
        <f>ROUND(E396*I396,2)</f>
        <v>797.68</v>
      </c>
      <c r="K396" s="124">
        <v>9305</v>
      </c>
      <c r="L396" s="125">
        <f t="shared" si="55"/>
        <v>7422412</v>
      </c>
    </row>
    <row r="397" spans="1:14" ht="10.15" customHeight="1" x14ac:dyDescent="0.2">
      <c r="A397" s="113" t="s">
        <v>19</v>
      </c>
      <c r="B397" s="113">
        <v>288</v>
      </c>
      <c r="C397" s="137" t="s">
        <v>542</v>
      </c>
      <c r="D397" s="117"/>
      <c r="E397" s="118">
        <f>6606630/18195</f>
        <v>363.10140148392418</v>
      </c>
      <c r="F397" s="136">
        <v>38718</v>
      </c>
      <c r="G397" s="120">
        <v>4335</v>
      </c>
      <c r="H397" s="140">
        <v>7289</v>
      </c>
      <c r="I397" s="122">
        <f>ROUND(H397/G397,5)</f>
        <v>1.68143</v>
      </c>
      <c r="J397" s="143">
        <f>ROUND(E397*I397,2)</f>
        <v>610.53</v>
      </c>
      <c r="K397" s="124">
        <v>18195</v>
      </c>
      <c r="L397" s="125">
        <f t="shared" si="55"/>
        <v>11108593</v>
      </c>
    </row>
    <row r="398" spans="1:14" s="12" customFormat="1" ht="10.15" customHeight="1" x14ac:dyDescent="0.2">
      <c r="A398" s="113" t="s">
        <v>23</v>
      </c>
      <c r="B398" s="113">
        <v>669</v>
      </c>
      <c r="C398" s="141" t="s">
        <v>544</v>
      </c>
      <c r="D398" s="117"/>
      <c r="E398" s="118">
        <f>5846056/30630</f>
        <v>190.86046359777995</v>
      </c>
      <c r="F398" s="136">
        <v>38991</v>
      </c>
      <c r="G398" s="120">
        <v>4431</v>
      </c>
      <c r="H398" s="140">
        <v>7289</v>
      </c>
      <c r="I398" s="122">
        <f t="shared" ref="I398:I403" si="56">ROUND(H398/G398,5)</f>
        <v>1.645</v>
      </c>
      <c r="J398" s="143">
        <f t="shared" ref="J398:J403" si="57">ROUND(E398*I398,2)</f>
        <v>313.97000000000003</v>
      </c>
      <c r="K398" s="124">
        <v>30630</v>
      </c>
      <c r="L398" s="125">
        <f t="shared" si="55"/>
        <v>9616901</v>
      </c>
      <c r="M398"/>
      <c r="N398"/>
    </row>
    <row r="399" spans="1:14" s="12" customFormat="1" ht="10.15" customHeight="1" x14ac:dyDescent="0.2">
      <c r="A399" s="146" t="s">
        <v>20</v>
      </c>
      <c r="B399" s="147">
        <v>530</v>
      </c>
      <c r="C399" s="137" t="s">
        <v>573</v>
      </c>
      <c r="D399" s="117"/>
      <c r="E399" s="118">
        <f>1149466/7000</f>
        <v>164.20942857142856</v>
      </c>
      <c r="F399" s="148">
        <v>39630</v>
      </c>
      <c r="G399" s="120">
        <v>4723</v>
      </c>
      <c r="H399" s="140">
        <v>7289</v>
      </c>
      <c r="I399" s="122">
        <f t="shared" si="56"/>
        <v>1.5432999999999999</v>
      </c>
      <c r="J399" s="143">
        <f t="shared" si="57"/>
        <v>253.42</v>
      </c>
      <c r="K399" s="144">
        <v>7000</v>
      </c>
      <c r="L399" s="125">
        <f t="shared" si="55"/>
        <v>1773940</v>
      </c>
    </row>
    <row r="400" spans="1:14" s="22" customFormat="1" ht="10.15" customHeight="1" x14ac:dyDescent="0.2">
      <c r="A400" s="113" t="s">
        <v>23</v>
      </c>
      <c r="B400" s="113">
        <v>668</v>
      </c>
      <c r="C400" s="141" t="s">
        <v>481</v>
      </c>
      <c r="D400" s="117"/>
      <c r="E400" s="118">
        <f>8173658/39026</f>
        <v>209.44134679444474</v>
      </c>
      <c r="F400" s="192">
        <v>39448</v>
      </c>
      <c r="G400" s="120">
        <v>4557</v>
      </c>
      <c r="H400" s="140">
        <v>7289</v>
      </c>
      <c r="I400" s="213">
        <f t="shared" si="56"/>
        <v>1.5995200000000001</v>
      </c>
      <c r="J400" s="118">
        <f t="shared" si="57"/>
        <v>335.01</v>
      </c>
      <c r="K400" s="124">
        <v>39026</v>
      </c>
      <c r="L400" s="124">
        <f t="shared" si="55"/>
        <v>13074100</v>
      </c>
      <c r="M400" s="12"/>
      <c r="N400" s="12"/>
    </row>
    <row r="401" spans="1:14" s="22" customFormat="1" ht="10.15" customHeight="1" x14ac:dyDescent="0.2">
      <c r="A401" s="113" t="s">
        <v>20</v>
      </c>
      <c r="B401" s="113"/>
      <c r="C401" s="141" t="s">
        <v>628</v>
      </c>
      <c r="D401" s="117"/>
      <c r="E401" s="118">
        <f>3509721/16726</f>
        <v>209.83624297500896</v>
      </c>
      <c r="F401" s="192">
        <v>40299</v>
      </c>
      <c r="G401" s="120">
        <v>5113</v>
      </c>
      <c r="H401" s="140">
        <v>7289</v>
      </c>
      <c r="I401" s="213">
        <f t="shared" si="56"/>
        <v>1.4255800000000001</v>
      </c>
      <c r="J401" s="118">
        <f t="shared" si="57"/>
        <v>299.14</v>
      </c>
      <c r="K401" s="124">
        <v>16726</v>
      </c>
      <c r="L401" s="124">
        <f t="shared" si="55"/>
        <v>5003416</v>
      </c>
    </row>
    <row r="402" spans="1:14" s="22" customFormat="1" ht="10.15" customHeight="1" x14ac:dyDescent="0.2">
      <c r="A402" s="113" t="s">
        <v>631</v>
      </c>
      <c r="B402" s="113"/>
      <c r="C402" s="141" t="s">
        <v>630</v>
      </c>
      <c r="D402" s="117"/>
      <c r="E402" s="118">
        <f>18446348/80901</f>
        <v>228.01137192370922</v>
      </c>
      <c r="F402" s="142">
        <v>40878</v>
      </c>
      <c r="G402" s="120">
        <v>5115</v>
      </c>
      <c r="H402" s="140">
        <v>7289</v>
      </c>
      <c r="I402" s="122">
        <f t="shared" si="56"/>
        <v>1.42502</v>
      </c>
      <c r="J402" s="143">
        <f t="shared" si="57"/>
        <v>324.92</v>
      </c>
      <c r="K402" s="144">
        <v>80901</v>
      </c>
      <c r="L402" s="125">
        <f t="shared" si="55"/>
        <v>26286353</v>
      </c>
    </row>
    <row r="403" spans="1:14" ht="10.15" customHeight="1" x14ac:dyDescent="0.2">
      <c r="A403" s="113" t="s">
        <v>19</v>
      </c>
      <c r="B403" s="150"/>
      <c r="C403" s="141" t="s">
        <v>637</v>
      </c>
      <c r="D403" s="117"/>
      <c r="E403" s="118">
        <f>48774476/170632</f>
        <v>285.8460077828309</v>
      </c>
      <c r="F403" s="142">
        <v>40299</v>
      </c>
      <c r="G403" s="120">
        <v>4858</v>
      </c>
      <c r="H403" s="140">
        <v>7289</v>
      </c>
      <c r="I403" s="122">
        <f t="shared" si="56"/>
        <v>1.50041</v>
      </c>
      <c r="J403" s="143">
        <f t="shared" si="57"/>
        <v>428.89</v>
      </c>
      <c r="K403" s="144">
        <v>170632</v>
      </c>
      <c r="L403" s="125">
        <f t="shared" si="55"/>
        <v>73182358</v>
      </c>
      <c r="M403" s="25"/>
      <c r="N403" s="22"/>
    </row>
    <row r="404" spans="1:14" ht="10.15" customHeight="1" x14ac:dyDescent="0.2">
      <c r="A404" s="117"/>
      <c r="B404" s="117"/>
      <c r="C404" s="113" t="s">
        <v>33</v>
      </c>
      <c r="D404" s="149"/>
      <c r="E404" s="152"/>
      <c r="F404" s="149"/>
      <c r="G404" s="152"/>
      <c r="H404" s="152"/>
      <c r="I404" s="149"/>
      <c r="J404" s="152"/>
      <c r="K404" s="155">
        <f>SUM(K388:K403)</f>
        <v>460734</v>
      </c>
      <c r="L404" s="155">
        <f>SUM(L388:L403)</f>
        <v>165513155</v>
      </c>
    </row>
    <row r="405" spans="1:14" ht="10.15" customHeight="1" x14ac:dyDescent="0.2">
      <c r="A405" s="73"/>
      <c r="B405" s="73"/>
      <c r="C405" s="73"/>
      <c r="D405" s="73"/>
      <c r="E405" s="52"/>
      <c r="F405" s="73"/>
      <c r="G405" s="52"/>
      <c r="H405" s="51"/>
      <c r="I405" s="73"/>
      <c r="J405" s="52"/>
      <c r="K405" s="221"/>
      <c r="L405" s="221"/>
    </row>
    <row r="406" spans="1:14" ht="10.15" customHeight="1" x14ac:dyDescent="0.2">
      <c r="A406" s="73"/>
      <c r="B406" s="73"/>
      <c r="C406" s="222" t="s">
        <v>106</v>
      </c>
      <c r="D406" s="223"/>
      <c r="E406" s="57"/>
      <c r="F406" s="223"/>
      <c r="G406" s="57"/>
      <c r="H406" s="56"/>
      <c r="I406" s="223"/>
      <c r="J406" s="224">
        <f>ROUND(L404/K404,2)</f>
        <v>359.24</v>
      </c>
      <c r="K406" s="221"/>
      <c r="L406" s="221"/>
    </row>
    <row r="407" spans="1:14" ht="10.15" customHeight="1" x14ac:dyDescent="0.2">
      <c r="A407" s="36"/>
      <c r="B407" s="36"/>
      <c r="C407" s="36"/>
      <c r="D407" s="36"/>
      <c r="E407" s="36"/>
      <c r="F407" s="36"/>
      <c r="G407" s="36"/>
      <c r="H407" s="145"/>
      <c r="I407" s="36"/>
      <c r="J407" s="36"/>
      <c r="K407" s="36"/>
      <c r="L407" s="36"/>
    </row>
    <row r="408" spans="1:14" ht="10.15" customHeight="1" x14ac:dyDescent="0.2">
      <c r="A408" s="36"/>
      <c r="B408" s="36"/>
      <c r="C408" s="36"/>
      <c r="D408" s="36"/>
      <c r="E408" s="36"/>
      <c r="F408" s="36"/>
      <c r="G408" s="36"/>
      <c r="H408" s="145"/>
      <c r="I408" s="36"/>
      <c r="J408" s="36"/>
      <c r="K408" s="36"/>
      <c r="L408" s="36"/>
    </row>
    <row r="409" spans="1:14" ht="10.15" customHeight="1" x14ac:dyDescent="0.2">
      <c r="A409" s="36"/>
      <c r="B409" s="36"/>
      <c r="C409" s="36"/>
      <c r="D409" s="36"/>
      <c r="E409" s="36"/>
      <c r="F409" s="36"/>
      <c r="G409" s="36"/>
      <c r="H409" s="145"/>
      <c r="I409" s="36"/>
      <c r="J409" s="36"/>
      <c r="K409" s="36"/>
      <c r="L409" s="36"/>
    </row>
    <row r="410" spans="1:14" ht="10.15" customHeight="1" x14ac:dyDescent="0.2">
      <c r="A410" s="36"/>
      <c r="B410" s="36"/>
      <c r="C410" s="36"/>
      <c r="D410" s="36"/>
      <c r="E410" s="36"/>
      <c r="F410" s="36"/>
      <c r="G410" s="36"/>
      <c r="H410" s="145"/>
      <c r="I410" s="36"/>
      <c r="J410" s="36"/>
      <c r="K410" s="36"/>
      <c r="L410" s="36"/>
    </row>
    <row r="411" spans="1:14" ht="10.15" customHeight="1" x14ac:dyDescent="0.2">
      <c r="A411" s="36"/>
      <c r="B411" s="36"/>
      <c r="C411" s="36"/>
      <c r="D411" s="36"/>
      <c r="E411" s="36"/>
      <c r="F411" s="36"/>
      <c r="G411" s="36"/>
      <c r="H411" s="145"/>
      <c r="I411" s="36"/>
      <c r="J411" s="36"/>
      <c r="K411" s="36"/>
      <c r="L411" s="36"/>
    </row>
    <row r="412" spans="1:14" ht="10.15" customHeight="1" x14ac:dyDescent="0.2">
      <c r="A412" s="36"/>
      <c r="B412" s="36"/>
      <c r="C412" s="36"/>
      <c r="D412" s="36"/>
      <c r="E412" s="36"/>
      <c r="F412" s="36"/>
      <c r="G412" s="36"/>
      <c r="H412" s="145"/>
      <c r="I412" s="36"/>
      <c r="J412" s="36"/>
      <c r="K412" s="36"/>
      <c r="L412" s="36"/>
    </row>
    <row r="413" spans="1:14" ht="10.15" customHeight="1" x14ac:dyDescent="0.2">
      <c r="A413" s="36"/>
      <c r="B413" s="36"/>
      <c r="C413" s="36"/>
      <c r="D413" s="36"/>
      <c r="E413" s="36"/>
      <c r="F413" s="36"/>
      <c r="G413" s="36"/>
      <c r="H413" s="145"/>
      <c r="I413" s="36"/>
      <c r="J413" s="36"/>
      <c r="K413" s="36"/>
      <c r="L413" s="36"/>
    </row>
    <row r="414" spans="1:14" ht="12.75" customHeight="1" x14ac:dyDescent="0.2">
      <c r="A414" s="36"/>
      <c r="B414" s="36"/>
      <c r="C414" s="36"/>
      <c r="D414" s="36"/>
      <c r="E414" s="36"/>
      <c r="F414" s="36"/>
      <c r="G414" s="36"/>
      <c r="H414" s="145"/>
      <c r="I414" s="36"/>
      <c r="J414" s="36"/>
      <c r="K414" s="225"/>
      <c r="L414" s="36"/>
    </row>
    <row r="415" spans="1:14" ht="10.15" customHeight="1" x14ac:dyDescent="0.2">
      <c r="A415" s="36"/>
      <c r="B415" s="36"/>
      <c r="C415" s="36"/>
      <c r="D415" s="36"/>
      <c r="E415" s="36"/>
      <c r="F415" s="36"/>
      <c r="G415" s="36"/>
      <c r="H415" s="145"/>
      <c r="I415" s="36"/>
      <c r="J415" s="36"/>
      <c r="K415" s="36"/>
      <c r="L415" s="36"/>
    </row>
    <row r="416" spans="1:14" ht="10.15" customHeight="1" x14ac:dyDescent="0.2">
      <c r="A416" s="36"/>
      <c r="B416" s="36"/>
      <c r="C416" s="36"/>
      <c r="D416" s="36"/>
      <c r="E416" s="36"/>
      <c r="F416" s="36"/>
      <c r="G416" s="36"/>
      <c r="H416" s="145"/>
      <c r="I416" s="36"/>
      <c r="J416" s="36"/>
      <c r="K416" s="36"/>
      <c r="L416" s="36"/>
    </row>
    <row r="417" spans="1:12" ht="10.15" customHeight="1" x14ac:dyDescent="0.2">
      <c r="A417" s="36"/>
      <c r="B417" s="36"/>
      <c r="C417" s="36"/>
      <c r="D417" s="36"/>
      <c r="E417" s="36"/>
      <c r="F417" s="36"/>
      <c r="G417" s="36"/>
      <c r="H417" s="145"/>
      <c r="I417" s="36"/>
      <c r="J417" s="36"/>
      <c r="K417" s="36"/>
      <c r="L417" s="36"/>
    </row>
    <row r="418" spans="1:12" ht="10.15" customHeight="1" x14ac:dyDescent="0.2">
      <c r="A418" s="36"/>
      <c r="B418" s="36"/>
      <c r="C418" s="36"/>
      <c r="D418" s="36"/>
      <c r="E418" s="36"/>
      <c r="F418" s="36"/>
      <c r="G418" s="36"/>
      <c r="H418" s="145"/>
      <c r="I418" s="36"/>
      <c r="J418" s="36"/>
      <c r="K418" s="36"/>
      <c r="L418" s="36"/>
    </row>
    <row r="419" spans="1:12" ht="10.15" customHeight="1" x14ac:dyDescent="0.2">
      <c r="A419" s="36"/>
      <c r="B419" s="36"/>
      <c r="C419" s="36"/>
      <c r="D419" s="36"/>
      <c r="E419" s="36"/>
      <c r="F419" s="36"/>
      <c r="G419" s="36"/>
      <c r="H419" s="145"/>
      <c r="I419" s="36"/>
      <c r="J419" s="36"/>
      <c r="K419" s="36"/>
      <c r="L419" s="36"/>
    </row>
    <row r="420" spans="1:12" ht="10.15" customHeight="1" x14ac:dyDescent="0.2">
      <c r="A420" s="36"/>
      <c r="B420" s="36"/>
      <c r="C420" s="36"/>
      <c r="D420" s="36"/>
      <c r="E420" s="36"/>
      <c r="F420" s="36"/>
      <c r="G420" s="36"/>
      <c r="H420" s="145"/>
      <c r="I420" s="36"/>
      <c r="J420" s="36"/>
      <c r="K420" s="36"/>
      <c r="L420" s="36"/>
    </row>
    <row r="421" spans="1:12" ht="10.15" customHeight="1" x14ac:dyDescent="0.2">
      <c r="A421" s="36"/>
      <c r="B421" s="36"/>
      <c r="C421" s="36"/>
      <c r="D421" s="36"/>
      <c r="E421" s="36"/>
      <c r="F421" s="36"/>
      <c r="G421" s="36"/>
      <c r="H421" s="145"/>
      <c r="I421" s="36"/>
      <c r="J421" s="36"/>
      <c r="K421" s="36"/>
      <c r="L421" s="36"/>
    </row>
    <row r="422" spans="1:12" ht="10.15" customHeight="1" x14ac:dyDescent="0.2">
      <c r="A422" s="36"/>
      <c r="B422" s="36"/>
      <c r="C422" s="36"/>
      <c r="D422" s="36"/>
      <c r="E422" s="36"/>
      <c r="F422" s="36"/>
      <c r="G422" s="36"/>
      <c r="H422" s="145"/>
      <c r="I422" s="36"/>
      <c r="J422" s="36"/>
      <c r="K422" s="36"/>
      <c r="L422" s="36"/>
    </row>
    <row r="423" spans="1:12" ht="10.15" customHeight="1" x14ac:dyDescent="0.2">
      <c r="A423" s="36"/>
      <c r="B423" s="36"/>
      <c r="C423" s="36"/>
      <c r="D423" s="36"/>
      <c r="E423" s="36"/>
      <c r="F423" s="36"/>
      <c r="G423" s="36"/>
      <c r="H423" s="145"/>
      <c r="I423" s="36"/>
      <c r="J423" s="36"/>
      <c r="K423" s="36"/>
      <c r="L423" s="36"/>
    </row>
    <row r="424" spans="1:12" ht="10.15" customHeight="1" x14ac:dyDescent="0.2">
      <c r="A424" s="36"/>
      <c r="B424" s="36"/>
      <c r="C424" s="36"/>
      <c r="D424" s="36"/>
      <c r="E424" s="36"/>
      <c r="F424" s="36"/>
      <c r="G424" s="36"/>
      <c r="H424" s="145"/>
      <c r="I424" s="36"/>
      <c r="J424" s="36"/>
      <c r="K424" s="36"/>
      <c r="L424" s="36"/>
    </row>
    <row r="425" spans="1:12" ht="10.15" customHeight="1" x14ac:dyDescent="0.2">
      <c r="A425" s="36"/>
      <c r="B425" s="36"/>
      <c r="C425" s="36"/>
      <c r="D425" s="36"/>
      <c r="E425" s="36"/>
      <c r="F425" s="36"/>
      <c r="G425" s="36"/>
      <c r="H425" s="145"/>
      <c r="I425" s="36"/>
      <c r="J425" s="36"/>
      <c r="K425" s="36"/>
      <c r="L425" s="36"/>
    </row>
    <row r="426" spans="1:12" ht="10.15" customHeight="1" x14ac:dyDescent="0.2">
      <c r="A426" s="36"/>
      <c r="B426" s="36"/>
      <c r="C426" s="36"/>
      <c r="D426" s="36"/>
      <c r="E426" s="36"/>
      <c r="F426" s="36"/>
      <c r="G426" s="36"/>
      <c r="H426" s="145"/>
      <c r="I426" s="36"/>
      <c r="J426" s="36"/>
      <c r="K426" s="36"/>
      <c r="L426" s="36"/>
    </row>
    <row r="427" spans="1:12" ht="10.15" customHeight="1" x14ac:dyDescent="0.2">
      <c r="A427" s="36"/>
      <c r="B427" s="36"/>
      <c r="C427" s="36"/>
      <c r="D427" s="36"/>
      <c r="E427" s="36"/>
      <c r="F427" s="36"/>
      <c r="G427" s="36"/>
      <c r="H427" s="145"/>
      <c r="I427" s="36"/>
      <c r="J427" s="36"/>
      <c r="K427" s="36"/>
      <c r="L427" s="36"/>
    </row>
    <row r="428" spans="1:12" ht="10.15" customHeight="1" x14ac:dyDescent="0.2">
      <c r="A428" s="36"/>
      <c r="B428" s="36"/>
      <c r="C428" s="36"/>
      <c r="D428" s="36"/>
      <c r="E428" s="36"/>
      <c r="F428" s="36"/>
      <c r="G428" s="36"/>
      <c r="H428" s="145"/>
      <c r="I428" s="36"/>
      <c r="J428" s="36"/>
      <c r="K428" s="36"/>
      <c r="L428" s="36"/>
    </row>
    <row r="429" spans="1:12" ht="10.15" customHeight="1" x14ac:dyDescent="0.2">
      <c r="A429" s="36"/>
      <c r="B429" s="36"/>
      <c r="C429" s="36"/>
      <c r="D429" s="36"/>
      <c r="E429" s="36"/>
      <c r="F429" s="36"/>
      <c r="G429" s="36"/>
      <c r="H429" s="145"/>
      <c r="I429" s="36"/>
      <c r="J429" s="36"/>
      <c r="K429" s="36"/>
      <c r="L429" s="36"/>
    </row>
    <row r="430" spans="1:12" ht="10.15" customHeight="1" x14ac:dyDescent="0.2">
      <c r="A430" s="36"/>
      <c r="B430" s="36"/>
      <c r="C430" s="36"/>
      <c r="D430" s="36"/>
      <c r="E430" s="36"/>
      <c r="F430" s="36"/>
      <c r="G430" s="36"/>
      <c r="H430" s="145"/>
      <c r="I430" s="36"/>
      <c r="J430" s="36"/>
      <c r="K430" s="36"/>
      <c r="L430" s="36"/>
    </row>
    <row r="431" spans="1:12" ht="10.15" customHeight="1" x14ac:dyDescent="0.2">
      <c r="A431" s="36"/>
      <c r="B431" s="36"/>
      <c r="C431" s="36"/>
      <c r="D431" s="36"/>
      <c r="E431" s="36"/>
      <c r="F431" s="36"/>
      <c r="G431" s="36"/>
      <c r="H431" s="145"/>
      <c r="I431" s="36"/>
      <c r="J431" s="36"/>
      <c r="K431" s="36"/>
      <c r="L431" s="36"/>
    </row>
    <row r="432" spans="1:12" ht="10.15" customHeight="1" x14ac:dyDescent="0.2">
      <c r="A432" s="36"/>
      <c r="B432" s="36"/>
      <c r="C432" s="36"/>
      <c r="D432" s="36"/>
      <c r="E432" s="36"/>
      <c r="F432" s="36"/>
      <c r="G432" s="36"/>
      <c r="H432" s="145"/>
      <c r="I432" s="36"/>
      <c r="J432" s="36"/>
      <c r="K432" s="36"/>
      <c r="L432" s="36"/>
    </row>
    <row r="433" spans="1:12" ht="10.15" customHeight="1" x14ac:dyDescent="0.2">
      <c r="A433" s="36"/>
      <c r="B433" s="36"/>
      <c r="C433" s="36"/>
      <c r="D433" s="36"/>
      <c r="E433" s="36"/>
      <c r="F433" s="36"/>
      <c r="G433" s="36"/>
      <c r="H433" s="145"/>
      <c r="I433" s="36"/>
      <c r="J433" s="36"/>
      <c r="K433" s="36"/>
      <c r="L433" s="36"/>
    </row>
    <row r="434" spans="1:12" ht="10.15" customHeight="1" x14ac:dyDescent="0.2">
      <c r="A434" s="36"/>
      <c r="B434" s="36"/>
      <c r="C434" s="36"/>
      <c r="D434" s="36"/>
      <c r="E434" s="36"/>
      <c r="F434" s="36"/>
      <c r="G434" s="36"/>
      <c r="H434" s="145"/>
      <c r="I434" s="36"/>
      <c r="J434" s="36"/>
      <c r="K434" s="36"/>
      <c r="L434" s="36"/>
    </row>
    <row r="435" spans="1:12" ht="10.15" customHeight="1" x14ac:dyDescent="0.2">
      <c r="A435" s="36"/>
      <c r="B435" s="36"/>
      <c r="C435" s="36"/>
      <c r="D435" s="36"/>
      <c r="E435" s="36"/>
      <c r="F435" s="36"/>
      <c r="G435" s="36"/>
      <c r="H435" s="145"/>
      <c r="I435" s="36"/>
      <c r="J435" s="36"/>
      <c r="K435" s="36"/>
      <c r="L435" s="36"/>
    </row>
    <row r="436" spans="1:12" ht="10.15" customHeight="1" x14ac:dyDescent="0.2">
      <c r="A436" s="36"/>
      <c r="B436" s="36"/>
      <c r="C436" s="36"/>
      <c r="D436" s="36"/>
      <c r="E436" s="36"/>
      <c r="F436" s="36"/>
      <c r="G436" s="36"/>
      <c r="H436" s="145"/>
      <c r="I436" s="36"/>
      <c r="J436" s="36"/>
      <c r="K436" s="36"/>
      <c r="L436" s="36"/>
    </row>
    <row r="437" spans="1:12" ht="10.15" customHeight="1" x14ac:dyDescent="0.2">
      <c r="A437" s="36"/>
      <c r="B437" s="36"/>
      <c r="C437" s="36"/>
      <c r="D437" s="36"/>
      <c r="E437" s="36"/>
      <c r="F437" s="36"/>
      <c r="G437" s="36"/>
      <c r="H437" s="145"/>
      <c r="I437" s="36"/>
      <c r="J437" s="36"/>
      <c r="K437" s="36"/>
      <c r="L437" s="36"/>
    </row>
    <row r="438" spans="1:12" ht="10.15" customHeight="1" x14ac:dyDescent="0.2">
      <c r="A438" s="36"/>
      <c r="B438" s="36"/>
      <c r="C438" s="36"/>
      <c r="D438" s="36"/>
      <c r="E438" s="36"/>
      <c r="F438" s="36"/>
      <c r="G438" s="36"/>
      <c r="H438" s="145"/>
      <c r="I438" s="36"/>
      <c r="J438" s="36"/>
      <c r="K438" s="36"/>
      <c r="L438" s="36"/>
    </row>
    <row r="439" spans="1:12" ht="10.15" customHeight="1" x14ac:dyDescent="0.2">
      <c r="A439" s="36"/>
      <c r="B439" s="36"/>
      <c r="C439" s="36"/>
      <c r="D439" s="36"/>
      <c r="E439" s="36"/>
      <c r="F439" s="36"/>
      <c r="G439" s="36"/>
      <c r="H439" s="145"/>
      <c r="I439" s="36"/>
      <c r="J439" s="36"/>
      <c r="K439" s="36"/>
      <c r="L439" s="36"/>
    </row>
    <row r="440" spans="1:12" ht="10.15" customHeight="1" x14ac:dyDescent="0.2">
      <c r="A440" s="36"/>
      <c r="B440" s="36"/>
      <c r="C440" s="36"/>
      <c r="D440" s="36"/>
      <c r="E440" s="36"/>
      <c r="F440" s="36"/>
      <c r="G440" s="36"/>
      <c r="H440" s="145"/>
      <c r="I440" s="36"/>
      <c r="J440" s="36"/>
      <c r="K440" s="36"/>
      <c r="L440" s="36"/>
    </row>
    <row r="441" spans="1:12" ht="10.15" customHeight="1" x14ac:dyDescent="0.2">
      <c r="A441" s="36"/>
      <c r="B441" s="36"/>
      <c r="C441" s="36"/>
      <c r="D441" s="36"/>
      <c r="E441" s="36"/>
      <c r="F441" s="36"/>
      <c r="G441" s="36"/>
      <c r="H441" s="145"/>
      <c r="I441" s="36"/>
      <c r="J441" s="36"/>
      <c r="K441" s="36"/>
      <c r="L441" s="36"/>
    </row>
    <row r="442" spans="1:12" ht="10.15" customHeight="1" x14ac:dyDescent="0.2">
      <c r="A442" s="36"/>
      <c r="B442" s="36"/>
      <c r="C442" s="36"/>
      <c r="D442" s="36"/>
      <c r="E442" s="36"/>
      <c r="F442" s="36"/>
      <c r="G442" s="36"/>
      <c r="H442" s="145"/>
      <c r="I442" s="36"/>
      <c r="J442" s="36"/>
      <c r="K442" s="36"/>
      <c r="L442" s="36"/>
    </row>
    <row r="443" spans="1:12" ht="10.15" customHeight="1" x14ac:dyDescent="0.2">
      <c r="A443" s="36"/>
      <c r="B443" s="36"/>
      <c r="C443" s="36"/>
      <c r="D443" s="36"/>
      <c r="E443" s="36"/>
      <c r="F443" s="36"/>
      <c r="G443" s="36"/>
      <c r="H443" s="145"/>
      <c r="I443" s="36"/>
      <c r="J443" s="36"/>
      <c r="K443" s="36"/>
      <c r="L443" s="36"/>
    </row>
    <row r="444" spans="1:12" ht="10.15" customHeight="1" x14ac:dyDescent="0.2">
      <c r="A444" s="36"/>
      <c r="B444" s="36"/>
      <c r="C444" s="36"/>
      <c r="D444" s="36"/>
      <c r="E444" s="36"/>
      <c r="F444" s="36"/>
      <c r="G444" s="36"/>
      <c r="H444" s="145"/>
      <c r="I444" s="36"/>
      <c r="J444" s="36"/>
      <c r="K444" s="36"/>
      <c r="L444" s="36"/>
    </row>
    <row r="445" spans="1:12" ht="10.15" customHeight="1" x14ac:dyDescent="0.2">
      <c r="A445" s="36"/>
      <c r="B445" s="36"/>
      <c r="C445" s="36"/>
      <c r="D445" s="36"/>
      <c r="E445" s="36"/>
      <c r="F445" s="36"/>
      <c r="G445" s="36"/>
      <c r="H445" s="145"/>
      <c r="I445" s="36"/>
      <c r="J445" s="36"/>
      <c r="K445" s="36"/>
      <c r="L445" s="36"/>
    </row>
    <row r="446" spans="1:12" ht="10.15" customHeight="1" x14ac:dyDescent="0.2">
      <c r="A446" s="36"/>
      <c r="B446" s="36"/>
      <c r="C446" s="36"/>
      <c r="D446" s="36"/>
      <c r="E446" s="36"/>
      <c r="F446" s="36"/>
      <c r="G446" s="36"/>
      <c r="H446" s="145"/>
      <c r="I446" s="36"/>
      <c r="J446" s="36"/>
      <c r="K446" s="36"/>
      <c r="L446" s="36"/>
    </row>
    <row r="447" spans="1:12" ht="10.15" customHeight="1" x14ac:dyDescent="0.2">
      <c r="A447" s="36"/>
      <c r="B447" s="36"/>
      <c r="C447" s="36"/>
      <c r="D447" s="36"/>
      <c r="E447" s="36"/>
      <c r="F447" s="36"/>
      <c r="G447" s="36"/>
      <c r="H447" s="145"/>
      <c r="I447" s="36"/>
      <c r="J447" s="36"/>
      <c r="K447" s="36"/>
      <c r="L447" s="36"/>
    </row>
    <row r="448" spans="1:12" ht="10.15" customHeight="1" x14ac:dyDescent="0.2">
      <c r="A448" s="36"/>
      <c r="B448" s="36"/>
      <c r="C448" s="36"/>
      <c r="D448" s="36"/>
      <c r="E448" s="36"/>
      <c r="F448" s="36"/>
      <c r="G448" s="36"/>
      <c r="H448" s="145"/>
      <c r="I448" s="36"/>
      <c r="J448" s="36"/>
      <c r="K448" s="36"/>
      <c r="L448" s="36"/>
    </row>
    <row r="449" spans="1:12" ht="10.15" customHeight="1" x14ac:dyDescent="0.2">
      <c r="A449" s="36"/>
      <c r="B449" s="36"/>
      <c r="C449" s="36"/>
      <c r="D449" s="36"/>
      <c r="E449" s="36"/>
      <c r="F449" s="36"/>
      <c r="G449" s="36"/>
      <c r="H449" s="145"/>
      <c r="I449" s="36"/>
      <c r="J449" s="36"/>
      <c r="K449" s="36"/>
      <c r="L449" s="36"/>
    </row>
    <row r="450" spans="1:12" ht="10.15" customHeight="1" x14ac:dyDescent="0.2">
      <c r="A450" s="36"/>
      <c r="B450" s="36"/>
      <c r="C450" s="36"/>
      <c r="D450" s="36"/>
      <c r="E450" s="36"/>
      <c r="F450" s="36"/>
      <c r="G450" s="36"/>
      <c r="H450" s="145"/>
      <c r="I450" s="36"/>
      <c r="J450" s="36"/>
      <c r="K450" s="36"/>
      <c r="L450" s="36"/>
    </row>
    <row r="451" spans="1:12" ht="10.15" customHeight="1" x14ac:dyDescent="0.2">
      <c r="A451" s="36"/>
      <c r="B451" s="36"/>
      <c r="C451" s="36"/>
      <c r="D451" s="36"/>
      <c r="E451" s="36"/>
      <c r="F451" s="36"/>
      <c r="G451" s="36"/>
      <c r="H451" s="145"/>
      <c r="I451" s="36"/>
      <c r="J451" s="36"/>
      <c r="K451" s="36"/>
      <c r="L451" s="36"/>
    </row>
    <row r="452" spans="1:12" ht="10.15" customHeight="1" x14ac:dyDescent="0.2">
      <c r="A452" s="36"/>
      <c r="B452" s="36"/>
      <c r="C452" s="36"/>
      <c r="D452" s="36"/>
      <c r="E452" s="36"/>
      <c r="F452" s="36"/>
      <c r="G452" s="36"/>
      <c r="H452" s="145"/>
      <c r="I452" s="36"/>
      <c r="J452" s="36"/>
      <c r="K452" s="36"/>
      <c r="L452" s="36"/>
    </row>
    <row r="453" spans="1:12" ht="10.15" customHeight="1" x14ac:dyDescent="0.2">
      <c r="A453" s="36"/>
      <c r="B453" s="36"/>
      <c r="C453" s="36"/>
      <c r="D453" s="36"/>
      <c r="E453" s="36"/>
      <c r="F453" s="36"/>
      <c r="G453" s="36"/>
      <c r="H453" s="145"/>
      <c r="I453" s="36"/>
      <c r="J453" s="36"/>
      <c r="K453" s="36"/>
      <c r="L453" s="36"/>
    </row>
    <row r="454" spans="1:12" ht="10.15" customHeight="1" x14ac:dyDescent="0.2">
      <c r="A454" s="36"/>
      <c r="B454" s="36"/>
      <c r="C454" s="36"/>
      <c r="D454" s="36"/>
      <c r="E454" s="36"/>
      <c r="F454" s="36"/>
      <c r="G454" s="36"/>
      <c r="H454" s="145"/>
      <c r="I454" s="36"/>
      <c r="J454" s="36"/>
      <c r="K454" s="36"/>
      <c r="L454" s="36"/>
    </row>
    <row r="455" spans="1:12" ht="10.15" customHeight="1" x14ac:dyDescent="0.2">
      <c r="A455" s="36"/>
      <c r="B455" s="36"/>
      <c r="C455" s="36"/>
      <c r="D455" s="36"/>
      <c r="E455" s="36"/>
      <c r="F455" s="36"/>
      <c r="G455" s="36"/>
      <c r="H455" s="145"/>
      <c r="I455" s="36"/>
      <c r="J455" s="36"/>
      <c r="K455" s="36"/>
      <c r="L455" s="36"/>
    </row>
    <row r="456" spans="1:12" ht="10.15" customHeight="1" x14ac:dyDescent="0.2">
      <c r="A456" s="36"/>
      <c r="B456" s="36"/>
      <c r="C456" s="36"/>
      <c r="D456" s="36"/>
      <c r="E456" s="36"/>
      <c r="F456" s="36"/>
      <c r="G456" s="36"/>
      <c r="H456" s="145"/>
      <c r="I456" s="36"/>
      <c r="J456" s="36"/>
      <c r="K456" s="36"/>
      <c r="L456" s="36"/>
    </row>
    <row r="457" spans="1:12" ht="10.15" customHeight="1" x14ac:dyDescent="0.2">
      <c r="A457" s="36"/>
      <c r="B457" s="36"/>
      <c r="C457" s="36"/>
      <c r="D457" s="36"/>
      <c r="E457" s="36"/>
      <c r="F457" s="36"/>
      <c r="G457" s="36"/>
      <c r="H457" s="145"/>
      <c r="I457" s="36"/>
      <c r="J457" s="36"/>
      <c r="K457" s="36"/>
      <c r="L457" s="36"/>
    </row>
    <row r="458" spans="1:12" ht="10.15" customHeight="1" x14ac:dyDescent="0.2">
      <c r="A458" s="36"/>
      <c r="B458" s="36"/>
      <c r="C458" s="36"/>
      <c r="D458" s="36"/>
      <c r="E458" s="36"/>
      <c r="F458" s="36"/>
      <c r="G458" s="36"/>
      <c r="H458" s="145"/>
      <c r="I458" s="36"/>
      <c r="J458" s="36"/>
      <c r="K458" s="36"/>
      <c r="L458" s="36"/>
    </row>
    <row r="459" spans="1:12" ht="10.15" customHeight="1" x14ac:dyDescent="0.2">
      <c r="A459" s="36"/>
      <c r="B459" s="36"/>
      <c r="C459" s="36"/>
      <c r="D459" s="36"/>
      <c r="E459" s="36"/>
      <c r="F459" s="36"/>
      <c r="G459" s="36"/>
      <c r="H459" s="145"/>
      <c r="I459" s="36"/>
      <c r="J459" s="36"/>
      <c r="K459" s="36"/>
      <c r="L459" s="36"/>
    </row>
    <row r="460" spans="1:12" ht="10.15" customHeight="1" x14ac:dyDescent="0.2">
      <c r="A460" s="36"/>
      <c r="B460" s="36"/>
      <c r="C460" s="36"/>
      <c r="D460" s="36"/>
      <c r="E460" s="36"/>
      <c r="F460" s="36"/>
      <c r="G460" s="36"/>
      <c r="H460" s="145"/>
      <c r="I460" s="36"/>
      <c r="J460" s="36"/>
      <c r="K460" s="36"/>
      <c r="L460" s="36"/>
    </row>
    <row r="461" spans="1:12" ht="10.15" customHeight="1" x14ac:dyDescent="0.2">
      <c r="A461" s="36"/>
      <c r="B461" s="36"/>
      <c r="C461" s="36"/>
      <c r="D461" s="36"/>
      <c r="E461" s="36"/>
      <c r="F461" s="36"/>
      <c r="G461" s="36"/>
      <c r="H461" s="145"/>
      <c r="I461" s="36"/>
      <c r="J461" s="36"/>
      <c r="K461" s="36"/>
      <c r="L461" s="36"/>
    </row>
    <row r="462" spans="1:12" ht="10.15" customHeight="1" x14ac:dyDescent="0.2">
      <c r="A462" s="36"/>
      <c r="B462" s="36"/>
      <c r="C462" s="36"/>
      <c r="D462" s="36"/>
      <c r="E462" s="36"/>
      <c r="F462" s="36"/>
      <c r="G462" s="36"/>
      <c r="H462" s="145"/>
      <c r="I462" s="36"/>
      <c r="J462" s="36"/>
      <c r="K462" s="36"/>
      <c r="L462" s="36"/>
    </row>
    <row r="463" spans="1:12" ht="10.15" customHeight="1" x14ac:dyDescent="0.2">
      <c r="A463" s="36"/>
      <c r="B463" s="36"/>
      <c r="C463" s="36"/>
      <c r="D463" s="36"/>
      <c r="E463" s="36"/>
      <c r="F463" s="36"/>
      <c r="G463" s="36"/>
      <c r="H463" s="145"/>
      <c r="I463" s="36"/>
      <c r="J463" s="36"/>
      <c r="K463" s="36"/>
      <c r="L463" s="36"/>
    </row>
    <row r="464" spans="1:12" ht="10.15" customHeight="1" x14ac:dyDescent="0.2">
      <c r="A464" s="36"/>
      <c r="B464" s="36"/>
      <c r="C464" s="36"/>
      <c r="D464" s="36"/>
      <c r="E464" s="36"/>
      <c r="F464" s="36"/>
      <c r="G464" s="36"/>
      <c r="H464" s="145"/>
      <c r="I464" s="36"/>
      <c r="J464" s="36"/>
      <c r="K464" s="36"/>
      <c r="L464" s="36"/>
    </row>
    <row r="465" spans="1:12" ht="10.15" customHeight="1" x14ac:dyDescent="0.2">
      <c r="A465" s="36"/>
      <c r="B465" s="36"/>
      <c r="C465" s="36"/>
      <c r="D465" s="36"/>
      <c r="E465" s="36"/>
      <c r="F465" s="36"/>
      <c r="G465" s="36"/>
      <c r="H465" s="145"/>
      <c r="I465" s="36"/>
      <c r="J465" s="36"/>
      <c r="K465" s="36"/>
      <c r="L465" s="36"/>
    </row>
    <row r="466" spans="1:12" ht="10.15" customHeight="1" x14ac:dyDescent="0.2">
      <c r="A466" s="36"/>
      <c r="B466" s="36"/>
      <c r="C466" s="36"/>
      <c r="D466" s="36"/>
      <c r="E466" s="36"/>
      <c r="F466" s="36"/>
      <c r="G466" s="36"/>
      <c r="H466" s="145"/>
      <c r="I466" s="36"/>
      <c r="J466" s="36"/>
      <c r="K466" s="36"/>
      <c r="L466" s="36"/>
    </row>
    <row r="467" spans="1:12" ht="10.15" customHeight="1" x14ac:dyDescent="0.2">
      <c r="A467" s="36"/>
      <c r="B467" s="36"/>
      <c r="C467" s="36"/>
      <c r="D467" s="36"/>
      <c r="E467" s="36"/>
      <c r="F467" s="36"/>
      <c r="G467" s="36"/>
      <c r="H467" s="145"/>
      <c r="I467" s="36"/>
      <c r="J467" s="36"/>
      <c r="K467" s="36"/>
      <c r="L467" s="36"/>
    </row>
    <row r="468" spans="1:12" ht="10.15" customHeight="1" x14ac:dyDescent="0.2">
      <c r="A468" s="36"/>
      <c r="B468" s="36"/>
      <c r="C468" s="36"/>
      <c r="D468" s="36"/>
      <c r="E468" s="36"/>
      <c r="F468" s="36"/>
      <c r="G468" s="36"/>
      <c r="H468" s="145"/>
      <c r="I468" s="36"/>
      <c r="J468" s="36"/>
      <c r="K468" s="36"/>
      <c r="L468" s="36"/>
    </row>
    <row r="469" spans="1:12" ht="10.15" customHeight="1" x14ac:dyDescent="0.2">
      <c r="A469" s="36"/>
      <c r="B469" s="36"/>
      <c r="C469" s="36"/>
      <c r="D469" s="36"/>
      <c r="E469" s="36"/>
      <c r="F469" s="36"/>
      <c r="G469" s="36"/>
      <c r="H469" s="145"/>
      <c r="I469" s="36"/>
      <c r="J469" s="36"/>
      <c r="K469" s="36"/>
      <c r="L469" s="36"/>
    </row>
    <row r="470" spans="1:12" ht="10.15" customHeight="1" x14ac:dyDescent="0.2">
      <c r="A470" s="36"/>
      <c r="B470" s="36"/>
      <c r="C470" s="36"/>
      <c r="D470" s="36"/>
      <c r="E470" s="36"/>
      <c r="F470" s="36"/>
      <c r="G470" s="36"/>
      <c r="H470" s="145"/>
      <c r="I470" s="36"/>
      <c r="J470" s="36"/>
      <c r="K470" s="36"/>
      <c r="L470" s="36"/>
    </row>
    <row r="471" spans="1:12" ht="10.15" customHeight="1" x14ac:dyDescent="0.2">
      <c r="A471" s="36"/>
      <c r="B471" s="36"/>
      <c r="C471" s="36"/>
      <c r="D471" s="36"/>
      <c r="E471" s="36"/>
      <c r="F471" s="36"/>
      <c r="G471" s="36"/>
      <c r="H471" s="145"/>
      <c r="I471" s="36"/>
      <c r="J471" s="36"/>
      <c r="K471" s="36"/>
      <c r="L471" s="36"/>
    </row>
    <row r="472" spans="1:12" ht="10.15" customHeight="1" x14ac:dyDescent="0.2">
      <c r="A472" s="36"/>
      <c r="B472" s="36"/>
      <c r="C472" s="36"/>
      <c r="D472" s="36"/>
      <c r="E472" s="36"/>
      <c r="F472" s="36"/>
      <c r="G472" s="36"/>
      <c r="H472" s="145"/>
      <c r="I472" s="36"/>
      <c r="J472" s="36"/>
      <c r="K472" s="36"/>
      <c r="L472" s="36"/>
    </row>
    <row r="473" spans="1:12" ht="10.15" customHeight="1" x14ac:dyDescent="0.2">
      <c r="A473" s="36"/>
      <c r="B473" s="36"/>
      <c r="C473" s="36"/>
      <c r="D473" s="36"/>
      <c r="E473" s="36"/>
      <c r="F473" s="36"/>
      <c r="G473" s="36"/>
      <c r="H473" s="145"/>
      <c r="I473" s="36"/>
      <c r="J473" s="36"/>
      <c r="K473" s="36"/>
      <c r="L473" s="36"/>
    </row>
    <row r="474" spans="1:12" ht="10.15" customHeight="1" x14ac:dyDescent="0.2">
      <c r="A474" s="36"/>
      <c r="B474" s="36"/>
      <c r="C474" s="36"/>
      <c r="D474" s="36"/>
      <c r="E474" s="36"/>
      <c r="F474" s="36"/>
      <c r="G474" s="36"/>
      <c r="H474" s="145"/>
      <c r="I474" s="36"/>
      <c r="J474" s="36"/>
      <c r="K474" s="36"/>
      <c r="L474" s="36"/>
    </row>
    <row r="475" spans="1:12" ht="10.15" customHeight="1" x14ac:dyDescent="0.2">
      <c r="A475" s="36"/>
      <c r="B475" s="36"/>
      <c r="C475" s="36"/>
      <c r="D475" s="36"/>
      <c r="E475" s="36"/>
      <c r="F475" s="36"/>
      <c r="G475" s="36"/>
      <c r="H475" s="145"/>
      <c r="I475" s="36"/>
      <c r="J475" s="36"/>
      <c r="K475" s="36"/>
      <c r="L475" s="36"/>
    </row>
    <row r="476" spans="1:12" ht="10.15" customHeight="1" x14ac:dyDescent="0.2">
      <c r="A476" s="36"/>
      <c r="B476" s="36"/>
      <c r="C476" s="36"/>
      <c r="D476" s="36"/>
      <c r="E476" s="36"/>
      <c r="F476" s="36"/>
      <c r="G476" s="36"/>
      <c r="H476" s="145"/>
      <c r="I476" s="36"/>
      <c r="J476" s="36"/>
      <c r="K476" s="36"/>
      <c r="L476" s="36"/>
    </row>
    <row r="477" spans="1:12" ht="10.15" customHeight="1" x14ac:dyDescent="0.2">
      <c r="A477" s="36"/>
      <c r="B477" s="36"/>
      <c r="C477" s="36"/>
      <c r="D477" s="36"/>
      <c r="E477" s="36"/>
      <c r="F477" s="36"/>
      <c r="G477" s="36"/>
      <c r="H477" s="145"/>
      <c r="I477" s="36"/>
      <c r="J477" s="36"/>
      <c r="K477" s="36"/>
      <c r="L477" s="36"/>
    </row>
    <row r="478" spans="1:12" ht="10.15" customHeight="1" x14ac:dyDescent="0.2">
      <c r="A478" s="36"/>
      <c r="B478" s="36"/>
      <c r="C478" s="36"/>
      <c r="D478" s="36"/>
      <c r="E478" s="36"/>
      <c r="F478" s="36"/>
      <c r="G478" s="36"/>
      <c r="H478" s="145"/>
      <c r="I478" s="36"/>
      <c r="J478" s="36"/>
      <c r="K478" s="36"/>
      <c r="L478" s="36"/>
    </row>
    <row r="479" spans="1:12" ht="10.15" customHeight="1" x14ac:dyDescent="0.2">
      <c r="A479" s="36"/>
      <c r="B479" s="36"/>
      <c r="C479" s="36"/>
      <c r="D479" s="36"/>
      <c r="E479" s="36"/>
      <c r="F479" s="36"/>
      <c r="G479" s="36"/>
      <c r="H479" s="145"/>
      <c r="I479" s="36"/>
      <c r="J479" s="36"/>
      <c r="K479" s="36"/>
      <c r="L479" s="36"/>
    </row>
    <row r="480" spans="1:12" ht="10.15" customHeight="1" x14ac:dyDescent="0.2">
      <c r="A480" s="36"/>
      <c r="B480" s="36"/>
      <c r="C480" s="36"/>
      <c r="D480" s="36"/>
      <c r="E480" s="36"/>
      <c r="F480" s="36"/>
      <c r="G480" s="36"/>
      <c r="H480" s="145"/>
      <c r="I480" s="36"/>
      <c r="J480" s="36"/>
      <c r="K480" s="36"/>
      <c r="L480" s="36"/>
    </row>
    <row r="481" spans="1:12" ht="10.15" customHeight="1" x14ac:dyDescent="0.2">
      <c r="A481" s="36"/>
      <c r="B481" s="36"/>
      <c r="C481" s="36"/>
      <c r="D481" s="36"/>
      <c r="E481" s="36"/>
      <c r="F481" s="36"/>
      <c r="G481" s="36"/>
      <c r="H481" s="145"/>
      <c r="I481" s="36"/>
      <c r="J481" s="36"/>
      <c r="K481" s="36"/>
      <c r="L481" s="36"/>
    </row>
    <row r="482" spans="1:12" ht="10.15" customHeight="1" x14ac:dyDescent="0.2">
      <c r="A482" s="36"/>
      <c r="B482" s="36"/>
      <c r="C482" s="36"/>
      <c r="D482" s="36"/>
      <c r="E482" s="36"/>
      <c r="F482" s="36"/>
      <c r="G482" s="36"/>
      <c r="H482" s="145"/>
      <c r="I482" s="36"/>
      <c r="J482" s="36"/>
      <c r="K482" s="36"/>
      <c r="L482" s="36"/>
    </row>
    <row r="483" spans="1:12" ht="10.15" customHeight="1" x14ac:dyDescent="0.2">
      <c r="A483" s="36"/>
      <c r="B483" s="36"/>
      <c r="C483" s="36"/>
      <c r="D483" s="36"/>
      <c r="E483" s="36"/>
      <c r="F483" s="36"/>
      <c r="G483" s="36"/>
      <c r="H483" s="145"/>
      <c r="I483" s="36"/>
      <c r="J483" s="36"/>
      <c r="K483" s="36"/>
      <c r="L483" s="36"/>
    </row>
    <row r="484" spans="1:12" ht="10.15" customHeight="1" x14ac:dyDescent="0.2">
      <c r="A484" s="36"/>
      <c r="B484" s="36"/>
      <c r="C484" s="36"/>
      <c r="D484" s="36"/>
      <c r="E484" s="36"/>
      <c r="F484" s="36"/>
      <c r="G484" s="36"/>
      <c r="H484" s="145"/>
      <c r="I484" s="36"/>
      <c r="J484" s="36"/>
      <c r="K484" s="36"/>
      <c r="L484" s="36"/>
    </row>
    <row r="485" spans="1:12" ht="10.15" customHeight="1" x14ac:dyDescent="0.2">
      <c r="A485" s="36"/>
      <c r="B485" s="36"/>
      <c r="C485" s="36"/>
      <c r="D485" s="36"/>
      <c r="E485" s="36"/>
      <c r="F485" s="36"/>
      <c r="G485" s="36"/>
      <c r="H485" s="145"/>
      <c r="I485" s="36"/>
      <c r="J485" s="36"/>
      <c r="K485" s="36"/>
      <c r="L485" s="36"/>
    </row>
    <row r="486" spans="1:12" ht="10.15" customHeight="1" x14ac:dyDescent="0.2">
      <c r="A486" s="36"/>
      <c r="B486" s="36"/>
      <c r="C486" s="36"/>
      <c r="D486" s="36"/>
      <c r="E486" s="36"/>
      <c r="F486" s="36"/>
      <c r="G486" s="36"/>
      <c r="H486" s="145"/>
      <c r="I486" s="36"/>
      <c r="J486" s="36"/>
      <c r="K486" s="36"/>
      <c r="L486" s="36"/>
    </row>
    <row r="487" spans="1:12" ht="10.15" customHeight="1" x14ac:dyDescent="0.2">
      <c r="A487" s="36"/>
      <c r="B487" s="36"/>
      <c r="C487" s="36"/>
      <c r="D487" s="36"/>
      <c r="E487" s="36"/>
      <c r="F487" s="36"/>
      <c r="G487" s="36"/>
      <c r="H487" s="145"/>
      <c r="I487" s="36"/>
      <c r="J487" s="36"/>
      <c r="K487" s="36"/>
      <c r="L487" s="36"/>
    </row>
    <row r="488" spans="1:12" ht="10.15" customHeight="1" x14ac:dyDescent="0.2">
      <c r="A488" s="36"/>
      <c r="B488" s="36"/>
      <c r="C488" s="36"/>
      <c r="D488" s="36"/>
      <c r="E488" s="36"/>
      <c r="F488" s="36"/>
      <c r="G488" s="36"/>
      <c r="H488" s="145"/>
      <c r="I488" s="36"/>
      <c r="J488" s="36"/>
      <c r="K488" s="36"/>
      <c r="L488" s="36"/>
    </row>
    <row r="489" spans="1:12" ht="10.15" customHeight="1" x14ac:dyDescent="0.2">
      <c r="A489" s="36"/>
      <c r="B489" s="36"/>
      <c r="C489" s="36"/>
      <c r="D489" s="36"/>
      <c r="E489" s="36"/>
      <c r="F489" s="36"/>
      <c r="G489" s="36"/>
      <c r="H489" s="145"/>
      <c r="I489" s="36"/>
      <c r="J489" s="36"/>
      <c r="K489" s="36"/>
      <c r="L489" s="36"/>
    </row>
    <row r="490" spans="1:12" ht="10.15" customHeight="1" x14ac:dyDescent="0.2">
      <c r="A490" s="36"/>
      <c r="B490" s="36"/>
      <c r="C490" s="36"/>
      <c r="D490" s="36"/>
      <c r="E490" s="36"/>
      <c r="F490" s="36"/>
      <c r="G490" s="36"/>
      <c r="H490" s="145"/>
      <c r="I490" s="36"/>
      <c r="J490" s="36"/>
      <c r="K490" s="36"/>
      <c r="L490" s="36"/>
    </row>
    <row r="491" spans="1:12" ht="10.15" customHeight="1" x14ac:dyDescent="0.2">
      <c r="A491" s="36"/>
      <c r="B491" s="36"/>
      <c r="C491" s="36"/>
      <c r="D491" s="36"/>
      <c r="E491" s="36"/>
      <c r="F491" s="36"/>
      <c r="G491" s="36"/>
      <c r="H491" s="145"/>
      <c r="I491" s="36"/>
      <c r="J491" s="36"/>
      <c r="K491" s="36"/>
      <c r="L491" s="36"/>
    </row>
    <row r="492" spans="1:12" ht="10.15" customHeight="1" x14ac:dyDescent="0.2">
      <c r="A492" s="36"/>
      <c r="B492" s="36"/>
      <c r="C492" s="36"/>
      <c r="D492" s="36"/>
      <c r="E492" s="36"/>
      <c r="F492" s="36"/>
      <c r="G492" s="36"/>
      <c r="H492" s="145"/>
      <c r="I492" s="36"/>
      <c r="J492" s="36"/>
      <c r="K492" s="36"/>
      <c r="L492" s="36"/>
    </row>
    <row r="493" spans="1:12" ht="10.15" customHeight="1" x14ac:dyDescent="0.2">
      <c r="A493" s="36"/>
      <c r="B493" s="36"/>
      <c r="C493" s="36"/>
      <c r="D493" s="36"/>
      <c r="E493" s="36"/>
      <c r="F493" s="36"/>
      <c r="G493" s="36"/>
      <c r="H493" s="145"/>
      <c r="I493" s="36"/>
      <c r="J493" s="36"/>
      <c r="K493" s="36"/>
      <c r="L493" s="36"/>
    </row>
    <row r="494" spans="1:12" ht="10.15" customHeight="1" x14ac:dyDescent="0.2">
      <c r="A494" s="36"/>
      <c r="B494" s="36"/>
      <c r="C494" s="36"/>
      <c r="D494" s="36"/>
      <c r="E494" s="36"/>
      <c r="F494" s="36"/>
      <c r="G494" s="36"/>
      <c r="H494" s="145"/>
      <c r="I494" s="36"/>
      <c r="J494" s="36"/>
      <c r="K494" s="36"/>
      <c r="L494" s="36"/>
    </row>
    <row r="495" spans="1:12" ht="10.15" customHeight="1" x14ac:dyDescent="0.2">
      <c r="A495" s="36"/>
      <c r="B495" s="36"/>
      <c r="C495" s="36"/>
      <c r="D495" s="36"/>
      <c r="E495" s="36"/>
      <c r="F495" s="36"/>
      <c r="G495" s="36"/>
      <c r="H495" s="145"/>
      <c r="I495" s="36"/>
      <c r="J495" s="36"/>
      <c r="K495" s="36"/>
      <c r="L495" s="36"/>
    </row>
    <row r="496" spans="1:12" ht="10.15" customHeight="1" x14ac:dyDescent="0.2">
      <c r="A496" s="36"/>
      <c r="B496" s="36"/>
      <c r="C496" s="36"/>
      <c r="D496" s="36"/>
      <c r="E496" s="36"/>
      <c r="F496" s="36"/>
      <c r="G496" s="36"/>
      <c r="H496" s="145"/>
      <c r="I496" s="36"/>
      <c r="J496" s="36"/>
      <c r="K496" s="36"/>
      <c r="L496" s="36"/>
    </row>
    <row r="497" spans="1:12" ht="10.15" customHeight="1" x14ac:dyDescent="0.2">
      <c r="A497" s="36"/>
      <c r="B497" s="36"/>
      <c r="C497" s="36"/>
      <c r="D497" s="36"/>
      <c r="E497" s="36"/>
      <c r="F497" s="36"/>
      <c r="G497" s="36"/>
      <c r="H497" s="145"/>
      <c r="I497" s="36"/>
      <c r="J497" s="36"/>
      <c r="K497" s="36"/>
      <c r="L497" s="36"/>
    </row>
    <row r="498" spans="1:12" ht="10.15" customHeight="1" x14ac:dyDescent="0.2">
      <c r="A498" s="36"/>
      <c r="B498" s="36"/>
      <c r="C498" s="36"/>
      <c r="D498" s="36"/>
      <c r="E498" s="36"/>
      <c r="F498" s="36"/>
      <c r="G498" s="36"/>
      <c r="H498" s="145"/>
      <c r="I498" s="36"/>
      <c r="J498" s="36"/>
      <c r="K498" s="36"/>
      <c r="L498" s="36"/>
    </row>
    <row r="499" spans="1:12" ht="11.25" x14ac:dyDescent="0.2">
      <c r="A499" s="36"/>
      <c r="B499" s="36"/>
      <c r="C499" s="36"/>
      <c r="D499" s="36"/>
      <c r="E499" s="36"/>
      <c r="F499" s="36"/>
      <c r="G499" s="36"/>
      <c r="H499" s="145"/>
      <c r="I499" s="36"/>
      <c r="J499" s="36"/>
      <c r="K499" s="36"/>
      <c r="L499" s="36"/>
    </row>
    <row r="500" spans="1:12" ht="11.25" x14ac:dyDescent="0.2">
      <c r="A500" s="36"/>
      <c r="B500" s="36"/>
      <c r="C500" s="36"/>
      <c r="D500" s="36"/>
      <c r="E500" s="36"/>
      <c r="F500" s="36"/>
      <c r="G500" s="36"/>
      <c r="H500" s="145"/>
      <c r="I500" s="36"/>
      <c r="J500" s="36"/>
      <c r="K500" s="36"/>
      <c r="L500" s="36"/>
    </row>
    <row r="501" spans="1:12" ht="11.25" x14ac:dyDescent="0.2">
      <c r="A501" s="36"/>
      <c r="B501" s="36"/>
      <c r="C501" s="36"/>
      <c r="D501" s="36"/>
      <c r="E501" s="36"/>
      <c r="F501" s="36"/>
      <c r="G501" s="36"/>
      <c r="H501" s="145"/>
      <c r="I501" s="36"/>
      <c r="J501" s="36"/>
      <c r="K501" s="36"/>
      <c r="L501" s="36"/>
    </row>
    <row r="504" spans="1:12" ht="10.15" customHeight="1" x14ac:dyDescent="0.15"/>
    <row r="505" spans="1:12" ht="10.15" customHeight="1" x14ac:dyDescent="0.15"/>
    <row r="506" spans="1:12" ht="10.15" customHeight="1" x14ac:dyDescent="0.15"/>
    <row r="507" spans="1:12" ht="10.15" customHeight="1" x14ac:dyDescent="0.15"/>
    <row r="508" spans="1:12" ht="10.15" customHeight="1" x14ac:dyDescent="0.15"/>
    <row r="509" spans="1:12" ht="10.15" customHeight="1" x14ac:dyDescent="0.15"/>
    <row r="510" spans="1:12" ht="10.15" customHeight="1" x14ac:dyDescent="0.15"/>
    <row r="511" spans="1:12" ht="10.15" customHeight="1" x14ac:dyDescent="0.15"/>
    <row r="512" spans="1:12" ht="10.15" customHeight="1" x14ac:dyDescent="0.15"/>
    <row r="513" ht="10.15" customHeight="1" x14ac:dyDescent="0.15"/>
    <row r="514" ht="10.15" customHeight="1" x14ac:dyDescent="0.15"/>
    <row r="515" ht="10.15" customHeight="1" x14ac:dyDescent="0.15"/>
    <row r="516" ht="10.15" customHeight="1" x14ac:dyDescent="0.15"/>
    <row r="517" ht="10.15" customHeight="1" x14ac:dyDescent="0.15"/>
  </sheetData>
  <mergeCells count="1">
    <mergeCell ref="A5:L5"/>
  </mergeCells>
  <phoneticPr fontId="3" type="noConversion"/>
  <printOptions horizontalCentered="1" gridLinesSet="0"/>
  <pageMargins left="0.5" right="0.5" top="0.5" bottom="0.44" header="0.5" footer="0"/>
  <pageSetup scale="83" fitToHeight="0" orientation="landscape" horizontalDpi="300" verticalDpi="300" r:id="rId1"/>
  <headerFooter alignWithMargins="0">
    <oddFooter>&amp;L&amp;F&amp;C&amp;P</oddFooter>
  </headerFooter>
  <rowBreaks count="7" manualBreakCount="7">
    <brk id="59" max="11" man="1"/>
    <brk id="100" max="11" man="1"/>
    <brk id="122" max="11" man="1"/>
    <brk id="178" max="11" man="1"/>
    <brk id="289" max="11" man="1"/>
    <brk id="336" max="11" man="1"/>
    <brk id="378" max="11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803" transitionEvaluation="1">
    <pageSetUpPr fitToPage="1"/>
  </sheetPr>
  <dimension ref="A1:BP2970"/>
  <sheetViews>
    <sheetView showGridLines="0" zoomScale="125" zoomScaleNormal="110" zoomScaleSheetLayoutView="90" workbookViewId="0">
      <pane ySplit="7" topLeftCell="A803" activePane="bottomLeft" state="frozen"/>
      <selection pane="bottomLeft" activeCell="K2158" sqref="K2158"/>
    </sheetView>
  </sheetViews>
  <sheetFormatPr defaultColWidth="13" defaultRowHeight="12" x14ac:dyDescent="0.15"/>
  <cols>
    <col min="1" max="1" width="7.33203125" style="7" customWidth="1"/>
    <col min="2" max="2" width="7.83203125" style="7" hidden="1" customWidth="1"/>
    <col min="3" max="3" width="12" style="363" customWidth="1"/>
    <col min="4" max="4" width="52.6640625" style="7" customWidth="1"/>
    <col min="5" max="5" width="12.83203125" style="373" customWidth="1"/>
    <col min="6" max="6" width="17" style="7" customWidth="1"/>
    <col min="7" max="8" width="11.6640625" style="7" customWidth="1"/>
    <col min="9" max="9" width="15.6640625" style="7" customWidth="1"/>
    <col min="10" max="10" width="28.6640625" style="7" customWidth="1"/>
    <col min="11" max="12" width="13" style="10"/>
    <col min="13" max="13" width="14.33203125" style="10" customWidth="1"/>
    <col min="14" max="14" width="17.5" style="10" bestFit="1" customWidth="1"/>
    <col min="15" max="68" width="13" style="10"/>
    <col min="69" max="16384" width="13" style="7"/>
  </cols>
  <sheetData>
    <row r="1" spans="1:68" s="377" customFormat="1" ht="12.75" x14ac:dyDescent="0.2">
      <c r="A1" s="386" t="s">
        <v>533</v>
      </c>
      <c r="B1" s="386"/>
      <c r="C1" s="386"/>
      <c r="D1" s="386"/>
      <c r="E1" s="386"/>
      <c r="F1" s="386"/>
      <c r="G1" s="386"/>
      <c r="H1" s="386"/>
      <c r="I1" s="386"/>
      <c r="J1" s="386"/>
      <c r="K1" s="375"/>
      <c r="L1" s="376"/>
      <c r="M1" s="376"/>
      <c r="N1" s="376"/>
      <c r="O1" s="376"/>
      <c r="P1" s="376"/>
      <c r="Q1" s="376"/>
      <c r="R1" s="376"/>
      <c r="S1" s="376"/>
      <c r="T1" s="376"/>
      <c r="U1" s="376"/>
      <c r="V1" s="376"/>
      <c r="W1" s="376"/>
      <c r="X1" s="376"/>
      <c r="Y1" s="376"/>
      <c r="Z1" s="376"/>
      <c r="AA1" s="376"/>
      <c r="AB1" s="376"/>
      <c r="AC1" s="376"/>
      <c r="AD1" s="376"/>
      <c r="AE1" s="376"/>
      <c r="AF1" s="376"/>
      <c r="AG1" s="376"/>
      <c r="AH1" s="376"/>
      <c r="AI1" s="376"/>
      <c r="AJ1" s="376"/>
      <c r="AK1" s="376"/>
      <c r="AL1" s="376"/>
      <c r="AM1" s="376"/>
      <c r="AN1" s="376"/>
      <c r="AO1" s="376"/>
      <c r="AP1" s="376"/>
      <c r="AQ1" s="376"/>
      <c r="AR1" s="376"/>
      <c r="AS1" s="376"/>
      <c r="AT1" s="376"/>
      <c r="AU1" s="376"/>
      <c r="AV1" s="376"/>
      <c r="AW1" s="376"/>
      <c r="AX1" s="376"/>
      <c r="AY1" s="376"/>
      <c r="AZ1" s="376"/>
      <c r="BA1" s="376"/>
      <c r="BB1" s="376"/>
      <c r="BC1" s="376"/>
      <c r="BD1" s="376"/>
      <c r="BE1" s="376"/>
      <c r="BF1" s="376"/>
      <c r="BG1" s="376"/>
      <c r="BH1" s="376"/>
      <c r="BI1" s="376"/>
      <c r="BJ1" s="376"/>
      <c r="BK1" s="376"/>
      <c r="BL1" s="376"/>
      <c r="BM1" s="376"/>
      <c r="BN1" s="376"/>
      <c r="BO1" s="376"/>
      <c r="BP1" s="376"/>
    </row>
    <row r="2" spans="1:68" s="377" customFormat="1" ht="12.75" x14ac:dyDescent="0.2">
      <c r="A2" s="386" t="s">
        <v>534</v>
      </c>
      <c r="B2" s="386"/>
      <c r="C2" s="386"/>
      <c r="D2" s="386"/>
      <c r="E2" s="386"/>
      <c r="F2" s="386"/>
      <c r="G2" s="386"/>
      <c r="H2" s="386"/>
      <c r="I2" s="386"/>
      <c r="J2" s="386"/>
      <c r="K2" s="375"/>
      <c r="L2" s="376"/>
      <c r="M2" s="376"/>
      <c r="N2" s="376"/>
      <c r="O2" s="376"/>
      <c r="P2" s="376"/>
      <c r="Q2" s="376"/>
      <c r="R2" s="376"/>
      <c r="S2" s="376"/>
      <c r="T2" s="376"/>
      <c r="U2" s="376"/>
      <c r="V2" s="376"/>
      <c r="W2" s="376"/>
      <c r="X2" s="376"/>
      <c r="Y2" s="376"/>
      <c r="Z2" s="376"/>
      <c r="AA2" s="376"/>
      <c r="AB2" s="376"/>
      <c r="AC2" s="376"/>
      <c r="AD2" s="376"/>
      <c r="AE2" s="376"/>
      <c r="AF2" s="376"/>
      <c r="AG2" s="376"/>
      <c r="AH2" s="376"/>
      <c r="AI2" s="376"/>
      <c r="AJ2" s="376"/>
      <c r="AK2" s="376"/>
      <c r="AL2" s="376"/>
      <c r="AM2" s="376"/>
      <c r="AN2" s="376"/>
      <c r="AO2" s="376"/>
      <c r="AP2" s="376"/>
      <c r="AQ2" s="376"/>
      <c r="AR2" s="376"/>
      <c r="AS2" s="376"/>
      <c r="AT2" s="376"/>
      <c r="AU2" s="376"/>
      <c r="AV2" s="376"/>
      <c r="AW2" s="376"/>
      <c r="AX2" s="376"/>
      <c r="AY2" s="376"/>
      <c r="AZ2" s="376"/>
      <c r="BA2" s="376"/>
      <c r="BB2" s="376"/>
      <c r="BC2" s="376"/>
      <c r="BD2" s="376"/>
      <c r="BE2" s="376"/>
      <c r="BF2" s="376"/>
      <c r="BG2" s="376"/>
      <c r="BH2" s="376"/>
      <c r="BI2" s="376"/>
      <c r="BJ2" s="376"/>
      <c r="BK2" s="376"/>
      <c r="BL2" s="376"/>
      <c r="BM2" s="376"/>
      <c r="BN2" s="376"/>
      <c r="BO2" s="376"/>
      <c r="BP2" s="376"/>
    </row>
    <row r="3" spans="1:68" s="377" customFormat="1" ht="12.75" x14ac:dyDescent="0.2">
      <c r="A3" s="387" t="s">
        <v>228</v>
      </c>
      <c r="B3" s="387"/>
      <c r="C3" s="387"/>
      <c r="D3" s="387"/>
      <c r="E3" s="387"/>
      <c r="F3" s="387"/>
      <c r="G3" s="387"/>
      <c r="H3" s="387"/>
      <c r="I3" s="387"/>
      <c r="J3" s="387"/>
      <c r="K3" s="375"/>
      <c r="L3" s="376"/>
      <c r="M3" s="376"/>
      <c r="N3" s="376"/>
      <c r="O3" s="376"/>
      <c r="P3" s="376"/>
      <c r="Q3" s="376"/>
      <c r="R3" s="376"/>
      <c r="S3" s="376"/>
      <c r="T3" s="376"/>
      <c r="U3" s="376"/>
      <c r="V3" s="376"/>
      <c r="W3" s="376"/>
      <c r="X3" s="376"/>
      <c r="Y3" s="376"/>
      <c r="Z3" s="376"/>
      <c r="AA3" s="376"/>
      <c r="AB3" s="376"/>
      <c r="AC3" s="376"/>
      <c r="AD3" s="376"/>
      <c r="AE3" s="376"/>
      <c r="AF3" s="376"/>
      <c r="AG3" s="376"/>
      <c r="AH3" s="376"/>
      <c r="AI3" s="376"/>
      <c r="AJ3" s="376"/>
      <c r="AK3" s="376"/>
      <c r="AL3" s="376"/>
      <c r="AM3" s="376"/>
      <c r="AN3" s="376"/>
      <c r="AO3" s="376"/>
      <c r="AP3" s="376"/>
      <c r="AQ3" s="376"/>
      <c r="AR3" s="376"/>
      <c r="AS3" s="376"/>
      <c r="AT3" s="376"/>
      <c r="AU3" s="376"/>
      <c r="AV3" s="376"/>
      <c r="AW3" s="376"/>
      <c r="AX3" s="376"/>
      <c r="AY3" s="376"/>
      <c r="AZ3" s="376"/>
      <c r="BA3" s="376"/>
      <c r="BB3" s="376"/>
      <c r="BC3" s="376"/>
      <c r="BD3" s="376"/>
      <c r="BE3" s="376"/>
      <c r="BF3" s="376"/>
      <c r="BG3" s="376"/>
      <c r="BH3" s="376"/>
      <c r="BI3" s="376"/>
      <c r="BJ3" s="376"/>
      <c r="BK3" s="376"/>
      <c r="BL3" s="376"/>
      <c r="BM3" s="376"/>
      <c r="BN3" s="376"/>
      <c r="BO3" s="376"/>
      <c r="BP3" s="376"/>
    </row>
    <row r="4" spans="1:68" s="377" customFormat="1" ht="12.75" x14ac:dyDescent="0.2">
      <c r="A4" s="387" t="s">
        <v>745</v>
      </c>
      <c r="B4" s="387"/>
      <c r="C4" s="387"/>
      <c r="D4" s="387"/>
      <c r="E4" s="387"/>
      <c r="F4" s="387"/>
      <c r="G4" s="387"/>
      <c r="H4" s="387"/>
      <c r="I4" s="387"/>
      <c r="J4" s="387"/>
      <c r="K4" s="375"/>
      <c r="L4" s="376"/>
      <c r="M4" s="376"/>
      <c r="N4" s="376"/>
      <c r="O4" s="376"/>
      <c r="P4" s="376"/>
      <c r="Q4" s="376"/>
      <c r="R4" s="376"/>
      <c r="S4" s="376"/>
      <c r="T4" s="376"/>
      <c r="U4" s="376"/>
      <c r="V4" s="376"/>
      <c r="W4" s="376"/>
      <c r="X4" s="376"/>
      <c r="Y4" s="376"/>
      <c r="Z4" s="376"/>
      <c r="AA4" s="376"/>
      <c r="AB4" s="376"/>
      <c r="AC4" s="376"/>
      <c r="AD4" s="376"/>
      <c r="AE4" s="376"/>
      <c r="AF4" s="376"/>
      <c r="AG4" s="376"/>
      <c r="AH4" s="376"/>
      <c r="AI4" s="376"/>
      <c r="AJ4" s="376"/>
      <c r="AK4" s="376"/>
      <c r="AL4" s="376"/>
      <c r="AM4" s="376"/>
      <c r="AN4" s="376"/>
      <c r="AO4" s="376"/>
      <c r="AP4" s="376"/>
      <c r="AQ4" s="376"/>
      <c r="AR4" s="376"/>
      <c r="AS4" s="376"/>
      <c r="AT4" s="376"/>
      <c r="AU4" s="376"/>
      <c r="AV4" s="376"/>
      <c r="AW4" s="376"/>
      <c r="AX4" s="376"/>
      <c r="AY4" s="376"/>
      <c r="AZ4" s="376"/>
      <c r="BA4" s="376"/>
      <c r="BB4" s="376"/>
      <c r="BC4" s="376"/>
      <c r="BD4" s="376"/>
      <c r="BE4" s="376"/>
      <c r="BF4" s="376"/>
      <c r="BG4" s="376"/>
      <c r="BH4" s="376"/>
      <c r="BI4" s="376"/>
      <c r="BJ4" s="376"/>
      <c r="BK4" s="376"/>
      <c r="BL4" s="376"/>
      <c r="BM4" s="376"/>
      <c r="BN4" s="376"/>
      <c r="BO4" s="376"/>
      <c r="BP4" s="376"/>
    </row>
    <row r="5" spans="1:68" ht="12.75" x14ac:dyDescent="0.2">
      <c r="A5" s="388" t="s">
        <v>640</v>
      </c>
      <c r="B5" s="388"/>
      <c r="C5" s="388"/>
      <c r="D5" s="388"/>
      <c r="E5" s="388"/>
      <c r="F5" s="388"/>
      <c r="G5" s="388"/>
      <c r="H5" s="388"/>
      <c r="I5" s="388"/>
      <c r="J5" s="388"/>
      <c r="K5" s="226"/>
    </row>
    <row r="6" spans="1:68" ht="14.25" customHeight="1" x14ac:dyDescent="0.2">
      <c r="A6" s="391" t="s">
        <v>229</v>
      </c>
      <c r="B6" s="391" t="s">
        <v>230</v>
      </c>
      <c r="C6" s="389" t="s">
        <v>231</v>
      </c>
      <c r="D6" s="391" t="s">
        <v>9</v>
      </c>
      <c r="E6" s="394" t="s">
        <v>708</v>
      </c>
      <c r="F6" s="391" t="s">
        <v>691</v>
      </c>
      <c r="G6" s="391" t="s">
        <v>12</v>
      </c>
      <c r="H6" s="391" t="s">
        <v>232</v>
      </c>
      <c r="I6" s="391" t="s">
        <v>233</v>
      </c>
      <c r="J6" s="391" t="s">
        <v>234</v>
      </c>
      <c r="K6" s="226"/>
    </row>
    <row r="7" spans="1:68" ht="19.5" customHeight="1" x14ac:dyDescent="0.2">
      <c r="A7" s="392"/>
      <c r="B7" s="392"/>
      <c r="C7" s="390"/>
      <c r="D7" s="393"/>
      <c r="E7" s="395"/>
      <c r="F7" s="392"/>
      <c r="G7" s="393"/>
      <c r="H7" s="392"/>
      <c r="I7" s="392"/>
      <c r="J7" s="392"/>
      <c r="K7" s="226"/>
    </row>
    <row r="8" spans="1:68" ht="10.35" customHeight="1" x14ac:dyDescent="0.2">
      <c r="A8" s="242"/>
      <c r="B8" s="242"/>
      <c r="C8" s="342"/>
      <c r="D8" s="242"/>
      <c r="E8" s="362"/>
      <c r="F8" s="242"/>
      <c r="G8" s="242"/>
      <c r="H8" s="242"/>
      <c r="I8" s="242"/>
      <c r="J8" s="242"/>
      <c r="K8" s="226"/>
    </row>
    <row r="9" spans="1:68" ht="10.15" customHeight="1" x14ac:dyDescent="0.2">
      <c r="A9" s="243" t="s">
        <v>24</v>
      </c>
      <c r="B9" s="243" t="s">
        <v>235</v>
      </c>
      <c r="C9" s="243" t="s">
        <v>236</v>
      </c>
      <c r="D9" s="244" t="s">
        <v>190</v>
      </c>
      <c r="E9" s="277" t="s">
        <v>237</v>
      </c>
      <c r="F9" s="245">
        <v>5047300</v>
      </c>
      <c r="G9" s="246">
        <v>96964</v>
      </c>
      <c r="H9" s="247" t="s">
        <v>238</v>
      </c>
      <c r="I9" s="242"/>
      <c r="J9" s="242"/>
      <c r="K9" s="226"/>
    </row>
    <row r="10" spans="1:68" ht="10.15" customHeight="1" x14ac:dyDescent="0.2">
      <c r="A10" s="248"/>
      <c r="B10" s="248"/>
      <c r="C10" s="261"/>
      <c r="D10" s="244" t="s">
        <v>239</v>
      </c>
      <c r="E10" s="281"/>
      <c r="F10" s="249"/>
      <c r="G10" s="249"/>
      <c r="H10" s="250">
        <v>8069</v>
      </c>
      <c r="I10" s="251">
        <f t="shared" ref="I10:I17" si="0">ROUND(H10/$H$18,4)</f>
        <v>0.14080000000000001</v>
      </c>
      <c r="J10" s="242"/>
      <c r="K10" s="226"/>
    </row>
    <row r="11" spans="1:68" ht="10.15" customHeight="1" x14ac:dyDescent="0.2">
      <c r="A11" s="249"/>
      <c r="B11" s="249"/>
      <c r="C11" s="284"/>
      <c r="D11" s="244" t="s">
        <v>240</v>
      </c>
      <c r="E11" s="281"/>
      <c r="F11" s="249"/>
      <c r="G11" s="249"/>
      <c r="H11" s="250">
        <v>16807</v>
      </c>
      <c r="I11" s="251">
        <f t="shared" si="0"/>
        <v>0.29330000000000001</v>
      </c>
      <c r="J11" s="252" t="s">
        <v>240</v>
      </c>
      <c r="K11" s="226"/>
    </row>
    <row r="12" spans="1:68" ht="10.15" customHeight="1" x14ac:dyDescent="0.2">
      <c r="A12" s="249"/>
      <c r="B12" s="249"/>
      <c r="C12" s="284"/>
      <c r="D12" s="244" t="s">
        <v>241</v>
      </c>
      <c r="E12" s="281"/>
      <c r="F12" s="249"/>
      <c r="G12" s="249"/>
      <c r="H12" s="250">
        <v>277</v>
      </c>
      <c r="I12" s="251">
        <f t="shared" si="0"/>
        <v>4.7999999999999996E-3</v>
      </c>
      <c r="J12" s="242"/>
      <c r="K12" s="226"/>
    </row>
    <row r="13" spans="1:68" ht="10.15" customHeight="1" x14ac:dyDescent="0.2">
      <c r="A13" s="249"/>
      <c r="B13" s="249"/>
      <c r="C13" s="284"/>
      <c r="D13" s="244" t="s">
        <v>242</v>
      </c>
      <c r="E13" s="281"/>
      <c r="F13" s="249"/>
      <c r="G13" s="249"/>
      <c r="H13" s="250">
        <v>15427</v>
      </c>
      <c r="I13" s="251">
        <f t="shared" si="0"/>
        <v>0.26919999999999999</v>
      </c>
      <c r="J13" s="253" t="s">
        <v>242</v>
      </c>
      <c r="K13" s="226"/>
    </row>
    <row r="14" spans="1:68" ht="10.15" customHeight="1" x14ac:dyDescent="0.2">
      <c r="A14" s="249"/>
      <c r="B14" s="249"/>
      <c r="C14" s="284"/>
      <c r="D14" s="244" t="s">
        <v>243</v>
      </c>
      <c r="E14" s="281"/>
      <c r="F14" s="249"/>
      <c r="G14" s="249"/>
      <c r="H14" s="250">
        <v>3355</v>
      </c>
      <c r="I14" s="251">
        <f t="shared" si="0"/>
        <v>5.8500000000000003E-2</v>
      </c>
      <c r="J14" s="242"/>
      <c r="K14" s="226"/>
    </row>
    <row r="15" spans="1:68" ht="10.15" customHeight="1" x14ac:dyDescent="0.2">
      <c r="A15" s="249"/>
      <c r="B15" s="249"/>
      <c r="C15" s="284"/>
      <c r="D15" s="244" t="s">
        <v>244</v>
      </c>
      <c r="E15" s="281"/>
      <c r="F15" s="249"/>
      <c r="G15" s="249"/>
      <c r="H15" s="250">
        <v>11328</v>
      </c>
      <c r="I15" s="251">
        <f t="shared" si="0"/>
        <v>0.19769999999999999</v>
      </c>
      <c r="J15" s="253" t="s">
        <v>244</v>
      </c>
      <c r="K15" s="226"/>
    </row>
    <row r="16" spans="1:68" ht="10.15" customHeight="1" x14ac:dyDescent="0.2">
      <c r="A16" s="249"/>
      <c r="B16" s="249"/>
      <c r="C16" s="284"/>
      <c r="D16" s="244" t="s">
        <v>245</v>
      </c>
      <c r="E16" s="281"/>
      <c r="F16" s="249"/>
      <c r="G16" s="249"/>
      <c r="H16" s="250">
        <v>1333</v>
      </c>
      <c r="I16" s="251">
        <f t="shared" si="0"/>
        <v>2.3300000000000001E-2</v>
      </c>
      <c r="J16" s="242"/>
      <c r="K16" s="226"/>
    </row>
    <row r="17" spans="1:11" ht="10.15" customHeight="1" x14ac:dyDescent="0.2">
      <c r="A17" s="249"/>
      <c r="B17" s="249"/>
      <c r="C17" s="284"/>
      <c r="D17" s="254" t="s">
        <v>246</v>
      </c>
      <c r="E17" s="281"/>
      <c r="F17" s="249"/>
      <c r="G17" s="249"/>
      <c r="H17" s="250">
        <v>711</v>
      </c>
      <c r="I17" s="251">
        <f t="shared" si="0"/>
        <v>1.24E-2</v>
      </c>
      <c r="J17" s="242"/>
      <c r="K17" s="226"/>
    </row>
    <row r="18" spans="1:11" ht="10.15" customHeight="1" x14ac:dyDescent="0.2">
      <c r="A18" s="249"/>
      <c r="B18" s="249"/>
      <c r="C18" s="284"/>
      <c r="D18" s="243" t="s">
        <v>33</v>
      </c>
      <c r="E18" s="281"/>
      <c r="F18" s="249"/>
      <c r="G18" s="249"/>
      <c r="H18" s="255">
        <f>SUM(H10:H17)</f>
        <v>57307</v>
      </c>
      <c r="I18" s="256">
        <f>SUM(I10:I17)</f>
        <v>1</v>
      </c>
      <c r="J18" s="242"/>
      <c r="K18" s="226"/>
    </row>
    <row r="19" spans="1:11" ht="6" customHeight="1" x14ac:dyDescent="0.2">
      <c r="A19" s="249"/>
      <c r="B19" s="249"/>
      <c r="C19" s="284"/>
      <c r="D19" s="249"/>
      <c r="E19" s="281"/>
      <c r="F19" s="249"/>
      <c r="G19" s="249"/>
      <c r="H19" s="242"/>
      <c r="I19" s="251"/>
      <c r="J19" s="242"/>
      <c r="K19" s="226"/>
    </row>
    <row r="20" spans="1:11" ht="10.15" customHeight="1" x14ac:dyDescent="0.2">
      <c r="A20" s="243" t="s">
        <v>24</v>
      </c>
      <c r="B20" s="243" t="s">
        <v>247</v>
      </c>
      <c r="C20" s="243" t="s">
        <v>236</v>
      </c>
      <c r="D20" s="244" t="s">
        <v>180</v>
      </c>
      <c r="E20" s="277" t="s">
        <v>248</v>
      </c>
      <c r="F20" s="245">
        <v>4668000</v>
      </c>
      <c r="G20" s="246">
        <v>52274</v>
      </c>
      <c r="H20" s="242"/>
      <c r="I20" s="251"/>
      <c r="J20" s="242"/>
      <c r="K20" s="226"/>
    </row>
    <row r="21" spans="1:11" ht="10.15" customHeight="1" x14ac:dyDescent="0.2">
      <c r="A21" s="248"/>
      <c r="B21" s="248"/>
      <c r="C21" s="261"/>
      <c r="D21" s="244" t="s">
        <v>240</v>
      </c>
      <c r="E21" s="281"/>
      <c r="F21" s="257"/>
      <c r="G21" s="249"/>
      <c r="H21" s="250">
        <v>3490</v>
      </c>
      <c r="I21" s="251">
        <f>ROUND(H21/$H$26,4)</f>
        <v>0.1235</v>
      </c>
      <c r="J21" s="242"/>
      <c r="K21" s="226"/>
    </row>
    <row r="22" spans="1:11" ht="10.15" customHeight="1" x14ac:dyDescent="0.2">
      <c r="A22" s="248"/>
      <c r="B22" s="248"/>
      <c r="C22" s="261"/>
      <c r="D22" s="244" t="s">
        <v>243</v>
      </c>
      <c r="E22" s="281"/>
      <c r="F22" s="257"/>
      <c r="G22" s="249"/>
      <c r="H22" s="250">
        <v>960</v>
      </c>
      <c r="I22" s="251">
        <f>ROUND(H22/$H$26,4)</f>
        <v>3.4000000000000002E-2</v>
      </c>
      <c r="J22" s="242"/>
      <c r="K22" s="226"/>
    </row>
    <row r="23" spans="1:11" ht="10.15" customHeight="1" x14ac:dyDescent="0.2">
      <c r="A23" s="248"/>
      <c r="B23" s="248"/>
      <c r="C23" s="261"/>
      <c r="D23" s="244" t="s">
        <v>241</v>
      </c>
      <c r="E23" s="281"/>
      <c r="F23" s="257"/>
      <c r="G23" s="249"/>
      <c r="H23" s="250">
        <v>12929</v>
      </c>
      <c r="I23" s="251">
        <f>ROUND(H23/$H$26,4)-0.0001</f>
        <v>0.45729999999999998</v>
      </c>
      <c r="J23" s="252" t="s">
        <v>241</v>
      </c>
      <c r="K23" s="226"/>
    </row>
    <row r="24" spans="1:11" ht="10.15" customHeight="1" x14ac:dyDescent="0.2">
      <c r="A24" s="248"/>
      <c r="B24" s="248"/>
      <c r="C24" s="261"/>
      <c r="D24" s="244" t="s">
        <v>242</v>
      </c>
      <c r="E24" s="281"/>
      <c r="F24" s="257"/>
      <c r="G24" s="249"/>
      <c r="H24" s="250">
        <v>10470</v>
      </c>
      <c r="I24" s="251">
        <f>ROUND(H24/$H$26,4)-0.0001</f>
        <v>0.37030000000000002</v>
      </c>
      <c r="J24" s="253" t="s">
        <v>242</v>
      </c>
      <c r="K24" s="226"/>
    </row>
    <row r="25" spans="1:11" ht="10.15" customHeight="1" x14ac:dyDescent="0.2">
      <c r="A25" s="248"/>
      <c r="B25" s="248"/>
      <c r="C25" s="261"/>
      <c r="D25" s="244" t="s">
        <v>244</v>
      </c>
      <c r="E25" s="281"/>
      <c r="F25" s="257"/>
      <c r="G25" s="249"/>
      <c r="H25" s="250">
        <v>420</v>
      </c>
      <c r="I25" s="251">
        <f>ROUND(H25/$H$26,4)</f>
        <v>1.49E-2</v>
      </c>
      <c r="J25" s="253"/>
      <c r="K25" s="226"/>
    </row>
    <row r="26" spans="1:11" ht="10.15" customHeight="1" x14ac:dyDescent="0.2">
      <c r="A26" s="248"/>
      <c r="B26" s="248"/>
      <c r="C26" s="261"/>
      <c r="D26" s="243" t="s">
        <v>33</v>
      </c>
      <c r="E26" s="281"/>
      <c r="F26" s="257"/>
      <c r="G26" s="249"/>
      <c r="H26" s="255">
        <f>SUM(H21:H25)</f>
        <v>28269</v>
      </c>
      <c r="I26" s="256">
        <f>SUM(I21:I25)</f>
        <v>1</v>
      </c>
      <c r="J26" s="253"/>
      <c r="K26" s="226"/>
    </row>
    <row r="27" spans="1:11" ht="6" customHeight="1" x14ac:dyDescent="0.2">
      <c r="A27" s="248"/>
      <c r="B27" s="248"/>
      <c r="C27" s="261"/>
      <c r="D27" s="243"/>
      <c r="E27" s="281"/>
      <c r="F27" s="257"/>
      <c r="G27" s="249"/>
      <c r="H27" s="258"/>
      <c r="I27" s="259"/>
      <c r="J27" s="253"/>
      <c r="K27" s="226"/>
    </row>
    <row r="28" spans="1:11" ht="10.15" customHeight="1" x14ac:dyDescent="0.2">
      <c r="A28" s="243" t="s">
        <v>24</v>
      </c>
      <c r="B28" s="243" t="s">
        <v>249</v>
      </c>
      <c r="C28" s="243" t="s">
        <v>236</v>
      </c>
      <c r="D28" s="244" t="s">
        <v>250</v>
      </c>
      <c r="E28" s="277" t="s">
        <v>251</v>
      </c>
      <c r="F28" s="245">
        <v>10267927</v>
      </c>
      <c r="G28" s="246">
        <v>114570</v>
      </c>
      <c r="H28" s="242"/>
      <c r="I28" s="251"/>
      <c r="J28" s="253"/>
      <c r="K28" s="226"/>
    </row>
    <row r="29" spans="1:11" ht="10.15" customHeight="1" x14ac:dyDescent="0.2">
      <c r="A29" s="249"/>
      <c r="B29" s="249"/>
      <c r="C29" s="284"/>
      <c r="D29" s="244" t="s">
        <v>243</v>
      </c>
      <c r="E29" s="281"/>
      <c r="F29" s="257"/>
      <c r="G29" s="249"/>
      <c r="H29" s="250">
        <v>85450</v>
      </c>
      <c r="I29" s="251">
        <f>ROUND(H29/$H$31,4)</f>
        <v>0.92879999999999996</v>
      </c>
      <c r="J29" s="252" t="s">
        <v>243</v>
      </c>
      <c r="K29" s="226"/>
    </row>
    <row r="30" spans="1:11" ht="10.15" customHeight="1" x14ac:dyDescent="0.2">
      <c r="A30" s="249"/>
      <c r="B30" s="249"/>
      <c r="C30" s="284"/>
      <c r="D30" s="244" t="s">
        <v>242</v>
      </c>
      <c r="E30" s="281"/>
      <c r="F30" s="257"/>
      <c r="G30" s="249"/>
      <c r="H30" s="250">
        <v>6550</v>
      </c>
      <c r="I30" s="251">
        <f>ROUND(H30/$H$31,4)</f>
        <v>7.1199999999999999E-2</v>
      </c>
      <c r="J30" s="253"/>
      <c r="K30" s="226"/>
    </row>
    <row r="31" spans="1:11" ht="10.15" customHeight="1" x14ac:dyDescent="0.2">
      <c r="A31" s="249"/>
      <c r="B31" s="249"/>
      <c r="C31" s="284"/>
      <c r="D31" s="243" t="s">
        <v>33</v>
      </c>
      <c r="E31" s="281"/>
      <c r="F31" s="257"/>
      <c r="G31" s="249"/>
      <c r="H31" s="255">
        <f>SUM(H29:H30)</f>
        <v>92000</v>
      </c>
      <c r="I31" s="256">
        <f>SUM(I29:I30)</f>
        <v>1</v>
      </c>
      <c r="J31" s="253"/>
      <c r="K31" s="226"/>
    </row>
    <row r="32" spans="1:11" ht="6" customHeight="1" x14ac:dyDescent="0.2">
      <c r="A32" s="248"/>
      <c r="B32" s="248"/>
      <c r="C32" s="261"/>
      <c r="D32" s="243"/>
      <c r="E32" s="281"/>
      <c r="F32" s="257"/>
      <c r="G32" s="249"/>
      <c r="H32" s="258"/>
      <c r="I32" s="259"/>
      <c r="J32" s="253"/>
      <c r="K32" s="226"/>
    </row>
    <row r="33" spans="1:11" ht="10.15" customHeight="1" x14ac:dyDescent="0.2">
      <c r="A33" s="243" t="s">
        <v>24</v>
      </c>
      <c r="B33" s="243" t="s">
        <v>252</v>
      </c>
      <c r="C33" s="243" t="s">
        <v>236</v>
      </c>
      <c r="D33" s="244" t="s">
        <v>181</v>
      </c>
      <c r="E33" s="277" t="s">
        <v>253</v>
      </c>
      <c r="F33" s="245">
        <v>2405000</v>
      </c>
      <c r="G33" s="246">
        <v>26557</v>
      </c>
      <c r="H33" s="242"/>
      <c r="I33" s="251"/>
      <c r="J33" s="253"/>
      <c r="K33" s="226"/>
    </row>
    <row r="34" spans="1:11" ht="10.15" customHeight="1" x14ac:dyDescent="0.2">
      <c r="A34" s="248"/>
      <c r="B34" s="248"/>
      <c r="C34" s="261"/>
      <c r="D34" s="244" t="s">
        <v>240</v>
      </c>
      <c r="E34" s="281"/>
      <c r="F34" s="257"/>
      <c r="G34" s="249"/>
      <c r="H34" s="250">
        <v>1000</v>
      </c>
      <c r="I34" s="251">
        <f>ROUND(H34/$H$37,4)</f>
        <v>5.7799999999999997E-2</v>
      </c>
      <c r="J34" s="253"/>
      <c r="K34" s="226"/>
    </row>
    <row r="35" spans="1:11" ht="10.15" customHeight="1" x14ac:dyDescent="0.2">
      <c r="A35" s="248"/>
      <c r="B35" s="248"/>
      <c r="C35" s="261"/>
      <c r="D35" s="244" t="s">
        <v>241</v>
      </c>
      <c r="E35" s="281"/>
      <c r="F35" s="257"/>
      <c r="G35" s="249"/>
      <c r="H35" s="250">
        <v>11190</v>
      </c>
      <c r="I35" s="251">
        <f>ROUND(H35/$H$37,4)</f>
        <v>0.64680000000000004</v>
      </c>
      <c r="J35" s="252" t="s">
        <v>241</v>
      </c>
      <c r="K35" s="226"/>
    </row>
    <row r="36" spans="1:11" ht="10.15" customHeight="1" x14ac:dyDescent="0.2">
      <c r="A36" s="248"/>
      <c r="B36" s="248"/>
      <c r="C36" s="261"/>
      <c r="D36" s="244" t="s">
        <v>242</v>
      </c>
      <c r="E36" s="281"/>
      <c r="F36" s="257"/>
      <c r="G36" s="249"/>
      <c r="H36" s="250">
        <v>5110</v>
      </c>
      <c r="I36" s="251">
        <f>ROUND(H36/$H$37,4)</f>
        <v>0.2954</v>
      </c>
      <c r="J36" s="253" t="s">
        <v>242</v>
      </c>
      <c r="K36" s="226"/>
    </row>
    <row r="37" spans="1:11" ht="10.15" customHeight="1" x14ac:dyDescent="0.2">
      <c r="A37" s="248"/>
      <c r="B37" s="248"/>
      <c r="C37" s="261"/>
      <c r="D37" s="243" t="s">
        <v>33</v>
      </c>
      <c r="E37" s="281"/>
      <c r="F37" s="257"/>
      <c r="G37" s="249"/>
      <c r="H37" s="255">
        <f>SUM(H34:H36)</f>
        <v>17300</v>
      </c>
      <c r="I37" s="256">
        <f>SUM(I34:I36)</f>
        <v>1</v>
      </c>
      <c r="J37" s="253"/>
      <c r="K37" s="226"/>
    </row>
    <row r="38" spans="1:11" ht="6" customHeight="1" x14ac:dyDescent="0.2">
      <c r="A38" s="248"/>
      <c r="B38" s="248"/>
      <c r="C38" s="261"/>
      <c r="D38" s="243"/>
      <c r="E38" s="281"/>
      <c r="F38" s="257"/>
      <c r="G38" s="249"/>
      <c r="H38" s="258"/>
      <c r="I38" s="259"/>
      <c r="J38" s="253"/>
      <c r="K38" s="226"/>
    </row>
    <row r="39" spans="1:11" ht="10.15" customHeight="1" x14ac:dyDescent="0.2">
      <c r="A39" s="243" t="s">
        <v>24</v>
      </c>
      <c r="B39" s="243" t="s">
        <v>254</v>
      </c>
      <c r="C39" s="243" t="s">
        <v>236</v>
      </c>
      <c r="D39" s="254" t="s">
        <v>255</v>
      </c>
      <c r="E39" s="277" t="s">
        <v>256</v>
      </c>
      <c r="F39" s="245">
        <v>1920000</v>
      </c>
      <c r="G39" s="246">
        <v>23725</v>
      </c>
      <c r="H39" s="242"/>
      <c r="I39" s="251"/>
      <c r="J39" s="253"/>
      <c r="K39" s="226"/>
    </row>
    <row r="40" spans="1:11" ht="10.15" customHeight="1" x14ac:dyDescent="0.2">
      <c r="A40" s="248"/>
      <c r="B40" s="248"/>
      <c r="C40" s="261"/>
      <c r="D40" s="244" t="s">
        <v>243</v>
      </c>
      <c r="E40" s="281"/>
      <c r="F40" s="257"/>
      <c r="G40" s="249"/>
      <c r="H40" s="250">
        <v>925</v>
      </c>
      <c r="I40" s="251">
        <f>ROUND(H40/$H$43,4)</f>
        <v>6.7599999999999993E-2</v>
      </c>
      <c r="J40" s="253"/>
      <c r="K40" s="226"/>
    </row>
    <row r="41" spans="1:11" ht="10.15" customHeight="1" x14ac:dyDescent="0.2">
      <c r="A41" s="248"/>
      <c r="B41" s="248"/>
      <c r="C41" s="261"/>
      <c r="D41" s="244" t="s">
        <v>241</v>
      </c>
      <c r="E41" s="281"/>
      <c r="F41" s="257"/>
      <c r="G41" s="249"/>
      <c r="H41" s="250">
        <v>7350</v>
      </c>
      <c r="I41" s="251">
        <f>ROUND(H41/$H$43,4)</f>
        <v>0.53690000000000004</v>
      </c>
      <c r="J41" s="252" t="s">
        <v>241</v>
      </c>
      <c r="K41" s="226"/>
    </row>
    <row r="42" spans="1:11" ht="10.15" customHeight="1" x14ac:dyDescent="0.2">
      <c r="A42" s="248"/>
      <c r="B42" s="248"/>
      <c r="C42" s="261"/>
      <c r="D42" s="244" t="s">
        <v>242</v>
      </c>
      <c r="E42" s="281"/>
      <c r="F42" s="257"/>
      <c r="G42" s="249"/>
      <c r="H42" s="250">
        <v>5415</v>
      </c>
      <c r="I42" s="251">
        <f>ROUND(H42/$H$43,4)</f>
        <v>0.39550000000000002</v>
      </c>
      <c r="J42" s="252" t="s">
        <v>242</v>
      </c>
      <c r="K42" s="226"/>
    </row>
    <row r="43" spans="1:11" ht="10.15" customHeight="1" x14ac:dyDescent="0.2">
      <c r="A43" s="248"/>
      <c r="B43" s="248"/>
      <c r="C43" s="261"/>
      <c r="D43" s="243" t="s">
        <v>33</v>
      </c>
      <c r="E43" s="281"/>
      <c r="F43" s="257"/>
      <c r="G43" s="249"/>
      <c r="H43" s="255">
        <f>SUM(H40:H42)</f>
        <v>13690</v>
      </c>
      <c r="I43" s="256">
        <f>SUM(I40:I42)</f>
        <v>1</v>
      </c>
      <c r="J43" s="253"/>
      <c r="K43" s="226"/>
    </row>
    <row r="44" spans="1:11" ht="6" customHeight="1" x14ac:dyDescent="0.2">
      <c r="A44" s="248"/>
      <c r="B44" s="248"/>
      <c r="C44" s="261"/>
      <c r="D44" s="243"/>
      <c r="E44" s="281"/>
      <c r="F44" s="257"/>
      <c r="G44" s="249"/>
      <c r="H44" s="258"/>
      <c r="I44" s="259"/>
      <c r="J44" s="253"/>
      <c r="K44" s="226"/>
    </row>
    <row r="45" spans="1:11" ht="10.15" customHeight="1" x14ac:dyDescent="0.2">
      <c r="A45" s="243" t="s">
        <v>24</v>
      </c>
      <c r="B45" s="243" t="s">
        <v>257</v>
      </c>
      <c r="C45" s="243" t="s">
        <v>236</v>
      </c>
      <c r="D45" s="244" t="s">
        <v>258</v>
      </c>
      <c r="E45" s="277" t="s">
        <v>259</v>
      </c>
      <c r="F45" s="245">
        <v>485000</v>
      </c>
      <c r="G45" s="246">
        <v>4581</v>
      </c>
      <c r="H45" s="242"/>
      <c r="I45" s="251"/>
      <c r="J45" s="253"/>
      <c r="K45" s="226"/>
    </row>
    <row r="46" spans="1:11" ht="10.15" customHeight="1" x14ac:dyDescent="0.2">
      <c r="A46" s="248"/>
      <c r="B46" s="248"/>
      <c r="C46" s="261"/>
      <c r="D46" s="244" t="s">
        <v>241</v>
      </c>
      <c r="E46" s="281"/>
      <c r="F46" s="257"/>
      <c r="G46" s="249"/>
      <c r="H46" s="250">
        <v>1976</v>
      </c>
      <c r="I46" s="251">
        <f>ROUND(H46/$H$49,4)</f>
        <v>0.54649999999999999</v>
      </c>
      <c r="J46" s="252" t="s">
        <v>241</v>
      </c>
      <c r="K46" s="226"/>
    </row>
    <row r="47" spans="1:11" ht="10.15" customHeight="1" x14ac:dyDescent="0.2">
      <c r="A47" s="248"/>
      <c r="B47" s="248"/>
      <c r="C47" s="261"/>
      <c r="D47" s="244" t="s">
        <v>242</v>
      </c>
      <c r="E47" s="281"/>
      <c r="F47" s="257"/>
      <c r="G47" s="249"/>
      <c r="H47" s="250">
        <v>600</v>
      </c>
      <c r="I47" s="251">
        <f>ROUND(H47/$H$49,4)</f>
        <v>0.16589999999999999</v>
      </c>
      <c r="J47" s="253"/>
      <c r="K47" s="226"/>
    </row>
    <row r="48" spans="1:11" ht="10.15" customHeight="1" x14ac:dyDescent="0.2">
      <c r="A48" s="248"/>
      <c r="B48" s="248"/>
      <c r="C48" s="261"/>
      <c r="D48" s="244" t="s">
        <v>260</v>
      </c>
      <c r="E48" s="281"/>
      <c r="F48" s="257"/>
      <c r="G48" s="249"/>
      <c r="H48" s="250">
        <v>1040</v>
      </c>
      <c r="I48" s="251">
        <f>ROUND(H48/$H$49,4)</f>
        <v>0.28760000000000002</v>
      </c>
      <c r="J48" s="253"/>
      <c r="K48" s="226"/>
    </row>
    <row r="49" spans="1:11" ht="10.15" customHeight="1" x14ac:dyDescent="0.2">
      <c r="A49" s="248"/>
      <c r="B49" s="248"/>
      <c r="C49" s="261"/>
      <c r="D49" s="243" t="s">
        <v>33</v>
      </c>
      <c r="E49" s="281"/>
      <c r="F49" s="257"/>
      <c r="G49" s="249"/>
      <c r="H49" s="255">
        <f>SUM(H46:H48)</f>
        <v>3616</v>
      </c>
      <c r="I49" s="256">
        <f>SUM(I46:I48)</f>
        <v>1</v>
      </c>
      <c r="J49" s="253"/>
      <c r="K49" s="226"/>
    </row>
    <row r="50" spans="1:11" ht="6" customHeight="1" x14ac:dyDescent="0.2">
      <c r="A50" s="248"/>
      <c r="B50" s="248"/>
      <c r="C50" s="261"/>
      <c r="D50" s="243"/>
      <c r="E50" s="281"/>
      <c r="F50" s="257"/>
      <c r="G50" s="249"/>
      <c r="H50" s="258"/>
      <c r="I50" s="259"/>
      <c r="J50" s="253"/>
      <c r="K50" s="226"/>
    </row>
    <row r="51" spans="1:11" ht="10.15" customHeight="1" x14ac:dyDescent="0.2">
      <c r="A51" s="243" t="s">
        <v>24</v>
      </c>
      <c r="B51" s="243" t="s">
        <v>261</v>
      </c>
      <c r="C51" s="243" t="s">
        <v>236</v>
      </c>
      <c r="D51" s="244" t="s">
        <v>183</v>
      </c>
      <c r="E51" s="277" t="s">
        <v>262</v>
      </c>
      <c r="F51" s="245">
        <v>9838000</v>
      </c>
      <c r="G51" s="246">
        <v>98517</v>
      </c>
      <c r="H51" s="242"/>
      <c r="I51" s="251"/>
      <c r="J51" s="253"/>
      <c r="K51" s="226"/>
    </row>
    <row r="52" spans="1:11" ht="10.15" customHeight="1" x14ac:dyDescent="0.2">
      <c r="A52" s="248"/>
      <c r="B52" s="248"/>
      <c r="C52" s="261"/>
      <c r="D52" s="244" t="s">
        <v>263</v>
      </c>
      <c r="E52" s="281"/>
      <c r="F52" s="257"/>
      <c r="G52" s="249"/>
      <c r="H52" s="250">
        <v>530</v>
      </c>
      <c r="I52" s="251">
        <f>ROUND(H52/$H$57,4)</f>
        <v>8.6E-3</v>
      </c>
      <c r="J52" s="253"/>
      <c r="K52" s="226"/>
    </row>
    <row r="53" spans="1:11" ht="10.15" customHeight="1" x14ac:dyDescent="0.2">
      <c r="A53" s="248"/>
      <c r="B53" s="248"/>
      <c r="C53" s="261"/>
      <c r="D53" s="244" t="s">
        <v>240</v>
      </c>
      <c r="E53" s="281"/>
      <c r="F53" s="257"/>
      <c r="G53" s="249"/>
      <c r="H53" s="250">
        <v>4800</v>
      </c>
      <c r="I53" s="251">
        <f>ROUND(H53/$H$57,4)</f>
        <v>7.8E-2</v>
      </c>
      <c r="J53" s="253"/>
      <c r="K53" s="226"/>
    </row>
    <row r="54" spans="1:11" ht="10.15" customHeight="1" x14ac:dyDescent="0.2">
      <c r="A54" s="248"/>
      <c r="B54" s="248"/>
      <c r="C54" s="261"/>
      <c r="D54" s="244" t="s">
        <v>241</v>
      </c>
      <c r="E54" s="281"/>
      <c r="F54" s="257"/>
      <c r="G54" s="249"/>
      <c r="H54" s="250">
        <v>40388</v>
      </c>
      <c r="I54" s="251">
        <f>ROUND(H54/$H$57,4)</f>
        <v>0.65590000000000004</v>
      </c>
      <c r="J54" s="252" t="s">
        <v>241</v>
      </c>
      <c r="K54" s="226"/>
    </row>
    <row r="55" spans="1:11" ht="10.15" customHeight="1" x14ac:dyDescent="0.2">
      <c r="A55" s="248"/>
      <c r="B55" s="248"/>
      <c r="C55" s="261"/>
      <c r="D55" s="244" t="s">
        <v>242</v>
      </c>
      <c r="E55" s="281"/>
      <c r="F55" s="257"/>
      <c r="G55" s="249"/>
      <c r="H55" s="250">
        <v>10555</v>
      </c>
      <c r="I55" s="251">
        <f>ROUND(H55/$H$57,4)</f>
        <v>0.1714</v>
      </c>
      <c r="J55" s="253"/>
      <c r="K55" s="226"/>
    </row>
    <row r="56" spans="1:11" ht="10.15" customHeight="1" x14ac:dyDescent="0.2">
      <c r="A56" s="248"/>
      <c r="B56" s="248"/>
      <c r="C56" s="261"/>
      <c r="D56" s="244" t="s">
        <v>264</v>
      </c>
      <c r="E56" s="281"/>
      <c r="F56" s="257"/>
      <c r="G56" s="249"/>
      <c r="H56" s="250">
        <v>5300</v>
      </c>
      <c r="I56" s="251">
        <f>ROUND(H56/$H$57,4)</f>
        <v>8.6099999999999996E-2</v>
      </c>
      <c r="J56" s="253"/>
      <c r="K56" s="226"/>
    </row>
    <row r="57" spans="1:11" ht="10.15" customHeight="1" x14ac:dyDescent="0.2">
      <c r="A57" s="248"/>
      <c r="B57" s="248"/>
      <c r="C57" s="261"/>
      <c r="D57" s="243" t="s">
        <v>33</v>
      </c>
      <c r="E57" s="281"/>
      <c r="F57" s="257"/>
      <c r="G57" s="249"/>
      <c r="H57" s="255">
        <f>SUM(H52:H56)</f>
        <v>61573</v>
      </c>
      <c r="I57" s="256">
        <f>SUM(I52:I56)</f>
        <v>1</v>
      </c>
      <c r="J57" s="253"/>
      <c r="K57" s="226"/>
    </row>
    <row r="58" spans="1:11" ht="6" customHeight="1" x14ac:dyDescent="0.2">
      <c r="A58" s="248"/>
      <c r="B58" s="248"/>
      <c r="C58" s="261"/>
      <c r="D58" s="243"/>
      <c r="E58" s="281"/>
      <c r="F58" s="257"/>
      <c r="G58" s="249"/>
      <c r="H58" s="258"/>
      <c r="I58" s="259"/>
      <c r="J58" s="253"/>
      <c r="K58" s="226"/>
    </row>
    <row r="59" spans="1:11" ht="10.15" customHeight="1" x14ac:dyDescent="0.2">
      <c r="A59" s="243" t="s">
        <v>24</v>
      </c>
      <c r="B59" s="243" t="s">
        <v>265</v>
      </c>
      <c r="C59" s="243" t="s">
        <v>236</v>
      </c>
      <c r="D59" s="244" t="s">
        <v>184</v>
      </c>
      <c r="E59" s="277" t="s">
        <v>266</v>
      </c>
      <c r="F59" s="245">
        <v>8337000</v>
      </c>
      <c r="G59" s="246">
        <v>104756</v>
      </c>
      <c r="H59" s="242"/>
      <c r="I59" s="242"/>
      <c r="J59" s="253"/>
      <c r="K59" s="226"/>
    </row>
    <row r="60" spans="1:11" ht="10.15" customHeight="1" x14ac:dyDescent="0.2">
      <c r="A60" s="249"/>
      <c r="B60" s="249"/>
      <c r="C60" s="284"/>
      <c r="D60" s="244" t="s">
        <v>263</v>
      </c>
      <c r="E60" s="281"/>
      <c r="F60" s="257"/>
      <c r="G60" s="249"/>
      <c r="H60" s="250">
        <v>2100</v>
      </c>
      <c r="I60" s="251">
        <f>ROUND(H60/$H$65,4)</f>
        <v>3.5799999999999998E-2</v>
      </c>
      <c r="J60" s="253"/>
      <c r="K60" s="226"/>
    </row>
    <row r="61" spans="1:11" ht="10.15" customHeight="1" x14ac:dyDescent="0.2">
      <c r="A61" s="249"/>
      <c r="B61" s="249"/>
      <c r="C61" s="284"/>
      <c r="D61" s="244" t="s">
        <v>240</v>
      </c>
      <c r="E61" s="281"/>
      <c r="F61" s="257"/>
      <c r="G61" s="249"/>
      <c r="H61" s="250">
        <v>5128</v>
      </c>
      <c r="I61" s="251">
        <f>ROUND(H61/$H$65,4)</f>
        <v>8.7400000000000005E-2</v>
      </c>
      <c r="J61" s="253"/>
      <c r="K61" s="226"/>
    </row>
    <row r="62" spans="1:11" ht="10.15" customHeight="1" x14ac:dyDescent="0.2">
      <c r="A62" s="249"/>
      <c r="B62" s="249"/>
      <c r="C62" s="284"/>
      <c r="D62" s="244" t="s">
        <v>241</v>
      </c>
      <c r="E62" s="281"/>
      <c r="F62" s="257"/>
      <c r="G62" s="249"/>
      <c r="H62" s="250">
        <v>35195</v>
      </c>
      <c r="I62" s="251">
        <f>ROUND(H62/$H$65,4)</f>
        <v>0.59970000000000001</v>
      </c>
      <c r="J62" s="252" t="s">
        <v>241</v>
      </c>
      <c r="K62" s="226"/>
    </row>
    <row r="63" spans="1:11" ht="10.15" customHeight="1" x14ac:dyDescent="0.2">
      <c r="A63" s="249"/>
      <c r="B63" s="249"/>
      <c r="C63" s="284"/>
      <c r="D63" s="244" t="s">
        <v>242</v>
      </c>
      <c r="E63" s="281"/>
      <c r="F63" s="257"/>
      <c r="G63" s="249"/>
      <c r="H63" s="250">
        <v>8264</v>
      </c>
      <c r="I63" s="251">
        <f>ROUND(H63/$H$65,4)</f>
        <v>0.14080000000000001</v>
      </c>
      <c r="J63" s="253"/>
      <c r="K63" s="226"/>
    </row>
    <row r="64" spans="1:11" ht="10.15" customHeight="1" x14ac:dyDescent="0.2">
      <c r="A64" s="249"/>
      <c r="B64" s="249"/>
      <c r="C64" s="284"/>
      <c r="D64" s="254" t="s">
        <v>246</v>
      </c>
      <c r="E64" s="281"/>
      <c r="F64" s="257"/>
      <c r="G64" s="249"/>
      <c r="H64" s="250">
        <v>8000</v>
      </c>
      <c r="I64" s="251">
        <f>ROUND(H64/$H$65,4)</f>
        <v>0.1363</v>
      </c>
      <c r="J64" s="253"/>
      <c r="K64" s="226"/>
    </row>
    <row r="65" spans="1:11" ht="10.15" customHeight="1" x14ac:dyDescent="0.2">
      <c r="A65" s="249"/>
      <c r="B65" s="249"/>
      <c r="C65" s="284"/>
      <c r="D65" s="243" t="s">
        <v>33</v>
      </c>
      <c r="E65" s="281"/>
      <c r="F65" s="257"/>
      <c r="G65" s="249"/>
      <c r="H65" s="255">
        <f>SUM(H60:H64)</f>
        <v>58687</v>
      </c>
      <c r="I65" s="256">
        <f>SUM(I60:I64)</f>
        <v>1</v>
      </c>
      <c r="J65" s="253"/>
      <c r="K65" s="226"/>
    </row>
    <row r="66" spans="1:11" ht="6" customHeight="1" x14ac:dyDescent="0.2">
      <c r="A66" s="249"/>
      <c r="B66" s="249"/>
      <c r="C66" s="284"/>
      <c r="D66" s="249"/>
      <c r="E66" s="281"/>
      <c r="F66" s="257"/>
      <c r="G66" s="249"/>
      <c r="H66" s="242"/>
      <c r="I66" s="251"/>
      <c r="J66" s="253"/>
      <c r="K66" s="226"/>
    </row>
    <row r="67" spans="1:11" ht="10.15" customHeight="1" x14ac:dyDescent="0.2">
      <c r="A67" s="243" t="s">
        <v>24</v>
      </c>
      <c r="B67" s="243" t="s">
        <v>267</v>
      </c>
      <c r="C67" s="243" t="s">
        <v>236</v>
      </c>
      <c r="D67" s="254" t="s">
        <v>268</v>
      </c>
      <c r="E67" s="277" t="s">
        <v>269</v>
      </c>
      <c r="F67" s="245">
        <v>4974804</v>
      </c>
      <c r="G67" s="246">
        <v>54191</v>
      </c>
      <c r="H67" s="242"/>
      <c r="I67" s="242"/>
      <c r="J67" s="253"/>
      <c r="K67" s="226"/>
    </row>
    <row r="68" spans="1:11" ht="10.15" customHeight="1" x14ac:dyDescent="0.2">
      <c r="A68" s="248"/>
      <c r="B68" s="248"/>
      <c r="C68" s="261"/>
      <c r="D68" s="244" t="s">
        <v>245</v>
      </c>
      <c r="E68" s="281"/>
      <c r="F68" s="257"/>
      <c r="G68" s="249"/>
      <c r="H68" s="255">
        <v>40326</v>
      </c>
      <c r="I68" s="256">
        <f>ROUND(H68/$H$68,4)</f>
        <v>1</v>
      </c>
      <c r="J68" s="252" t="s">
        <v>245</v>
      </c>
      <c r="K68" s="226"/>
    </row>
    <row r="69" spans="1:11" ht="6" customHeight="1" x14ac:dyDescent="0.2">
      <c r="A69" s="248"/>
      <c r="B69" s="248"/>
      <c r="C69" s="261"/>
      <c r="D69" s="244"/>
      <c r="E69" s="281"/>
      <c r="F69" s="257"/>
      <c r="G69" s="249"/>
      <c r="H69" s="258"/>
      <c r="I69" s="259"/>
      <c r="J69" s="252"/>
      <c r="K69" s="226"/>
    </row>
    <row r="70" spans="1:11" ht="10.15" customHeight="1" x14ac:dyDescent="0.2">
      <c r="A70" s="243" t="s">
        <v>24</v>
      </c>
      <c r="B70" s="243" t="s">
        <v>270</v>
      </c>
      <c r="C70" s="243" t="s">
        <v>236</v>
      </c>
      <c r="D70" s="244" t="s">
        <v>185</v>
      </c>
      <c r="E70" s="277" t="s">
        <v>269</v>
      </c>
      <c r="F70" s="245">
        <v>3202000</v>
      </c>
      <c r="G70" s="246">
        <v>19845</v>
      </c>
      <c r="H70" s="242"/>
      <c r="I70" s="242"/>
      <c r="J70" s="253"/>
      <c r="K70" s="226"/>
    </row>
    <row r="71" spans="1:11" ht="10.15" customHeight="1" x14ac:dyDescent="0.2">
      <c r="A71" s="248"/>
      <c r="B71" s="248"/>
      <c r="C71" s="261"/>
      <c r="D71" s="244" t="s">
        <v>241</v>
      </c>
      <c r="E71" s="281"/>
      <c r="F71" s="257"/>
      <c r="G71" s="249"/>
      <c r="H71" s="250">
        <v>9290</v>
      </c>
      <c r="I71" s="251">
        <f>ROUND(H71/$H$74,4)</f>
        <v>0.70220000000000005</v>
      </c>
      <c r="J71" s="252" t="s">
        <v>241</v>
      </c>
      <c r="K71" s="226"/>
    </row>
    <row r="72" spans="1:11" ht="10.15" customHeight="1" x14ac:dyDescent="0.2">
      <c r="A72" s="248"/>
      <c r="B72" s="248"/>
      <c r="C72" s="261"/>
      <c r="D72" s="244" t="s">
        <v>242</v>
      </c>
      <c r="E72" s="281"/>
      <c r="F72" s="257"/>
      <c r="G72" s="249"/>
      <c r="H72" s="250">
        <v>2960</v>
      </c>
      <c r="I72" s="251">
        <f>ROUND(H72/$H$74,4)</f>
        <v>0.22370000000000001</v>
      </c>
      <c r="J72" s="253" t="s">
        <v>242</v>
      </c>
      <c r="K72" s="226"/>
    </row>
    <row r="73" spans="1:11" ht="10.15" customHeight="1" x14ac:dyDescent="0.2">
      <c r="A73" s="248"/>
      <c r="B73" s="248"/>
      <c r="C73" s="261"/>
      <c r="D73" s="254" t="s">
        <v>246</v>
      </c>
      <c r="E73" s="281"/>
      <c r="F73" s="257"/>
      <c r="G73" s="249"/>
      <c r="H73" s="250">
        <v>980</v>
      </c>
      <c r="I73" s="251">
        <f>ROUND(H73/$H$74,4)</f>
        <v>7.4099999999999999E-2</v>
      </c>
      <c r="J73" s="253"/>
      <c r="K73" s="226"/>
    </row>
    <row r="74" spans="1:11" ht="10.15" customHeight="1" x14ac:dyDescent="0.2">
      <c r="A74" s="248"/>
      <c r="B74" s="248"/>
      <c r="C74" s="261"/>
      <c r="D74" s="243" t="s">
        <v>33</v>
      </c>
      <c r="E74" s="281"/>
      <c r="F74" s="257"/>
      <c r="G74" s="249"/>
      <c r="H74" s="255">
        <f>SUM(H71:H73)</f>
        <v>13230</v>
      </c>
      <c r="I74" s="256">
        <f>ROUND(H74/$H$74,4)</f>
        <v>1</v>
      </c>
      <c r="J74" s="253"/>
      <c r="K74" s="226"/>
    </row>
    <row r="75" spans="1:11" ht="6" customHeight="1" x14ac:dyDescent="0.2">
      <c r="A75" s="248"/>
      <c r="B75" s="248"/>
      <c r="C75" s="261"/>
      <c r="D75" s="243"/>
      <c r="E75" s="281"/>
      <c r="F75" s="257"/>
      <c r="G75" s="249"/>
      <c r="H75" s="258"/>
      <c r="I75" s="259"/>
      <c r="J75" s="253"/>
      <c r="K75" s="226"/>
    </row>
    <row r="76" spans="1:11" ht="10.15" customHeight="1" x14ac:dyDescent="0.2">
      <c r="A76" s="243" t="s">
        <v>24</v>
      </c>
      <c r="B76" s="243" t="s">
        <v>271</v>
      </c>
      <c r="C76" s="243" t="s">
        <v>236</v>
      </c>
      <c r="D76" s="244" t="s">
        <v>212</v>
      </c>
      <c r="E76" s="277" t="s">
        <v>272</v>
      </c>
      <c r="F76" s="245">
        <v>991272</v>
      </c>
      <c r="G76" s="246">
        <v>9997</v>
      </c>
      <c r="H76" s="242"/>
      <c r="I76" s="242"/>
      <c r="J76" s="253"/>
      <c r="K76" s="226"/>
    </row>
    <row r="77" spans="1:11" ht="10.15" customHeight="1" x14ac:dyDescent="0.2">
      <c r="A77" s="248"/>
      <c r="B77" s="248"/>
      <c r="C77" s="261"/>
      <c r="D77" s="244" t="s">
        <v>245</v>
      </c>
      <c r="E77" s="281"/>
      <c r="F77" s="257"/>
      <c r="G77" s="249"/>
      <c r="H77" s="255">
        <v>6665</v>
      </c>
      <c r="I77" s="256">
        <f>ROUND(H77/$H$77,4)</f>
        <v>1</v>
      </c>
      <c r="J77" s="252" t="s">
        <v>245</v>
      </c>
      <c r="K77" s="226"/>
    </row>
    <row r="78" spans="1:11" ht="6" customHeight="1" x14ac:dyDescent="0.2">
      <c r="A78" s="248"/>
      <c r="B78" s="248"/>
      <c r="C78" s="261"/>
      <c r="D78" s="249"/>
      <c r="E78" s="281"/>
      <c r="F78" s="257"/>
      <c r="G78" s="249"/>
      <c r="H78" s="242"/>
      <c r="I78" s="242"/>
      <c r="J78" s="253"/>
      <c r="K78" s="226"/>
    </row>
    <row r="79" spans="1:11" ht="10.15" customHeight="1" x14ac:dyDescent="0.2">
      <c r="A79" s="243" t="s">
        <v>24</v>
      </c>
      <c r="B79" s="243" t="s">
        <v>273</v>
      </c>
      <c r="C79" s="243" t="s">
        <v>236</v>
      </c>
      <c r="D79" s="244" t="s">
        <v>187</v>
      </c>
      <c r="E79" s="277" t="s">
        <v>274</v>
      </c>
      <c r="F79" s="245">
        <v>6615900</v>
      </c>
      <c r="G79" s="246">
        <v>69820</v>
      </c>
      <c r="H79" s="242"/>
      <c r="I79" s="242"/>
      <c r="J79" s="253"/>
      <c r="K79" s="226"/>
    </row>
    <row r="80" spans="1:11" ht="10.15" customHeight="1" x14ac:dyDescent="0.2">
      <c r="A80" s="248"/>
      <c r="B80" s="248"/>
      <c r="C80" s="261"/>
      <c r="D80" s="244" t="s">
        <v>263</v>
      </c>
      <c r="E80" s="281"/>
      <c r="F80" s="257"/>
      <c r="G80" s="249"/>
      <c r="H80" s="250">
        <v>1887</v>
      </c>
      <c r="I80" s="251">
        <f t="shared" ref="I80:I85" si="1">ROUND(H80/$H$86,4)</f>
        <v>4.1500000000000002E-2</v>
      </c>
      <c r="J80" s="253"/>
      <c r="K80" s="226"/>
    </row>
    <row r="81" spans="1:11" ht="10.15" customHeight="1" x14ac:dyDescent="0.2">
      <c r="A81" s="248"/>
      <c r="B81" s="248"/>
      <c r="C81" s="261"/>
      <c r="D81" s="244" t="s">
        <v>240</v>
      </c>
      <c r="E81" s="281"/>
      <c r="F81" s="257"/>
      <c r="G81" s="249"/>
      <c r="H81" s="250">
        <v>5619</v>
      </c>
      <c r="I81" s="251">
        <f t="shared" si="1"/>
        <v>0.1236</v>
      </c>
      <c r="J81" s="253"/>
      <c r="K81" s="226"/>
    </row>
    <row r="82" spans="1:11" ht="10.15" customHeight="1" x14ac:dyDescent="0.2">
      <c r="A82" s="248"/>
      <c r="B82" s="248"/>
      <c r="C82" s="261"/>
      <c r="D82" s="244" t="s">
        <v>243</v>
      </c>
      <c r="E82" s="281"/>
      <c r="F82" s="257"/>
      <c r="G82" s="249"/>
      <c r="H82" s="250">
        <v>1082</v>
      </c>
      <c r="I82" s="251">
        <f t="shared" si="1"/>
        <v>2.3800000000000002E-2</v>
      </c>
      <c r="J82" s="253"/>
      <c r="K82" s="226"/>
    </row>
    <row r="83" spans="1:11" ht="10.15" customHeight="1" x14ac:dyDescent="0.2">
      <c r="A83" s="248"/>
      <c r="B83" s="248"/>
      <c r="C83" s="261"/>
      <c r="D83" s="244" t="s">
        <v>241</v>
      </c>
      <c r="E83" s="281"/>
      <c r="F83" s="257"/>
      <c r="G83" s="249"/>
      <c r="H83" s="250">
        <v>30132</v>
      </c>
      <c r="I83" s="251">
        <f t="shared" si="1"/>
        <v>0.66259999999999997</v>
      </c>
      <c r="J83" s="252" t="s">
        <v>241</v>
      </c>
      <c r="K83" s="226"/>
    </row>
    <row r="84" spans="1:11" ht="10.15" customHeight="1" x14ac:dyDescent="0.2">
      <c r="A84" s="248"/>
      <c r="B84" s="248"/>
      <c r="C84" s="261"/>
      <c r="D84" s="244" t="s">
        <v>242</v>
      </c>
      <c r="E84" s="281"/>
      <c r="F84" s="257"/>
      <c r="G84" s="249"/>
      <c r="H84" s="250">
        <v>6020</v>
      </c>
      <c r="I84" s="251">
        <f t="shared" si="1"/>
        <v>0.13239999999999999</v>
      </c>
      <c r="J84" s="253"/>
      <c r="K84" s="226"/>
    </row>
    <row r="85" spans="1:11" ht="10.15" customHeight="1" x14ac:dyDescent="0.2">
      <c r="A85" s="248"/>
      <c r="B85" s="248"/>
      <c r="C85" s="261"/>
      <c r="D85" s="254" t="s">
        <v>246</v>
      </c>
      <c r="E85" s="281"/>
      <c r="F85" s="257"/>
      <c r="G85" s="249"/>
      <c r="H85" s="250">
        <v>734</v>
      </c>
      <c r="I85" s="251">
        <f t="shared" si="1"/>
        <v>1.61E-2</v>
      </c>
      <c r="J85" s="253"/>
      <c r="K85" s="226"/>
    </row>
    <row r="86" spans="1:11" ht="10.15" customHeight="1" x14ac:dyDescent="0.2">
      <c r="A86" s="248"/>
      <c r="B86" s="248"/>
      <c r="C86" s="261"/>
      <c r="D86" s="243" t="s">
        <v>33</v>
      </c>
      <c r="E86" s="281"/>
      <c r="F86" s="257"/>
      <c r="G86" s="249"/>
      <c r="H86" s="255">
        <f>SUM(H80:H85)</f>
        <v>45474</v>
      </c>
      <c r="I86" s="256">
        <f>SUM(I80:I85)</f>
        <v>0.99999999999999989</v>
      </c>
      <c r="J86" s="253"/>
      <c r="K86" s="226"/>
    </row>
    <row r="87" spans="1:11" ht="6" customHeight="1" x14ac:dyDescent="0.2">
      <c r="A87" s="248"/>
      <c r="B87" s="248"/>
      <c r="C87" s="261"/>
      <c r="D87" s="243"/>
      <c r="E87" s="281"/>
      <c r="F87" s="257"/>
      <c r="G87" s="249"/>
      <c r="H87" s="258"/>
      <c r="I87" s="259"/>
      <c r="J87" s="253"/>
      <c r="K87" s="226"/>
    </row>
    <row r="88" spans="1:11" ht="10.15" customHeight="1" x14ac:dyDescent="0.2">
      <c r="A88" s="243" t="s">
        <v>24</v>
      </c>
      <c r="B88" s="243" t="s">
        <v>275</v>
      </c>
      <c r="C88" s="243" t="s">
        <v>236</v>
      </c>
      <c r="D88" s="244" t="s">
        <v>88</v>
      </c>
      <c r="E88" s="277" t="s">
        <v>276</v>
      </c>
      <c r="F88" s="245">
        <v>4562000</v>
      </c>
      <c r="G88" s="246">
        <v>57629</v>
      </c>
      <c r="H88" s="242"/>
      <c r="I88" s="242"/>
      <c r="J88" s="253"/>
      <c r="K88" s="226"/>
    </row>
    <row r="89" spans="1:11" ht="10.15" customHeight="1" x14ac:dyDescent="0.2">
      <c r="A89" s="248"/>
      <c r="B89" s="248"/>
      <c r="C89" s="261"/>
      <c r="D89" s="244" t="s">
        <v>242</v>
      </c>
      <c r="E89" s="281"/>
      <c r="F89" s="257"/>
      <c r="G89" s="249"/>
      <c r="H89" s="250">
        <v>832</v>
      </c>
      <c r="I89" s="251">
        <f>ROUND(H89/$H$92,4)</f>
        <v>1.83E-2</v>
      </c>
      <c r="J89" s="253"/>
      <c r="K89" s="226"/>
    </row>
    <row r="90" spans="1:11" ht="10.15" customHeight="1" x14ac:dyDescent="0.2">
      <c r="A90" s="248"/>
      <c r="B90" s="248"/>
      <c r="C90" s="261"/>
      <c r="D90" s="244" t="s">
        <v>245</v>
      </c>
      <c r="E90" s="281"/>
      <c r="F90" s="257"/>
      <c r="G90" s="249"/>
      <c r="H90" s="250">
        <v>43566</v>
      </c>
      <c r="I90" s="251">
        <f>ROUND(H90/$H$92,4)</f>
        <v>0.95599999999999996</v>
      </c>
      <c r="J90" s="252" t="s">
        <v>245</v>
      </c>
      <c r="K90" s="226"/>
    </row>
    <row r="91" spans="1:11" ht="10.15" customHeight="1" x14ac:dyDescent="0.2">
      <c r="A91" s="248"/>
      <c r="B91" s="248"/>
      <c r="C91" s="261"/>
      <c r="D91" s="254" t="s">
        <v>246</v>
      </c>
      <c r="E91" s="281"/>
      <c r="F91" s="257"/>
      <c r="G91" s="249"/>
      <c r="H91" s="250">
        <v>1173</v>
      </c>
      <c r="I91" s="251">
        <f>ROUND(H91/$H$92,4)</f>
        <v>2.5700000000000001E-2</v>
      </c>
      <c r="J91" s="253"/>
      <c r="K91" s="226"/>
    </row>
    <row r="92" spans="1:11" ht="10.15" customHeight="1" x14ac:dyDescent="0.2">
      <c r="A92" s="248"/>
      <c r="B92" s="248"/>
      <c r="C92" s="261"/>
      <c r="D92" s="243" t="s">
        <v>33</v>
      </c>
      <c r="E92" s="281"/>
      <c r="F92" s="257"/>
      <c r="G92" s="249"/>
      <c r="H92" s="255">
        <f>SUM(H89:H91)</f>
        <v>45571</v>
      </c>
      <c r="I92" s="256">
        <f>SUM(I89:I91)</f>
        <v>1</v>
      </c>
      <c r="J92" s="253"/>
      <c r="K92" s="226"/>
    </row>
    <row r="93" spans="1:11" ht="6" customHeight="1" x14ac:dyDescent="0.2">
      <c r="A93" s="248"/>
      <c r="B93" s="248"/>
      <c r="C93" s="261"/>
      <c r="D93" s="243"/>
      <c r="E93" s="281"/>
      <c r="F93" s="257"/>
      <c r="G93" s="249"/>
      <c r="H93" s="258"/>
      <c r="I93" s="259"/>
      <c r="J93" s="253"/>
      <c r="K93" s="226"/>
    </row>
    <row r="94" spans="1:11" ht="10.15" customHeight="1" x14ac:dyDescent="0.2">
      <c r="A94" s="243" t="s">
        <v>24</v>
      </c>
      <c r="B94" s="243" t="s">
        <v>277</v>
      </c>
      <c r="C94" s="243" t="s">
        <v>236</v>
      </c>
      <c r="D94" s="254" t="s">
        <v>278</v>
      </c>
      <c r="E94" s="277" t="s">
        <v>279</v>
      </c>
      <c r="F94" s="245">
        <v>888350</v>
      </c>
      <c r="G94" s="246">
        <v>10830</v>
      </c>
      <c r="H94" s="242"/>
      <c r="I94" s="242"/>
      <c r="J94" s="253"/>
      <c r="K94" s="226"/>
    </row>
    <row r="95" spans="1:11" ht="10.15" customHeight="1" x14ac:dyDescent="0.2">
      <c r="A95" s="248"/>
      <c r="B95" s="248"/>
      <c r="C95" s="261"/>
      <c r="D95" s="244" t="s">
        <v>242</v>
      </c>
      <c r="E95" s="281"/>
      <c r="F95" s="257"/>
      <c r="G95" s="249"/>
      <c r="H95" s="250">
        <v>907</v>
      </c>
      <c r="I95" s="251">
        <f>ROUND(H95/$H$97,4)</f>
        <v>0.10489999999999999</v>
      </c>
      <c r="J95" s="253"/>
      <c r="K95" s="226"/>
    </row>
    <row r="96" spans="1:11" ht="10.15" customHeight="1" x14ac:dyDescent="0.2">
      <c r="A96" s="248"/>
      <c r="B96" s="248"/>
      <c r="C96" s="261"/>
      <c r="D96" s="254" t="s">
        <v>246</v>
      </c>
      <c r="E96" s="281"/>
      <c r="F96" s="257"/>
      <c r="G96" s="249"/>
      <c r="H96" s="250">
        <v>7738</v>
      </c>
      <c r="I96" s="251">
        <f>ROUND(H96/$H$97,4)</f>
        <v>0.89510000000000001</v>
      </c>
      <c r="J96" s="260" t="s">
        <v>246</v>
      </c>
      <c r="K96" s="226"/>
    </row>
    <row r="97" spans="1:11" ht="10.15" customHeight="1" x14ac:dyDescent="0.2">
      <c r="A97" s="248"/>
      <c r="B97" s="248"/>
      <c r="C97" s="261"/>
      <c r="D97" s="243" t="s">
        <v>33</v>
      </c>
      <c r="E97" s="281"/>
      <c r="F97" s="257"/>
      <c r="G97" s="249"/>
      <c r="H97" s="255">
        <f>SUM(H95:H96)</f>
        <v>8645</v>
      </c>
      <c r="I97" s="256">
        <f>SUM(I95:I96)</f>
        <v>1</v>
      </c>
      <c r="J97" s="253"/>
      <c r="K97" s="226"/>
    </row>
    <row r="98" spans="1:11" ht="6" customHeight="1" x14ac:dyDescent="0.2">
      <c r="A98" s="248"/>
      <c r="B98" s="248"/>
      <c r="C98" s="261"/>
      <c r="D98" s="249"/>
      <c r="E98" s="281"/>
      <c r="F98" s="257"/>
      <c r="G98" s="249"/>
      <c r="H98" s="242"/>
      <c r="I98" s="242"/>
      <c r="J98" s="253"/>
      <c r="K98" s="226"/>
    </row>
    <row r="99" spans="1:11" ht="10.15" customHeight="1" x14ac:dyDescent="0.2">
      <c r="A99" s="243" t="s">
        <v>24</v>
      </c>
      <c r="B99" s="243">
        <v>151</v>
      </c>
      <c r="C99" s="243" t="s">
        <v>236</v>
      </c>
      <c r="D99" s="244" t="s">
        <v>280</v>
      </c>
      <c r="E99" s="277" t="s">
        <v>281</v>
      </c>
      <c r="F99" s="245">
        <v>952891</v>
      </c>
      <c r="G99" s="246">
        <v>12300</v>
      </c>
      <c r="H99" s="242"/>
      <c r="I99" s="251"/>
      <c r="J99" s="253"/>
      <c r="K99" s="226"/>
    </row>
    <row r="100" spans="1:11" ht="10.15" customHeight="1" x14ac:dyDescent="0.2">
      <c r="A100" s="248"/>
      <c r="B100" s="248"/>
      <c r="C100" s="261"/>
      <c r="D100" s="244" t="s">
        <v>240</v>
      </c>
      <c r="E100" s="281"/>
      <c r="F100" s="257"/>
      <c r="G100" s="249"/>
      <c r="H100" s="250">
        <v>3952</v>
      </c>
      <c r="I100" s="251">
        <f>ROUND(H100/$H$103,4)</f>
        <v>0.51270000000000004</v>
      </c>
      <c r="J100" s="252" t="s">
        <v>240</v>
      </c>
      <c r="K100" s="226"/>
    </row>
    <row r="101" spans="1:11" ht="10.15" customHeight="1" x14ac:dyDescent="0.2">
      <c r="A101" s="248"/>
      <c r="B101" s="248"/>
      <c r="C101" s="261"/>
      <c r="D101" s="244" t="s">
        <v>241</v>
      </c>
      <c r="E101" s="281"/>
      <c r="F101" s="257"/>
      <c r="G101" s="249"/>
      <c r="H101" s="250">
        <v>1547</v>
      </c>
      <c r="I101" s="251">
        <f>ROUND(H101/$H$103,4)</f>
        <v>0.20069999999999999</v>
      </c>
      <c r="J101" s="253" t="s">
        <v>241</v>
      </c>
      <c r="K101" s="226"/>
    </row>
    <row r="102" spans="1:11" ht="10.15" customHeight="1" x14ac:dyDescent="0.2">
      <c r="A102" s="248"/>
      <c r="B102" s="248"/>
      <c r="C102" s="261"/>
      <c r="D102" s="244" t="s">
        <v>242</v>
      </c>
      <c r="E102" s="281"/>
      <c r="F102" s="257"/>
      <c r="G102" s="249"/>
      <c r="H102" s="250">
        <v>2209</v>
      </c>
      <c r="I102" s="251">
        <f>ROUND(H102/$H$103,4)</f>
        <v>0.28660000000000002</v>
      </c>
      <c r="J102" s="253" t="s">
        <v>242</v>
      </c>
      <c r="K102" s="226"/>
    </row>
    <row r="103" spans="1:11" ht="10.15" customHeight="1" x14ac:dyDescent="0.2">
      <c r="A103" s="248"/>
      <c r="B103" s="248"/>
      <c r="C103" s="261"/>
      <c r="D103" s="243" t="s">
        <v>33</v>
      </c>
      <c r="E103" s="281"/>
      <c r="F103" s="257"/>
      <c r="G103" s="249"/>
      <c r="H103" s="255">
        <f>SUM(H100:H102)</f>
        <v>7708</v>
      </c>
      <c r="I103" s="256">
        <f>SUM(I100:I102)</f>
        <v>1</v>
      </c>
      <c r="J103" s="253"/>
      <c r="K103" s="226"/>
    </row>
    <row r="104" spans="1:11" ht="6" customHeight="1" x14ac:dyDescent="0.2">
      <c r="A104" s="249"/>
      <c r="B104" s="249"/>
      <c r="C104" s="284"/>
      <c r="D104" s="249"/>
      <c r="E104" s="281"/>
      <c r="F104" s="249"/>
      <c r="G104" s="249"/>
      <c r="H104" s="242"/>
      <c r="I104" s="242"/>
      <c r="J104" s="242"/>
      <c r="K104" s="226"/>
    </row>
    <row r="105" spans="1:11" ht="10.15" customHeight="1" x14ac:dyDescent="0.2">
      <c r="A105" s="243" t="s">
        <v>24</v>
      </c>
      <c r="B105" s="243">
        <v>140</v>
      </c>
      <c r="C105" s="243" t="s">
        <v>236</v>
      </c>
      <c r="D105" s="244" t="s">
        <v>179</v>
      </c>
      <c r="E105" s="277" t="s">
        <v>282</v>
      </c>
      <c r="F105" s="245">
        <v>19100000</v>
      </c>
      <c r="G105" s="246">
        <v>122790</v>
      </c>
      <c r="H105" s="242"/>
      <c r="I105" s="251"/>
      <c r="J105" s="253"/>
      <c r="K105" s="226"/>
    </row>
    <row r="106" spans="1:11" ht="10.15" customHeight="1" x14ac:dyDescent="0.2">
      <c r="A106" s="248"/>
      <c r="B106" s="261"/>
      <c r="C106" s="261"/>
      <c r="D106" s="244" t="s">
        <v>263</v>
      </c>
      <c r="E106" s="281"/>
      <c r="F106" s="257"/>
      <c r="G106" s="249"/>
      <c r="H106" s="250">
        <v>4331</v>
      </c>
      <c r="I106" s="251">
        <f>ROUND(H106/$H$110,4)</f>
        <v>5.74E-2</v>
      </c>
      <c r="J106" s="253"/>
      <c r="K106" s="226"/>
    </row>
    <row r="107" spans="1:11" ht="10.15" customHeight="1" x14ac:dyDescent="0.2">
      <c r="A107" s="248"/>
      <c r="B107" s="261"/>
      <c r="C107" s="261"/>
      <c r="D107" s="244" t="s">
        <v>240</v>
      </c>
      <c r="E107" s="281"/>
      <c r="F107" s="257"/>
      <c r="G107" s="249"/>
      <c r="H107" s="250">
        <v>18528</v>
      </c>
      <c r="I107" s="251">
        <f>ROUND(H107/$H$110,4)</f>
        <v>0.2455</v>
      </c>
      <c r="J107" s="253" t="s">
        <v>240</v>
      </c>
      <c r="K107" s="226"/>
    </row>
    <row r="108" spans="1:11" ht="10.15" customHeight="1" x14ac:dyDescent="0.2">
      <c r="A108" s="248"/>
      <c r="B108" s="261"/>
      <c r="C108" s="261"/>
      <c r="D108" s="244" t="s">
        <v>241</v>
      </c>
      <c r="E108" s="281"/>
      <c r="F108" s="257"/>
      <c r="G108" s="249"/>
      <c r="H108" s="250">
        <v>31313</v>
      </c>
      <c r="I108" s="251">
        <f>ROUND(H108/$H$110,4)</f>
        <v>0.41499999999999998</v>
      </c>
      <c r="J108" s="252" t="s">
        <v>241</v>
      </c>
      <c r="K108" s="226"/>
    </row>
    <row r="109" spans="1:11" ht="10.15" customHeight="1" x14ac:dyDescent="0.2">
      <c r="A109" s="248"/>
      <c r="B109" s="261"/>
      <c r="C109" s="261"/>
      <c r="D109" s="244" t="s">
        <v>242</v>
      </c>
      <c r="E109" s="281"/>
      <c r="F109" s="257"/>
      <c r="G109" s="249"/>
      <c r="H109" s="250">
        <v>21290</v>
      </c>
      <c r="I109" s="251">
        <f>ROUND(H109/$H$110,4)</f>
        <v>0.28210000000000002</v>
      </c>
      <c r="J109" s="253" t="s">
        <v>242</v>
      </c>
      <c r="K109" s="226"/>
    </row>
    <row r="110" spans="1:11" ht="10.15" customHeight="1" x14ac:dyDescent="0.2">
      <c r="A110" s="248"/>
      <c r="B110" s="261"/>
      <c r="C110" s="261"/>
      <c r="D110" s="243" t="s">
        <v>33</v>
      </c>
      <c r="E110" s="281"/>
      <c r="F110" s="257"/>
      <c r="G110" s="249"/>
      <c r="H110" s="255">
        <f>SUM(H106:H109)</f>
        <v>75462</v>
      </c>
      <c r="I110" s="256">
        <f>SUM(I105:I109)</f>
        <v>1</v>
      </c>
      <c r="J110" s="253"/>
      <c r="K110" s="226"/>
    </row>
    <row r="111" spans="1:11" ht="6" customHeight="1" x14ac:dyDescent="0.2">
      <c r="A111" s="249"/>
      <c r="B111" s="249"/>
      <c r="C111" s="284"/>
      <c r="D111" s="249"/>
      <c r="E111" s="281"/>
      <c r="F111" s="249"/>
      <c r="G111" s="249"/>
      <c r="H111" s="242"/>
      <c r="I111" s="242"/>
      <c r="J111" s="242"/>
      <c r="K111" s="226"/>
    </row>
    <row r="112" spans="1:11" ht="10.15" customHeight="1" x14ac:dyDescent="0.2">
      <c r="A112" s="243" t="s">
        <v>24</v>
      </c>
      <c r="B112" s="243">
        <v>188</v>
      </c>
      <c r="C112" s="243" t="s">
        <v>236</v>
      </c>
      <c r="D112" s="244" t="s">
        <v>58</v>
      </c>
      <c r="E112" s="277" t="s">
        <v>283</v>
      </c>
      <c r="F112" s="245">
        <v>5579800</v>
      </c>
      <c r="G112" s="246">
        <v>33000</v>
      </c>
      <c r="H112" s="242"/>
      <c r="I112" s="251"/>
      <c r="J112" s="253"/>
      <c r="K112" s="226"/>
    </row>
    <row r="113" spans="1:11" ht="10.15" customHeight="1" x14ac:dyDescent="0.2">
      <c r="A113" s="248"/>
      <c r="B113" s="261"/>
      <c r="C113" s="261"/>
      <c r="D113" s="244" t="s">
        <v>241</v>
      </c>
      <c r="E113" s="281"/>
      <c r="F113" s="257"/>
      <c r="G113" s="249"/>
      <c r="H113" s="250">
        <v>16523</v>
      </c>
      <c r="I113" s="251">
        <f>ROUND(H113/$H$115,4)</f>
        <v>0.7782</v>
      </c>
      <c r="J113" s="252" t="s">
        <v>241</v>
      </c>
      <c r="K113" s="226"/>
    </row>
    <row r="114" spans="1:11" ht="10.15" customHeight="1" x14ac:dyDescent="0.2">
      <c r="A114" s="248"/>
      <c r="B114" s="261"/>
      <c r="C114" s="261"/>
      <c r="D114" s="244" t="s">
        <v>242</v>
      </c>
      <c r="E114" s="281"/>
      <c r="F114" s="257"/>
      <c r="G114" s="249"/>
      <c r="H114" s="250">
        <v>4710</v>
      </c>
      <c r="I114" s="251">
        <f>ROUND(H114/$H$115,4)</f>
        <v>0.2218</v>
      </c>
      <c r="J114" s="253"/>
      <c r="K114" s="226"/>
    </row>
    <row r="115" spans="1:11" ht="10.15" customHeight="1" x14ac:dyDescent="0.2">
      <c r="A115" s="248"/>
      <c r="B115" s="261"/>
      <c r="C115" s="261"/>
      <c r="D115" s="243" t="s">
        <v>33</v>
      </c>
      <c r="E115" s="281"/>
      <c r="F115" s="257"/>
      <c r="G115" s="249"/>
      <c r="H115" s="255">
        <f>SUM(H113:H114)</f>
        <v>21233</v>
      </c>
      <c r="I115" s="256">
        <f>SUM(I113:I114)</f>
        <v>1</v>
      </c>
      <c r="J115" s="253"/>
      <c r="K115" s="226"/>
    </row>
    <row r="116" spans="1:11" ht="6" customHeight="1" x14ac:dyDescent="0.2">
      <c r="A116" s="249"/>
      <c r="B116" s="249"/>
      <c r="C116" s="284"/>
      <c r="D116" s="249"/>
      <c r="E116" s="281"/>
      <c r="F116" s="249"/>
      <c r="G116" s="249"/>
      <c r="H116" s="242"/>
      <c r="I116" s="242"/>
      <c r="J116" s="242"/>
      <c r="K116" s="226"/>
    </row>
    <row r="117" spans="1:11" ht="10.15" customHeight="1" x14ac:dyDescent="0.2">
      <c r="A117" s="243" t="s">
        <v>24</v>
      </c>
      <c r="B117" s="243">
        <v>113</v>
      </c>
      <c r="C117" s="243" t="s">
        <v>236</v>
      </c>
      <c r="D117" s="244" t="s">
        <v>25</v>
      </c>
      <c r="E117" s="277" t="s">
        <v>284</v>
      </c>
      <c r="F117" s="245">
        <v>3621000</v>
      </c>
      <c r="G117" s="246">
        <v>33600</v>
      </c>
      <c r="H117" s="242"/>
      <c r="I117" s="251"/>
      <c r="J117" s="253"/>
      <c r="K117" s="226"/>
    </row>
    <row r="118" spans="1:11" ht="10.15" customHeight="1" x14ac:dyDescent="0.2">
      <c r="A118" s="248"/>
      <c r="B118" s="248"/>
      <c r="C118" s="261"/>
      <c r="D118" s="244" t="s">
        <v>263</v>
      </c>
      <c r="E118" s="281"/>
      <c r="F118" s="257"/>
      <c r="G118" s="249"/>
      <c r="H118" s="250">
        <v>4474</v>
      </c>
      <c r="I118" s="251">
        <f>ROUND(H118/$H$123,4)</f>
        <v>0.24729999999999999</v>
      </c>
      <c r="J118" s="253" t="s">
        <v>263</v>
      </c>
      <c r="K118" s="226"/>
    </row>
    <row r="119" spans="1:11" ht="10.15" customHeight="1" x14ac:dyDescent="0.2">
      <c r="A119" s="248"/>
      <c r="B119" s="248"/>
      <c r="C119" s="261"/>
      <c r="D119" s="244" t="s">
        <v>243</v>
      </c>
      <c r="E119" s="281"/>
      <c r="F119" s="257"/>
      <c r="G119" s="249"/>
      <c r="H119" s="250">
        <v>2688</v>
      </c>
      <c r="I119" s="251">
        <f>ROUND(H119/$H$123,4)</f>
        <v>0.14860000000000001</v>
      </c>
      <c r="J119" s="253"/>
      <c r="K119" s="226"/>
    </row>
    <row r="120" spans="1:11" ht="10.15" customHeight="1" x14ac:dyDescent="0.2">
      <c r="A120" s="248"/>
      <c r="B120" s="248"/>
      <c r="C120" s="261"/>
      <c r="D120" s="244" t="s">
        <v>242</v>
      </c>
      <c r="E120" s="281"/>
      <c r="F120" s="257"/>
      <c r="G120" s="249"/>
      <c r="H120" s="250">
        <v>9293</v>
      </c>
      <c r="I120" s="251">
        <f>ROUND(H120/$H$123,4)</f>
        <v>0.51370000000000005</v>
      </c>
      <c r="J120" s="252" t="s">
        <v>242</v>
      </c>
      <c r="K120" s="226"/>
    </row>
    <row r="121" spans="1:11" ht="10.15" customHeight="1" x14ac:dyDescent="0.2">
      <c r="A121" s="248"/>
      <c r="B121" s="248"/>
      <c r="C121" s="261"/>
      <c r="D121" s="244" t="s">
        <v>264</v>
      </c>
      <c r="E121" s="281"/>
      <c r="F121" s="257"/>
      <c r="G121" s="249"/>
      <c r="H121" s="250">
        <v>1121</v>
      </c>
      <c r="I121" s="251">
        <f>ROUND(H121/$H$123,4)</f>
        <v>6.2E-2</v>
      </c>
      <c r="J121" s="253"/>
      <c r="K121" s="226"/>
    </row>
    <row r="122" spans="1:11" ht="10.15" customHeight="1" x14ac:dyDescent="0.2">
      <c r="A122" s="248"/>
      <c r="B122" s="248"/>
      <c r="C122" s="261"/>
      <c r="D122" s="244" t="s">
        <v>244</v>
      </c>
      <c r="E122" s="281"/>
      <c r="F122" s="257"/>
      <c r="G122" s="249"/>
      <c r="H122" s="250">
        <v>515</v>
      </c>
      <c r="I122" s="251">
        <f>ROUND(H122/$H$123,4)-0.0001</f>
        <v>2.8400000000000002E-2</v>
      </c>
      <c r="J122" s="253"/>
      <c r="K122" s="226"/>
    </row>
    <row r="123" spans="1:11" ht="10.15" customHeight="1" x14ac:dyDescent="0.2">
      <c r="A123" s="248"/>
      <c r="B123" s="248"/>
      <c r="C123" s="261"/>
      <c r="D123" s="243" t="s">
        <v>33</v>
      </c>
      <c r="E123" s="281"/>
      <c r="F123" s="257"/>
      <c r="G123" s="249"/>
      <c r="H123" s="255">
        <f>SUM(H118:H122)</f>
        <v>18091</v>
      </c>
      <c r="I123" s="256">
        <f>SUM(I118:I122)</f>
        <v>1</v>
      </c>
      <c r="J123" s="253"/>
      <c r="K123" s="226"/>
    </row>
    <row r="124" spans="1:11" ht="6" customHeight="1" x14ac:dyDescent="0.2">
      <c r="A124" s="248"/>
      <c r="B124" s="248"/>
      <c r="C124" s="261"/>
      <c r="D124" s="249"/>
      <c r="E124" s="281"/>
      <c r="F124" s="257"/>
      <c r="G124" s="249"/>
      <c r="H124" s="242"/>
      <c r="I124" s="251"/>
      <c r="J124" s="253"/>
      <c r="K124" s="226"/>
    </row>
    <row r="125" spans="1:11" ht="10.15" customHeight="1" x14ac:dyDescent="0.2">
      <c r="A125" s="243" t="s">
        <v>24</v>
      </c>
      <c r="B125" s="243">
        <v>150</v>
      </c>
      <c r="C125" s="243" t="s">
        <v>236</v>
      </c>
      <c r="D125" s="244" t="s">
        <v>49</v>
      </c>
      <c r="E125" s="277" t="s">
        <v>285</v>
      </c>
      <c r="F125" s="245">
        <v>3626976</v>
      </c>
      <c r="G125" s="246">
        <v>19500</v>
      </c>
      <c r="H125" s="242"/>
      <c r="I125" s="251"/>
      <c r="J125" s="253"/>
      <c r="K125" s="226"/>
    </row>
    <row r="126" spans="1:11" ht="10.15" customHeight="1" x14ac:dyDescent="0.2">
      <c r="A126" s="248"/>
      <c r="B126" s="261"/>
      <c r="C126" s="261"/>
      <c r="D126" s="244" t="s">
        <v>286</v>
      </c>
      <c r="E126" s="281"/>
      <c r="F126" s="257"/>
      <c r="G126" s="249"/>
      <c r="H126" s="250">
        <v>2655</v>
      </c>
      <c r="I126" s="251">
        <f>ROUND(H126/$H$130,4)</f>
        <v>0.26879999999999998</v>
      </c>
      <c r="J126" s="253" t="s">
        <v>286</v>
      </c>
      <c r="K126" s="226"/>
    </row>
    <row r="127" spans="1:11" ht="10.15" customHeight="1" x14ac:dyDescent="0.2">
      <c r="A127" s="248"/>
      <c r="B127" s="261"/>
      <c r="C127" s="261"/>
      <c r="D127" s="244" t="s">
        <v>242</v>
      </c>
      <c r="E127" s="281"/>
      <c r="F127" s="257"/>
      <c r="G127" s="249"/>
      <c r="H127" s="250">
        <v>6466</v>
      </c>
      <c r="I127" s="251">
        <f>ROUND(H127/$H$130,4)</f>
        <v>0.65469999999999995</v>
      </c>
      <c r="J127" s="252" t="s">
        <v>242</v>
      </c>
      <c r="K127" s="226"/>
    </row>
    <row r="128" spans="1:11" ht="10.15" customHeight="1" x14ac:dyDescent="0.2">
      <c r="A128" s="248"/>
      <c r="B128" s="261"/>
      <c r="C128" s="261"/>
      <c r="D128" s="244" t="s">
        <v>246</v>
      </c>
      <c r="E128" s="281"/>
      <c r="F128" s="257"/>
      <c r="G128" s="249"/>
      <c r="H128" s="250">
        <v>252</v>
      </c>
      <c r="I128" s="251">
        <f>ROUND(H128/$H$130,4)</f>
        <v>2.5499999999999998E-2</v>
      </c>
      <c r="J128" s="253"/>
      <c r="K128" s="226"/>
    </row>
    <row r="129" spans="1:11" ht="10.15" customHeight="1" x14ac:dyDescent="0.2">
      <c r="A129" s="248"/>
      <c r="B129" s="261"/>
      <c r="C129" s="261"/>
      <c r="D129" s="244" t="s">
        <v>287</v>
      </c>
      <c r="E129" s="281"/>
      <c r="F129" s="257"/>
      <c r="G129" s="249"/>
      <c r="H129" s="250">
        <v>504</v>
      </c>
      <c r="I129" s="251">
        <f>ROUND(H129/$H$130,4)</f>
        <v>5.0999999999999997E-2</v>
      </c>
      <c r="J129" s="253"/>
      <c r="K129" s="226"/>
    </row>
    <row r="130" spans="1:11" ht="10.15" customHeight="1" x14ac:dyDescent="0.2">
      <c r="A130" s="248"/>
      <c r="B130" s="261"/>
      <c r="C130" s="261"/>
      <c r="D130" s="243" t="s">
        <v>33</v>
      </c>
      <c r="E130" s="281"/>
      <c r="F130" s="257"/>
      <c r="G130" s="249"/>
      <c r="H130" s="255">
        <f>SUM(H126:H129)</f>
        <v>9877</v>
      </c>
      <c r="I130" s="256">
        <f>SUM(I125:I129)</f>
        <v>1</v>
      </c>
      <c r="J130" s="253"/>
      <c r="K130" s="226"/>
    </row>
    <row r="131" spans="1:11" ht="6" customHeight="1" x14ac:dyDescent="0.2">
      <c r="A131" s="248"/>
      <c r="B131" s="248"/>
      <c r="C131" s="261"/>
      <c r="D131" s="243"/>
      <c r="E131" s="281"/>
      <c r="F131" s="257"/>
      <c r="G131" s="249"/>
      <c r="H131" s="246"/>
      <c r="I131" s="262"/>
      <c r="J131" s="253"/>
      <c r="K131" s="226"/>
    </row>
    <row r="132" spans="1:11" ht="10.15" customHeight="1" x14ac:dyDescent="0.2">
      <c r="A132" s="261" t="s">
        <v>24</v>
      </c>
      <c r="B132" s="261">
        <v>145</v>
      </c>
      <c r="C132" s="243" t="s">
        <v>236</v>
      </c>
      <c r="D132" s="263" t="s">
        <v>288</v>
      </c>
      <c r="E132" s="336" t="s">
        <v>289</v>
      </c>
      <c r="F132" s="257">
        <v>1008800</v>
      </c>
      <c r="G132" s="249">
        <v>5341</v>
      </c>
      <c r="H132" s="246"/>
      <c r="I132" s="262"/>
      <c r="J132" s="253"/>
      <c r="K132" s="226"/>
    </row>
    <row r="133" spans="1:11" ht="10.15" customHeight="1" x14ac:dyDescent="0.2">
      <c r="A133" s="261"/>
      <c r="B133" s="261"/>
      <c r="C133" s="261"/>
      <c r="D133" s="244" t="s">
        <v>241</v>
      </c>
      <c r="E133" s="281"/>
      <c r="F133" s="257"/>
      <c r="G133" s="249"/>
      <c r="H133" s="255">
        <v>2682</v>
      </c>
      <c r="I133" s="256">
        <f>ROUND(H133/$H$133,4)</f>
        <v>1</v>
      </c>
      <c r="J133" s="252" t="s">
        <v>241</v>
      </c>
      <c r="K133" s="226"/>
    </row>
    <row r="134" spans="1:11" ht="6" customHeight="1" x14ac:dyDescent="0.2">
      <c r="A134" s="261"/>
      <c r="B134" s="261"/>
      <c r="C134" s="261"/>
      <c r="D134" s="244"/>
      <c r="E134" s="281"/>
      <c r="F134" s="257"/>
      <c r="G134" s="249"/>
      <c r="H134" s="246"/>
      <c r="I134" s="262"/>
      <c r="J134" s="253"/>
      <c r="K134" s="226"/>
    </row>
    <row r="135" spans="1:11" ht="10.15" customHeight="1" x14ac:dyDescent="0.2">
      <c r="A135" s="261" t="s">
        <v>24</v>
      </c>
      <c r="B135" s="264">
        <v>128</v>
      </c>
      <c r="C135" s="243" t="s">
        <v>236</v>
      </c>
      <c r="D135" s="249" t="s">
        <v>131</v>
      </c>
      <c r="E135" s="336">
        <v>34759</v>
      </c>
      <c r="F135" s="257">
        <v>6266980</v>
      </c>
      <c r="G135" s="249">
        <v>58000</v>
      </c>
      <c r="H135" s="242"/>
      <c r="I135" s="251"/>
      <c r="J135" s="242"/>
      <c r="K135" s="226"/>
    </row>
    <row r="136" spans="1:11" ht="10.15" customHeight="1" x14ac:dyDescent="0.2">
      <c r="A136" s="249"/>
      <c r="B136" s="249"/>
      <c r="C136" s="284"/>
      <c r="D136" s="244" t="s">
        <v>264</v>
      </c>
      <c r="E136" s="281"/>
      <c r="F136" s="257"/>
      <c r="G136" s="249"/>
      <c r="H136" s="242">
        <v>44262</v>
      </c>
      <c r="I136" s="251">
        <f>H136/H139</f>
        <v>0.89008204633204635</v>
      </c>
      <c r="J136" s="252" t="s">
        <v>264</v>
      </c>
      <c r="K136" s="226"/>
    </row>
    <row r="137" spans="1:11" ht="10.15" customHeight="1" x14ac:dyDescent="0.2">
      <c r="A137" s="249"/>
      <c r="B137" s="249"/>
      <c r="C137" s="284"/>
      <c r="D137" s="244" t="s">
        <v>290</v>
      </c>
      <c r="E137" s="281"/>
      <c r="F137" s="257"/>
      <c r="G137" s="249"/>
      <c r="H137" s="242">
        <v>3909</v>
      </c>
      <c r="I137" s="251">
        <f>H137/H139</f>
        <v>7.8607625482625482E-2</v>
      </c>
      <c r="J137" s="252"/>
      <c r="K137" s="226"/>
    </row>
    <row r="138" spans="1:11" ht="10.15" customHeight="1" x14ac:dyDescent="0.2">
      <c r="A138" s="249"/>
      <c r="B138" s="249"/>
      <c r="C138" s="284"/>
      <c r="D138" s="244" t="s">
        <v>287</v>
      </c>
      <c r="E138" s="281"/>
      <c r="F138" s="257"/>
      <c r="G138" s="249"/>
      <c r="H138" s="242">
        <v>1557</v>
      </c>
      <c r="I138" s="251">
        <f>H138/H139</f>
        <v>3.1310328185328189E-2</v>
      </c>
      <c r="J138" s="252"/>
      <c r="K138" s="226"/>
    </row>
    <row r="139" spans="1:11" ht="10.15" customHeight="1" x14ac:dyDescent="0.2">
      <c r="A139" s="249"/>
      <c r="B139" s="249"/>
      <c r="C139" s="284"/>
      <c r="D139" s="243" t="s">
        <v>33</v>
      </c>
      <c r="E139" s="281"/>
      <c r="F139" s="257"/>
      <c r="G139" s="249"/>
      <c r="H139" s="265">
        <f>SUM(H136:H138)</f>
        <v>49728</v>
      </c>
      <c r="I139" s="256">
        <f>SUM(I136:I138)</f>
        <v>1</v>
      </c>
      <c r="J139" s="242"/>
      <c r="K139" s="226"/>
    </row>
    <row r="140" spans="1:11" ht="12.2" customHeight="1" x14ac:dyDescent="0.2">
      <c r="A140" s="261" t="s">
        <v>24</v>
      </c>
      <c r="B140" s="264">
        <v>117</v>
      </c>
      <c r="C140" s="243" t="s">
        <v>291</v>
      </c>
      <c r="D140" s="249" t="s">
        <v>115</v>
      </c>
      <c r="E140" s="336">
        <v>35034</v>
      </c>
      <c r="F140" s="257">
        <v>1615000</v>
      </c>
      <c r="G140" s="249">
        <v>10380</v>
      </c>
      <c r="H140" s="242"/>
      <c r="I140" s="251"/>
      <c r="J140" s="242"/>
      <c r="K140" s="226"/>
    </row>
    <row r="141" spans="1:11" ht="10.15" customHeight="1" x14ac:dyDescent="0.2">
      <c r="A141" s="249"/>
      <c r="B141" s="249"/>
      <c r="C141" s="284"/>
      <c r="D141" s="244" t="s">
        <v>263</v>
      </c>
      <c r="E141" s="281"/>
      <c r="F141" s="257"/>
      <c r="G141" s="249"/>
      <c r="H141" s="242">
        <v>603</v>
      </c>
      <c r="I141" s="251">
        <f>H141/H145</f>
        <v>0.1094970038133285</v>
      </c>
      <c r="J141" s="252"/>
      <c r="K141" s="226"/>
    </row>
    <row r="142" spans="1:11" ht="10.15" customHeight="1" x14ac:dyDescent="0.2">
      <c r="A142" s="249"/>
      <c r="B142" s="249"/>
      <c r="C142" s="284"/>
      <c r="D142" s="244" t="s">
        <v>292</v>
      </c>
      <c r="E142" s="281"/>
      <c r="F142" s="257"/>
      <c r="G142" s="249"/>
      <c r="H142" s="242">
        <v>1287</v>
      </c>
      <c r="I142" s="251">
        <f>H142/H145</f>
        <v>0.2337025603777011</v>
      </c>
      <c r="J142" s="252" t="s">
        <v>240</v>
      </c>
      <c r="K142" s="226"/>
    </row>
    <row r="143" spans="1:11" ht="10.15" customHeight="1" x14ac:dyDescent="0.2">
      <c r="A143" s="249"/>
      <c r="B143" s="249"/>
      <c r="C143" s="284"/>
      <c r="D143" s="244" t="s">
        <v>293</v>
      </c>
      <c r="E143" s="281"/>
      <c r="F143" s="257"/>
      <c r="G143" s="249"/>
      <c r="H143" s="242">
        <v>2524</v>
      </c>
      <c r="I143" s="251">
        <f>H143/H145</f>
        <v>0.45832576720537499</v>
      </c>
      <c r="J143" s="252" t="s">
        <v>241</v>
      </c>
      <c r="K143" s="226"/>
    </row>
    <row r="144" spans="1:11" ht="10.15" customHeight="1" x14ac:dyDescent="0.2">
      <c r="A144" s="249"/>
      <c r="B144" s="249"/>
      <c r="C144" s="284"/>
      <c r="D144" s="244" t="s">
        <v>290</v>
      </c>
      <c r="E144" s="281"/>
      <c r="F144" s="257"/>
      <c r="G144" s="249"/>
      <c r="H144" s="242">
        <v>1093</v>
      </c>
      <c r="I144" s="251">
        <f>H144/H145</f>
        <v>0.19847466860359542</v>
      </c>
      <c r="J144" s="252"/>
      <c r="K144" s="226"/>
    </row>
    <row r="145" spans="1:11" ht="10.15" customHeight="1" x14ac:dyDescent="0.2">
      <c r="A145" s="249"/>
      <c r="B145" s="249"/>
      <c r="C145" s="284"/>
      <c r="D145" s="243" t="s">
        <v>33</v>
      </c>
      <c r="E145" s="281"/>
      <c r="F145" s="257"/>
      <c r="G145" s="249"/>
      <c r="H145" s="265">
        <f>SUM(H141:H144)</f>
        <v>5507</v>
      </c>
      <c r="I145" s="256">
        <f>SUM(I141:I144)</f>
        <v>1</v>
      </c>
      <c r="J145" s="242"/>
      <c r="K145" s="226"/>
    </row>
    <row r="146" spans="1:11" ht="10.15" customHeight="1" x14ac:dyDescent="0.2">
      <c r="A146" s="261" t="s">
        <v>24</v>
      </c>
      <c r="B146" s="264">
        <v>147</v>
      </c>
      <c r="C146" s="243" t="s">
        <v>291</v>
      </c>
      <c r="D146" s="249" t="s">
        <v>118</v>
      </c>
      <c r="E146" s="336">
        <v>35125</v>
      </c>
      <c r="F146" s="257">
        <v>33092798</v>
      </c>
      <c r="G146" s="249">
        <v>194700</v>
      </c>
      <c r="H146" s="242"/>
      <c r="I146" s="251"/>
      <c r="J146" s="242"/>
      <c r="K146" s="226"/>
    </row>
    <row r="147" spans="1:11" ht="10.15" customHeight="1" x14ac:dyDescent="0.2">
      <c r="A147" s="261"/>
      <c r="B147" s="264"/>
      <c r="C147" s="243"/>
      <c r="D147" s="244" t="s">
        <v>263</v>
      </c>
      <c r="E147" s="281"/>
      <c r="F147" s="257"/>
      <c r="G147" s="249"/>
      <c r="H147" s="242">
        <v>3119</v>
      </c>
      <c r="I147" s="251">
        <f>H147/H153</f>
        <v>2.9930810790062087E-2</v>
      </c>
      <c r="J147" s="242"/>
      <c r="K147" s="226"/>
    </row>
    <row r="148" spans="1:11" ht="10.15" customHeight="1" x14ac:dyDescent="0.2">
      <c r="A148" s="249"/>
      <c r="B148" s="249"/>
      <c r="C148" s="284"/>
      <c r="D148" s="244" t="s">
        <v>292</v>
      </c>
      <c r="E148" s="281"/>
      <c r="F148" s="257"/>
      <c r="G148" s="249"/>
      <c r="H148" s="242">
        <v>1980</v>
      </c>
      <c r="I148" s="251">
        <f>H148/H153</f>
        <v>1.9000642951049352E-2</v>
      </c>
      <c r="J148" s="252"/>
      <c r="K148" s="226"/>
    </row>
    <row r="149" spans="1:11" ht="10.15" customHeight="1" x14ac:dyDescent="0.2">
      <c r="A149" s="249"/>
      <c r="B149" s="249"/>
      <c r="C149" s="284"/>
      <c r="D149" s="244" t="s">
        <v>293</v>
      </c>
      <c r="E149" s="281"/>
      <c r="F149" s="257"/>
      <c r="G149" s="249"/>
      <c r="H149" s="242">
        <v>62166</v>
      </c>
      <c r="I149" s="251">
        <f>H149/H153</f>
        <v>0.59656261095703744</v>
      </c>
      <c r="J149" s="252" t="s">
        <v>241</v>
      </c>
      <c r="K149" s="226"/>
    </row>
    <row r="150" spans="1:11" ht="10.15" customHeight="1" x14ac:dyDescent="0.2">
      <c r="A150" s="249"/>
      <c r="B150" s="249"/>
      <c r="C150" s="284"/>
      <c r="D150" s="244" t="s">
        <v>290</v>
      </c>
      <c r="E150" s="281"/>
      <c r="F150" s="257"/>
      <c r="G150" s="249"/>
      <c r="H150" s="242">
        <v>36127</v>
      </c>
      <c r="I150" s="251">
        <f>H150/H153</f>
        <v>0.34668496358210099</v>
      </c>
      <c r="J150" s="252" t="s">
        <v>290</v>
      </c>
      <c r="K150" s="226"/>
    </row>
    <row r="151" spans="1:11" ht="10.15" customHeight="1" x14ac:dyDescent="0.2">
      <c r="A151" s="249"/>
      <c r="B151" s="249"/>
      <c r="C151" s="284"/>
      <c r="D151" s="244" t="s">
        <v>294</v>
      </c>
      <c r="E151" s="281"/>
      <c r="F151" s="257"/>
      <c r="G151" s="249"/>
      <c r="H151" s="242">
        <v>815</v>
      </c>
      <c r="I151" s="251">
        <f>H151/H153</f>
        <v>7.8209717197501132E-3</v>
      </c>
      <c r="J151" s="252"/>
      <c r="K151" s="226"/>
    </row>
    <row r="152" spans="1:11" ht="10.15" customHeight="1" x14ac:dyDescent="0.2">
      <c r="A152" s="249"/>
      <c r="B152" s="249"/>
      <c r="C152" s="284"/>
      <c r="D152" s="244" t="s">
        <v>287</v>
      </c>
      <c r="E152" s="281"/>
      <c r="F152" s="257"/>
      <c r="G152" s="249"/>
      <c r="H152" s="242">
        <v>0</v>
      </c>
      <c r="I152" s="251">
        <f>H152/H153</f>
        <v>0</v>
      </c>
      <c r="J152" s="252"/>
      <c r="K152" s="226"/>
    </row>
    <row r="153" spans="1:11" ht="10.15" customHeight="1" x14ac:dyDescent="0.2">
      <c r="A153" s="249"/>
      <c r="B153" s="249"/>
      <c r="C153" s="284"/>
      <c r="D153" s="243" t="s">
        <v>33</v>
      </c>
      <c r="E153" s="281"/>
      <c r="F153" s="257"/>
      <c r="G153" s="249"/>
      <c r="H153" s="265">
        <f>SUM(H147:H152)</f>
        <v>104207</v>
      </c>
      <c r="I153" s="256">
        <f>SUM(I147:I152)</f>
        <v>1</v>
      </c>
      <c r="J153" s="242"/>
      <c r="K153" s="226"/>
    </row>
    <row r="154" spans="1:11" ht="10.15" customHeight="1" x14ac:dyDescent="0.2">
      <c r="A154" s="261" t="s">
        <v>24</v>
      </c>
      <c r="B154" s="264">
        <v>175</v>
      </c>
      <c r="C154" s="243" t="s">
        <v>291</v>
      </c>
      <c r="D154" s="249" t="s">
        <v>119</v>
      </c>
      <c r="E154" s="336">
        <v>35125</v>
      </c>
      <c r="F154" s="257">
        <v>23537365</v>
      </c>
      <c r="G154" s="249">
        <v>232730</v>
      </c>
      <c r="H154" s="242"/>
      <c r="I154" s="251"/>
      <c r="J154" s="242"/>
      <c r="K154" s="226"/>
    </row>
    <row r="155" spans="1:11" ht="10.15" customHeight="1" x14ac:dyDescent="0.2">
      <c r="A155" s="249"/>
      <c r="B155" s="249"/>
      <c r="C155" s="284"/>
      <c r="D155" s="244" t="s">
        <v>263</v>
      </c>
      <c r="E155" s="281"/>
      <c r="F155" s="257"/>
      <c r="G155" s="249"/>
      <c r="H155" s="242">
        <v>9574</v>
      </c>
      <c r="I155" s="251">
        <f>H155/H162</f>
        <v>7.4287310479678459E-2</v>
      </c>
      <c r="J155" s="252"/>
      <c r="K155" s="226"/>
    </row>
    <row r="156" spans="1:11" ht="10.15" customHeight="1" x14ac:dyDescent="0.2">
      <c r="A156" s="249"/>
      <c r="B156" s="249"/>
      <c r="C156" s="284"/>
      <c r="D156" s="244" t="s">
        <v>292</v>
      </c>
      <c r="E156" s="281"/>
      <c r="F156" s="257"/>
      <c r="G156" s="249"/>
      <c r="H156" s="242">
        <v>15655</v>
      </c>
      <c r="I156" s="251">
        <f>H156/H162</f>
        <v>0.12147146914135849</v>
      </c>
      <c r="J156" s="242"/>
      <c r="K156" s="226"/>
    </row>
    <row r="157" spans="1:11" ht="10.15" customHeight="1" x14ac:dyDescent="0.2">
      <c r="A157" s="249"/>
      <c r="B157" s="249"/>
      <c r="C157" s="284"/>
      <c r="D157" s="244" t="s">
        <v>293</v>
      </c>
      <c r="E157" s="281"/>
      <c r="F157" s="257"/>
      <c r="G157" s="249"/>
      <c r="H157" s="242">
        <v>61125</v>
      </c>
      <c r="I157" s="251">
        <f>H157/H162</f>
        <v>0.47428575862443551</v>
      </c>
      <c r="J157" s="252" t="s">
        <v>241</v>
      </c>
      <c r="K157" s="226"/>
    </row>
    <row r="158" spans="1:11" ht="10.15" customHeight="1" x14ac:dyDescent="0.2">
      <c r="A158" s="249"/>
      <c r="B158" s="249"/>
      <c r="C158" s="284"/>
      <c r="D158" s="244" t="s">
        <v>286</v>
      </c>
      <c r="E158" s="281"/>
      <c r="F158" s="257"/>
      <c r="G158" s="249"/>
      <c r="H158" s="242">
        <v>885</v>
      </c>
      <c r="I158" s="251">
        <f>H158/H162</f>
        <v>6.8669594500225016E-3</v>
      </c>
      <c r="J158" s="252"/>
      <c r="K158" s="226"/>
    </row>
    <row r="159" spans="1:11" ht="10.15" customHeight="1" x14ac:dyDescent="0.2">
      <c r="A159" s="249"/>
      <c r="B159" s="249"/>
      <c r="C159" s="284"/>
      <c r="D159" s="244" t="s">
        <v>295</v>
      </c>
      <c r="E159" s="281"/>
      <c r="F159" s="257"/>
      <c r="G159" s="249"/>
      <c r="H159" s="242">
        <v>625</v>
      </c>
      <c r="I159" s="251">
        <f>H159/H162</f>
        <v>4.8495476341966822E-3</v>
      </c>
      <c r="J159" s="252"/>
      <c r="K159" s="226"/>
    </row>
    <row r="160" spans="1:11" ht="10.15" customHeight="1" x14ac:dyDescent="0.2">
      <c r="A160" s="249"/>
      <c r="B160" s="249"/>
      <c r="C160" s="284"/>
      <c r="D160" s="244" t="s">
        <v>290</v>
      </c>
      <c r="E160" s="281"/>
      <c r="F160" s="257"/>
      <c r="G160" s="249"/>
      <c r="H160" s="242">
        <v>40358</v>
      </c>
      <c r="I160" s="251">
        <f>H160/H162</f>
        <v>0.31314886947345549</v>
      </c>
      <c r="J160" s="252" t="s">
        <v>290</v>
      </c>
      <c r="K160" s="226"/>
    </row>
    <row r="161" spans="1:11" ht="10.15" customHeight="1" x14ac:dyDescent="0.2">
      <c r="A161" s="249"/>
      <c r="B161" s="249"/>
      <c r="C161" s="284"/>
      <c r="D161" s="244" t="s">
        <v>287</v>
      </c>
      <c r="E161" s="281"/>
      <c r="F161" s="257"/>
      <c r="G161" s="249"/>
      <c r="H161" s="242">
        <v>656</v>
      </c>
      <c r="I161" s="251">
        <f>H161/H162</f>
        <v>5.0900851968528373E-3</v>
      </c>
      <c r="J161" s="252"/>
      <c r="K161" s="226"/>
    </row>
    <row r="162" spans="1:11" ht="10.15" customHeight="1" x14ac:dyDescent="0.2">
      <c r="A162" s="249"/>
      <c r="B162" s="249"/>
      <c r="C162" s="284"/>
      <c r="D162" s="243" t="s">
        <v>33</v>
      </c>
      <c r="E162" s="281"/>
      <c r="F162" s="257"/>
      <c r="G162" s="249"/>
      <c r="H162" s="265">
        <f>SUM(H155:H161)</f>
        <v>128878</v>
      </c>
      <c r="I162" s="256">
        <f>SUM(I155:I161)</f>
        <v>0.99999999999999989</v>
      </c>
      <c r="J162" s="242"/>
      <c r="K162" s="226"/>
    </row>
    <row r="163" spans="1:11" ht="10.15" customHeight="1" x14ac:dyDescent="0.2">
      <c r="A163" s="249"/>
      <c r="B163" s="249"/>
      <c r="C163" s="284"/>
      <c r="D163" s="243"/>
      <c r="E163" s="281"/>
      <c r="F163" s="257"/>
      <c r="G163" s="249"/>
      <c r="H163" s="249"/>
      <c r="I163" s="262"/>
      <c r="J163" s="242"/>
      <c r="K163" s="226"/>
    </row>
    <row r="164" spans="1:11" ht="10.15" customHeight="1" x14ac:dyDescent="0.2">
      <c r="A164" s="261" t="s">
        <v>24</v>
      </c>
      <c r="B164" s="264">
        <v>141</v>
      </c>
      <c r="C164" s="243" t="s">
        <v>291</v>
      </c>
      <c r="D164" s="249" t="s">
        <v>296</v>
      </c>
      <c r="E164" s="336">
        <v>35582</v>
      </c>
      <c r="F164" s="257">
        <v>3303912</v>
      </c>
      <c r="G164" s="249">
        <v>23700</v>
      </c>
      <c r="H164" s="242"/>
      <c r="I164" s="251"/>
      <c r="J164" s="242"/>
      <c r="K164" s="226"/>
    </row>
    <row r="165" spans="1:11" ht="10.15" customHeight="1" x14ac:dyDescent="0.2">
      <c r="A165" s="249"/>
      <c r="B165" s="249"/>
      <c r="C165" s="284"/>
      <c r="D165" s="244" t="s">
        <v>293</v>
      </c>
      <c r="E165" s="281"/>
      <c r="F165" s="257"/>
      <c r="G165" s="249"/>
      <c r="H165" s="242">
        <v>13138</v>
      </c>
      <c r="I165" s="251">
        <f>H165/H168</f>
        <v>0.68231628148532852</v>
      </c>
      <c r="J165" s="252" t="s">
        <v>241</v>
      </c>
      <c r="K165" s="226"/>
    </row>
    <row r="166" spans="1:11" ht="10.15" customHeight="1" x14ac:dyDescent="0.2">
      <c r="A166" s="249"/>
      <c r="B166" s="249"/>
      <c r="C166" s="284"/>
      <c r="D166" s="244" t="s">
        <v>286</v>
      </c>
      <c r="E166" s="281"/>
      <c r="F166" s="257"/>
      <c r="G166" s="249"/>
      <c r="H166" s="242">
        <v>490</v>
      </c>
      <c r="I166" s="251">
        <f>H166/H168</f>
        <v>2.5447935601142561E-2</v>
      </c>
      <c r="J166" s="252"/>
      <c r="K166" s="226"/>
    </row>
    <row r="167" spans="1:11" ht="10.15" customHeight="1" x14ac:dyDescent="0.2">
      <c r="A167" s="249"/>
      <c r="B167" s="249"/>
      <c r="C167" s="284"/>
      <c r="D167" s="244" t="s">
        <v>290</v>
      </c>
      <c r="E167" s="281"/>
      <c r="F167" s="257"/>
      <c r="G167" s="249"/>
      <c r="H167" s="242">
        <v>5627</v>
      </c>
      <c r="I167" s="251">
        <f>H167/H168</f>
        <v>0.29223578291352897</v>
      </c>
      <c r="J167" s="252" t="s">
        <v>290</v>
      </c>
      <c r="K167" s="226"/>
    </row>
    <row r="168" spans="1:11" ht="10.15" customHeight="1" x14ac:dyDescent="0.2">
      <c r="A168" s="249"/>
      <c r="B168" s="249"/>
      <c r="C168" s="284"/>
      <c r="D168" s="243" t="s">
        <v>33</v>
      </c>
      <c r="E168" s="281"/>
      <c r="F168" s="257"/>
      <c r="G168" s="249"/>
      <c r="H168" s="265">
        <f>SUM(H165:H167)</f>
        <v>19255</v>
      </c>
      <c r="I168" s="256">
        <f>SUM(I165:I167)</f>
        <v>1</v>
      </c>
      <c r="J168" s="242"/>
      <c r="K168" s="226"/>
    </row>
    <row r="169" spans="1:11" ht="10.15" customHeight="1" x14ac:dyDescent="0.2">
      <c r="A169" s="249"/>
      <c r="B169" s="249"/>
      <c r="C169" s="284"/>
      <c r="D169" s="243"/>
      <c r="E169" s="281"/>
      <c r="F169" s="257"/>
      <c r="G169" s="249"/>
      <c r="H169" s="249"/>
      <c r="I169" s="262"/>
      <c r="J169" s="242"/>
      <c r="K169" s="226"/>
    </row>
    <row r="170" spans="1:11" ht="10.15" customHeight="1" x14ac:dyDescent="0.2">
      <c r="A170" s="261" t="s">
        <v>24</v>
      </c>
      <c r="B170" s="264">
        <v>167</v>
      </c>
      <c r="C170" s="243" t="s">
        <v>291</v>
      </c>
      <c r="D170" s="249" t="s">
        <v>121</v>
      </c>
      <c r="E170" s="336">
        <v>35916</v>
      </c>
      <c r="F170" s="257">
        <v>9265887</v>
      </c>
      <c r="G170" s="249">
        <v>46573</v>
      </c>
      <c r="H170" s="242"/>
      <c r="I170" s="251"/>
      <c r="J170" s="242"/>
      <c r="K170" s="226"/>
    </row>
    <row r="171" spans="1:11" ht="10.15" customHeight="1" x14ac:dyDescent="0.2">
      <c r="A171" s="249"/>
      <c r="B171" s="249"/>
      <c r="C171" s="284"/>
      <c r="D171" s="244" t="s">
        <v>263</v>
      </c>
      <c r="E171" s="281"/>
      <c r="F171" s="257"/>
      <c r="G171" s="249"/>
      <c r="H171" s="242">
        <v>1775</v>
      </c>
      <c r="I171" s="251">
        <f>H171/H180</f>
        <v>5.632953571768589E-2</v>
      </c>
      <c r="J171" s="252"/>
      <c r="K171" s="226"/>
    </row>
    <row r="172" spans="1:11" ht="10.15" customHeight="1" x14ac:dyDescent="0.2">
      <c r="A172" s="249"/>
      <c r="B172" s="249"/>
      <c r="C172" s="284"/>
      <c r="D172" s="244" t="s">
        <v>292</v>
      </c>
      <c r="E172" s="281"/>
      <c r="F172" s="257"/>
      <c r="G172" s="249"/>
      <c r="H172" s="242">
        <v>1792</v>
      </c>
      <c r="I172" s="251">
        <f>H172/H180</f>
        <v>5.6869029862587669E-2</v>
      </c>
      <c r="J172" s="242"/>
      <c r="K172" s="226"/>
    </row>
    <row r="173" spans="1:11" ht="10.15" customHeight="1" x14ac:dyDescent="0.2">
      <c r="A173" s="249"/>
      <c r="B173" s="249"/>
      <c r="C173" s="284"/>
      <c r="D173" s="244" t="s">
        <v>293</v>
      </c>
      <c r="E173" s="281"/>
      <c r="F173" s="257"/>
      <c r="G173" s="249"/>
      <c r="H173" s="242">
        <v>13041</v>
      </c>
      <c r="I173" s="251">
        <f>H173/H180</f>
        <v>0.41385547903906572</v>
      </c>
      <c r="J173" s="252" t="s">
        <v>241</v>
      </c>
      <c r="K173" s="226"/>
    </row>
    <row r="174" spans="1:11" ht="10.15" customHeight="1" x14ac:dyDescent="0.2">
      <c r="A174" s="249"/>
      <c r="B174" s="249"/>
      <c r="C174" s="284"/>
      <c r="D174" s="244" t="s">
        <v>244</v>
      </c>
      <c r="E174" s="281"/>
      <c r="F174" s="257"/>
      <c r="G174" s="249"/>
      <c r="H174" s="242">
        <v>1782</v>
      </c>
      <c r="I174" s="251">
        <f>H174/H180</f>
        <v>5.6551680365586623E-2</v>
      </c>
      <c r="J174" s="252"/>
      <c r="K174" s="226"/>
    </row>
    <row r="175" spans="1:11" ht="10.15" customHeight="1" x14ac:dyDescent="0.2">
      <c r="A175" s="249"/>
      <c r="B175" s="249"/>
      <c r="C175" s="284"/>
      <c r="D175" s="244" t="s">
        <v>264</v>
      </c>
      <c r="E175" s="281"/>
      <c r="F175" s="257"/>
      <c r="G175" s="249"/>
      <c r="H175" s="242">
        <v>3290</v>
      </c>
      <c r="I175" s="251">
        <f>H175/H180</f>
        <v>0.10440798451334454</v>
      </c>
      <c r="J175" s="252"/>
      <c r="K175" s="226"/>
    </row>
    <row r="176" spans="1:11" ht="10.15" customHeight="1" x14ac:dyDescent="0.2">
      <c r="A176" s="249"/>
      <c r="B176" s="249"/>
      <c r="C176" s="284"/>
      <c r="D176" s="244" t="s">
        <v>295</v>
      </c>
      <c r="E176" s="281"/>
      <c r="F176" s="257"/>
      <c r="G176" s="249"/>
      <c r="H176" s="242">
        <v>281</v>
      </c>
      <c r="I176" s="251">
        <f>H176/H180</f>
        <v>8.9175208657294273E-3</v>
      </c>
      <c r="J176" s="252"/>
      <c r="K176" s="226"/>
    </row>
    <row r="177" spans="1:11" ht="10.15" customHeight="1" x14ac:dyDescent="0.2">
      <c r="A177" s="249"/>
      <c r="B177" s="249"/>
      <c r="C177" s="284"/>
      <c r="D177" s="244" t="s">
        <v>290</v>
      </c>
      <c r="E177" s="281"/>
      <c r="F177" s="257"/>
      <c r="G177" s="249"/>
      <c r="H177" s="242">
        <v>4041</v>
      </c>
      <c r="I177" s="251">
        <f>H177/H180</f>
        <v>0.1282409317381232</v>
      </c>
      <c r="J177" s="252"/>
      <c r="K177" s="226"/>
    </row>
    <row r="178" spans="1:11" ht="10.15" customHeight="1" x14ac:dyDescent="0.2">
      <c r="A178" s="249"/>
      <c r="B178" s="249"/>
      <c r="C178" s="284"/>
      <c r="D178" s="244" t="s">
        <v>294</v>
      </c>
      <c r="E178" s="281"/>
      <c r="F178" s="257"/>
      <c r="G178" s="249"/>
      <c r="H178" s="242">
        <v>3518</v>
      </c>
      <c r="I178" s="251">
        <f>H178/H180</f>
        <v>0.11164355304496842</v>
      </c>
      <c r="J178" s="252"/>
      <c r="K178" s="226"/>
    </row>
    <row r="179" spans="1:11" ht="10.5" customHeight="1" x14ac:dyDescent="0.2">
      <c r="A179" s="249"/>
      <c r="B179" s="249"/>
      <c r="C179" s="284"/>
      <c r="D179" s="244" t="s">
        <v>287</v>
      </c>
      <c r="E179" s="281"/>
      <c r="F179" s="257"/>
      <c r="G179" s="249"/>
      <c r="H179" s="242">
        <v>1991</v>
      </c>
      <c r="I179" s="251">
        <f>H179/H180</f>
        <v>6.3184284852908515E-2</v>
      </c>
      <c r="J179" s="252"/>
      <c r="K179" s="226"/>
    </row>
    <row r="180" spans="1:11" ht="10.15" customHeight="1" x14ac:dyDescent="0.2">
      <c r="A180" s="249"/>
      <c r="B180" s="249"/>
      <c r="C180" s="284"/>
      <c r="D180" s="243" t="s">
        <v>33</v>
      </c>
      <c r="E180" s="281"/>
      <c r="F180" s="257"/>
      <c r="G180" s="249"/>
      <c r="H180" s="265">
        <f>SUM(H171:H179)</f>
        <v>31511</v>
      </c>
      <c r="I180" s="256">
        <f>SUM(I171:I179)</f>
        <v>1</v>
      </c>
      <c r="J180" s="242"/>
      <c r="K180" s="226"/>
    </row>
    <row r="181" spans="1:11" ht="10.15" customHeight="1" x14ac:dyDescent="0.2">
      <c r="A181" s="249"/>
      <c r="B181" s="249"/>
      <c r="C181" s="284"/>
      <c r="D181" s="243"/>
      <c r="E181" s="281"/>
      <c r="F181" s="257"/>
      <c r="G181" s="249"/>
      <c r="H181" s="249"/>
      <c r="I181" s="262"/>
      <c r="J181" s="242"/>
      <c r="K181" s="226"/>
    </row>
    <row r="182" spans="1:11" ht="10.15" customHeight="1" x14ac:dyDescent="0.2">
      <c r="A182" s="261" t="s">
        <v>24</v>
      </c>
      <c r="B182" s="264">
        <v>101</v>
      </c>
      <c r="C182" s="243" t="s">
        <v>291</v>
      </c>
      <c r="D182" s="249" t="s">
        <v>429</v>
      </c>
      <c r="E182" s="336">
        <v>37099</v>
      </c>
      <c r="F182" s="257">
        <v>3940109</v>
      </c>
      <c r="G182" s="249">
        <v>34396</v>
      </c>
      <c r="H182" s="242"/>
      <c r="I182" s="251"/>
      <c r="J182" s="242"/>
      <c r="K182" s="226"/>
    </row>
    <row r="183" spans="1:11" ht="10.15" customHeight="1" x14ac:dyDescent="0.2">
      <c r="A183" s="249"/>
      <c r="B183" s="249"/>
      <c r="C183" s="284"/>
      <c r="D183" s="244" t="s">
        <v>287</v>
      </c>
      <c r="E183" s="281"/>
      <c r="F183" s="257"/>
      <c r="G183" s="249"/>
      <c r="H183" s="242">
        <v>28413</v>
      </c>
      <c r="I183" s="251">
        <f>H183/H184</f>
        <v>1</v>
      </c>
      <c r="J183" s="252" t="s">
        <v>287</v>
      </c>
      <c r="K183" s="226"/>
    </row>
    <row r="184" spans="1:11" ht="10.15" customHeight="1" x14ac:dyDescent="0.2">
      <c r="A184" s="249"/>
      <c r="B184" s="249"/>
      <c r="C184" s="284"/>
      <c r="D184" s="243" t="s">
        <v>33</v>
      </c>
      <c r="E184" s="281"/>
      <c r="F184" s="257"/>
      <c r="G184" s="249"/>
      <c r="H184" s="265">
        <f>SUM(H183:H183)</f>
        <v>28413</v>
      </c>
      <c r="I184" s="256">
        <f>SUM(I183:I183)</f>
        <v>1</v>
      </c>
      <c r="J184" s="242"/>
      <c r="K184" s="226"/>
    </row>
    <row r="185" spans="1:11" ht="10.15" customHeight="1" x14ac:dyDescent="0.2">
      <c r="A185" s="249"/>
      <c r="B185" s="249"/>
      <c r="C185" s="284"/>
      <c r="D185" s="243"/>
      <c r="E185" s="281"/>
      <c r="F185" s="257"/>
      <c r="G185" s="249"/>
      <c r="H185" s="249"/>
      <c r="I185" s="262"/>
      <c r="J185" s="242"/>
      <c r="K185" s="226"/>
    </row>
    <row r="186" spans="1:11" ht="10.15" customHeight="1" x14ac:dyDescent="0.2">
      <c r="A186" s="261" t="s">
        <v>24</v>
      </c>
      <c r="B186" s="264">
        <v>112</v>
      </c>
      <c r="C186" s="243" t="s">
        <v>291</v>
      </c>
      <c r="D186" s="249" t="s">
        <v>430</v>
      </c>
      <c r="E186" s="281">
        <v>36678</v>
      </c>
      <c r="F186" s="257">
        <v>4973201</v>
      </c>
      <c r="G186" s="249">
        <v>30800</v>
      </c>
      <c r="H186" s="242"/>
      <c r="I186" s="251"/>
      <c r="J186" s="242"/>
      <c r="K186" s="226"/>
    </row>
    <row r="187" spans="1:11" ht="10.15" customHeight="1" x14ac:dyDescent="0.2">
      <c r="A187" s="249"/>
      <c r="B187" s="249"/>
      <c r="C187" s="284"/>
      <c r="D187" s="244" t="s">
        <v>264</v>
      </c>
      <c r="E187" s="281"/>
      <c r="F187" s="257"/>
      <c r="G187" s="249"/>
      <c r="H187" s="242">
        <v>21566</v>
      </c>
      <c r="I187" s="251">
        <f>H187/H189</f>
        <v>0.90173942130791107</v>
      </c>
      <c r="J187" s="252" t="s">
        <v>264</v>
      </c>
      <c r="K187" s="226"/>
    </row>
    <row r="188" spans="1:11" ht="10.15" customHeight="1" x14ac:dyDescent="0.2">
      <c r="A188" s="249"/>
      <c r="B188" s="249"/>
      <c r="C188" s="284"/>
      <c r="D188" s="244" t="s">
        <v>290</v>
      </c>
      <c r="E188" s="281"/>
      <c r="F188" s="257"/>
      <c r="G188" s="249"/>
      <c r="H188" s="242">
        <v>2350</v>
      </c>
      <c r="I188" s="251">
        <f>H188/H189</f>
        <v>9.8260578692088985E-2</v>
      </c>
      <c r="J188" s="252"/>
      <c r="K188" s="226"/>
    </row>
    <row r="189" spans="1:11" ht="10.15" customHeight="1" x14ac:dyDescent="0.2">
      <c r="A189" s="249"/>
      <c r="B189" s="249"/>
      <c r="C189" s="284"/>
      <c r="D189" s="243" t="s">
        <v>33</v>
      </c>
      <c r="E189" s="281"/>
      <c r="F189" s="257"/>
      <c r="G189" s="249"/>
      <c r="H189" s="265">
        <f>SUM(H187:H188)</f>
        <v>23916</v>
      </c>
      <c r="I189" s="256">
        <f>SUM(I187:I188)</f>
        <v>1</v>
      </c>
      <c r="J189" s="242"/>
      <c r="K189" s="226"/>
    </row>
    <row r="190" spans="1:11" ht="10.15" customHeight="1" x14ac:dyDescent="0.2">
      <c r="A190" s="249"/>
      <c r="B190" s="249"/>
      <c r="C190" s="284"/>
      <c r="D190" s="243"/>
      <c r="E190" s="281"/>
      <c r="F190" s="257"/>
      <c r="G190" s="249"/>
      <c r="H190" s="249"/>
      <c r="I190" s="262"/>
      <c r="J190" s="242"/>
      <c r="K190" s="226"/>
    </row>
    <row r="191" spans="1:11" ht="10.15" customHeight="1" x14ac:dyDescent="0.2">
      <c r="A191" s="261" t="s">
        <v>24</v>
      </c>
      <c r="B191" s="264">
        <v>130</v>
      </c>
      <c r="C191" s="243" t="s">
        <v>291</v>
      </c>
      <c r="D191" s="249" t="s">
        <v>431</v>
      </c>
      <c r="E191" s="336">
        <v>36739</v>
      </c>
      <c r="F191" s="257">
        <v>4292437</v>
      </c>
      <c r="G191" s="249">
        <v>27126</v>
      </c>
      <c r="H191" s="242"/>
      <c r="I191" s="251"/>
      <c r="J191" s="242"/>
      <c r="K191" s="226"/>
    </row>
    <row r="192" spans="1:11" ht="10.15" customHeight="1" x14ac:dyDescent="0.2">
      <c r="A192" s="249"/>
      <c r="B192" s="249"/>
      <c r="C192" s="284"/>
      <c r="D192" s="244" t="s">
        <v>293</v>
      </c>
      <c r="E192" s="281"/>
      <c r="F192" s="257"/>
      <c r="G192" s="249"/>
      <c r="H192" s="242">
        <v>7985</v>
      </c>
      <c r="I192" s="251">
        <f>H192/H195</f>
        <v>0.44047881729920563</v>
      </c>
      <c r="J192" s="252" t="s">
        <v>241</v>
      </c>
      <c r="K192" s="226"/>
    </row>
    <row r="193" spans="1:11" ht="10.15" customHeight="1" x14ac:dyDescent="0.2">
      <c r="A193" s="249"/>
      <c r="B193" s="249"/>
      <c r="C193" s="284"/>
      <c r="D193" s="244" t="s">
        <v>286</v>
      </c>
      <c r="E193" s="281"/>
      <c r="F193" s="257"/>
      <c r="G193" s="249"/>
      <c r="H193" s="242">
        <v>676</v>
      </c>
      <c r="I193" s="251">
        <f>H193/H195</f>
        <v>3.7290379523389233E-2</v>
      </c>
      <c r="J193" s="252"/>
      <c r="K193" s="226"/>
    </row>
    <row r="194" spans="1:11" ht="10.15" customHeight="1" x14ac:dyDescent="0.2">
      <c r="A194" s="249"/>
      <c r="B194" s="249"/>
      <c r="C194" s="284"/>
      <c r="D194" s="244" t="s">
        <v>290</v>
      </c>
      <c r="E194" s="281"/>
      <c r="F194" s="257"/>
      <c r="G194" s="249"/>
      <c r="H194" s="242">
        <v>9467</v>
      </c>
      <c r="I194" s="251">
        <f>H194/H195</f>
        <v>0.52223080317740511</v>
      </c>
      <c r="J194" s="252" t="s">
        <v>290</v>
      </c>
      <c r="K194" s="226"/>
    </row>
    <row r="195" spans="1:11" ht="10.15" customHeight="1" x14ac:dyDescent="0.2">
      <c r="A195" s="249"/>
      <c r="B195" s="249"/>
      <c r="C195" s="284"/>
      <c r="D195" s="243" t="s">
        <v>33</v>
      </c>
      <c r="E195" s="281"/>
      <c r="F195" s="257"/>
      <c r="G195" s="249"/>
      <c r="H195" s="265">
        <f>SUM(H192:H194)</f>
        <v>18128</v>
      </c>
      <c r="I195" s="256">
        <f>SUM(I192:I194)</f>
        <v>1</v>
      </c>
      <c r="J195" s="242"/>
      <c r="K195" s="226"/>
    </row>
    <row r="196" spans="1:11" ht="10.15" customHeight="1" x14ac:dyDescent="0.2">
      <c r="A196" s="249"/>
      <c r="B196" s="249"/>
      <c r="C196" s="284"/>
      <c r="D196" s="243"/>
      <c r="E196" s="281"/>
      <c r="F196" s="257"/>
      <c r="G196" s="249"/>
      <c r="H196" s="249"/>
      <c r="I196" s="262"/>
      <c r="J196" s="242"/>
      <c r="K196" s="226"/>
    </row>
    <row r="197" spans="1:11" ht="10.15" customHeight="1" x14ac:dyDescent="0.2">
      <c r="A197" s="261" t="s">
        <v>24</v>
      </c>
      <c r="B197" s="264">
        <v>156</v>
      </c>
      <c r="C197" s="243" t="s">
        <v>291</v>
      </c>
      <c r="D197" s="249" t="s">
        <v>432</v>
      </c>
      <c r="E197" s="336">
        <v>36678</v>
      </c>
      <c r="F197" s="257">
        <v>2896779</v>
      </c>
      <c r="G197" s="249">
        <v>19275</v>
      </c>
      <c r="H197" s="242"/>
      <c r="I197" s="251"/>
      <c r="J197" s="242"/>
      <c r="K197" s="226"/>
    </row>
    <row r="198" spans="1:11" ht="10.15" customHeight="1" x14ac:dyDescent="0.2">
      <c r="A198" s="249"/>
      <c r="B198" s="249"/>
      <c r="C198" s="284"/>
      <c r="D198" s="244" t="s">
        <v>263</v>
      </c>
      <c r="E198" s="281"/>
      <c r="F198" s="257"/>
      <c r="G198" s="249"/>
      <c r="H198" s="242">
        <v>4400</v>
      </c>
      <c r="I198" s="251">
        <f>H198/H204</f>
        <v>0.34241245136186771</v>
      </c>
      <c r="J198" s="252" t="s">
        <v>263</v>
      </c>
      <c r="K198" s="226"/>
    </row>
    <row r="199" spans="1:11" ht="10.15" customHeight="1" x14ac:dyDescent="0.2">
      <c r="A199" s="249"/>
      <c r="B199" s="249"/>
      <c r="C199" s="284"/>
      <c r="D199" s="244" t="s">
        <v>292</v>
      </c>
      <c r="E199" s="281"/>
      <c r="F199" s="257"/>
      <c r="G199" s="249"/>
      <c r="H199" s="242">
        <v>480</v>
      </c>
      <c r="I199" s="251">
        <f>H199/H204</f>
        <v>3.735408560311284E-2</v>
      </c>
      <c r="J199" s="242"/>
      <c r="K199" s="226"/>
    </row>
    <row r="200" spans="1:11" ht="10.15" customHeight="1" x14ac:dyDescent="0.2">
      <c r="A200" s="249"/>
      <c r="B200" s="249"/>
      <c r="C200" s="284"/>
      <c r="D200" s="244" t="s">
        <v>293</v>
      </c>
      <c r="E200" s="281"/>
      <c r="F200" s="257"/>
      <c r="G200" s="249"/>
      <c r="H200" s="242">
        <v>3240</v>
      </c>
      <c r="I200" s="251">
        <f>H200/H204</f>
        <v>0.25214007782101167</v>
      </c>
      <c r="J200" s="252"/>
      <c r="K200" s="226"/>
    </row>
    <row r="201" spans="1:11" ht="10.15" customHeight="1" x14ac:dyDescent="0.2">
      <c r="A201" s="249"/>
      <c r="B201" s="249"/>
      <c r="C201" s="284"/>
      <c r="D201" s="244" t="s">
        <v>286</v>
      </c>
      <c r="E201" s="281"/>
      <c r="F201" s="257"/>
      <c r="G201" s="249"/>
      <c r="H201" s="242">
        <v>600</v>
      </c>
      <c r="I201" s="251">
        <f>H201/H204</f>
        <v>4.6692607003891051E-2</v>
      </c>
      <c r="J201" s="252"/>
      <c r="K201" s="226"/>
    </row>
    <row r="202" spans="1:11" ht="10.15" customHeight="1" x14ac:dyDescent="0.2">
      <c r="A202" s="249"/>
      <c r="B202" s="249"/>
      <c r="C202" s="284"/>
      <c r="D202" s="244" t="s">
        <v>290</v>
      </c>
      <c r="E202" s="281"/>
      <c r="F202" s="257"/>
      <c r="G202" s="249"/>
      <c r="H202" s="242">
        <v>3930</v>
      </c>
      <c r="I202" s="251">
        <f>H202/H204</f>
        <v>0.3058365758754864</v>
      </c>
      <c r="J202" s="252"/>
      <c r="K202" s="226"/>
    </row>
    <row r="203" spans="1:11" ht="10.15" customHeight="1" x14ac:dyDescent="0.2">
      <c r="A203" s="249"/>
      <c r="B203" s="249"/>
      <c r="C203" s="284"/>
      <c r="D203" s="244" t="s">
        <v>287</v>
      </c>
      <c r="E203" s="281"/>
      <c r="F203" s="257"/>
      <c r="G203" s="249"/>
      <c r="H203" s="242">
        <v>200</v>
      </c>
      <c r="I203" s="251">
        <f>H203/H204</f>
        <v>1.556420233463035E-2</v>
      </c>
      <c r="J203" s="252"/>
      <c r="K203" s="226"/>
    </row>
    <row r="204" spans="1:11" ht="10.15" customHeight="1" x14ac:dyDescent="0.2">
      <c r="A204" s="249"/>
      <c r="B204" s="249"/>
      <c r="C204" s="284"/>
      <c r="D204" s="243" t="s">
        <v>33</v>
      </c>
      <c r="E204" s="281"/>
      <c r="F204" s="257"/>
      <c r="G204" s="249"/>
      <c r="H204" s="265">
        <f>SUM(H198:H203)</f>
        <v>12850</v>
      </c>
      <c r="I204" s="256">
        <f>SUM(I198:I203)</f>
        <v>1</v>
      </c>
      <c r="J204" s="242"/>
      <c r="K204" s="226"/>
    </row>
    <row r="205" spans="1:11" ht="10.15" customHeight="1" x14ac:dyDescent="0.2">
      <c r="A205" s="249"/>
      <c r="B205" s="249"/>
      <c r="C205" s="284"/>
      <c r="D205" s="243"/>
      <c r="E205" s="281"/>
      <c r="F205" s="257"/>
      <c r="G205" s="249"/>
      <c r="H205" s="249"/>
      <c r="I205" s="262"/>
      <c r="J205" s="242"/>
      <c r="K205" s="226"/>
    </row>
    <row r="206" spans="1:11" ht="10.15" customHeight="1" x14ac:dyDescent="0.2">
      <c r="A206" s="261" t="s">
        <v>24</v>
      </c>
      <c r="B206" s="264">
        <v>191</v>
      </c>
      <c r="C206" s="243" t="s">
        <v>291</v>
      </c>
      <c r="D206" s="249" t="s">
        <v>454</v>
      </c>
      <c r="E206" s="336">
        <v>37208</v>
      </c>
      <c r="F206" s="257">
        <v>6509873</v>
      </c>
      <c r="G206" s="249">
        <v>47541</v>
      </c>
      <c r="H206" s="242"/>
      <c r="I206" s="251"/>
      <c r="J206" s="242"/>
      <c r="K206" s="226"/>
    </row>
    <row r="207" spans="1:11" ht="10.15" customHeight="1" x14ac:dyDescent="0.2">
      <c r="A207" s="249"/>
      <c r="B207" s="249"/>
      <c r="C207" s="284"/>
      <c r="D207" s="244" t="s">
        <v>263</v>
      </c>
      <c r="E207" s="281"/>
      <c r="F207" s="257"/>
      <c r="G207" s="249"/>
      <c r="H207" s="242">
        <v>4920</v>
      </c>
      <c r="I207" s="251">
        <f>H207/H213</f>
        <v>0.15523442922950717</v>
      </c>
      <c r="J207" s="242"/>
      <c r="K207" s="226"/>
    </row>
    <row r="208" spans="1:11" ht="10.15" customHeight="1" x14ac:dyDescent="0.2">
      <c r="A208" s="249"/>
      <c r="B208" s="249"/>
      <c r="C208" s="284"/>
      <c r="D208" s="244" t="s">
        <v>292</v>
      </c>
      <c r="E208" s="281"/>
      <c r="F208" s="257"/>
      <c r="G208" s="249"/>
      <c r="H208" s="242">
        <v>17400</v>
      </c>
      <c r="I208" s="251">
        <f>H208/H213</f>
        <v>0.54899981068972048</v>
      </c>
      <c r="J208" s="252" t="s">
        <v>292</v>
      </c>
      <c r="K208" s="226"/>
    </row>
    <row r="209" spans="1:11" ht="10.15" customHeight="1" x14ac:dyDescent="0.2">
      <c r="A209" s="249"/>
      <c r="B209" s="249"/>
      <c r="C209" s="284"/>
      <c r="D209" s="244" t="s">
        <v>293</v>
      </c>
      <c r="E209" s="281"/>
      <c r="F209" s="257"/>
      <c r="G209" s="249"/>
      <c r="H209" s="242">
        <v>2600</v>
      </c>
      <c r="I209" s="251">
        <f>H209/H213</f>
        <v>8.2034454470877774E-2</v>
      </c>
      <c r="J209" s="252"/>
      <c r="K209" s="226"/>
    </row>
    <row r="210" spans="1:11" ht="10.15" customHeight="1" x14ac:dyDescent="0.2">
      <c r="A210" s="249"/>
      <c r="B210" s="249"/>
      <c r="C210" s="284"/>
      <c r="D210" s="244" t="s">
        <v>286</v>
      </c>
      <c r="E210" s="281"/>
      <c r="F210" s="257"/>
      <c r="G210" s="249"/>
      <c r="H210" s="242">
        <v>125</v>
      </c>
      <c r="I210" s="251">
        <f>H210/H213</f>
        <v>3.943964157253739E-3</v>
      </c>
      <c r="J210" s="252"/>
      <c r="K210" s="226"/>
    </row>
    <row r="211" spans="1:11" ht="10.15" customHeight="1" x14ac:dyDescent="0.2">
      <c r="A211" s="249"/>
      <c r="B211" s="249"/>
      <c r="C211" s="284"/>
      <c r="D211" s="244" t="s">
        <v>455</v>
      </c>
      <c r="E211" s="281"/>
      <c r="F211" s="257"/>
      <c r="G211" s="249"/>
      <c r="H211" s="242">
        <v>1324</v>
      </c>
      <c r="I211" s="251">
        <f>H211/H213</f>
        <v>4.1774468353631605E-2</v>
      </c>
      <c r="J211" s="252"/>
      <c r="K211" s="226"/>
    </row>
    <row r="212" spans="1:11" ht="10.15" customHeight="1" x14ac:dyDescent="0.2">
      <c r="A212" s="249"/>
      <c r="B212" s="249"/>
      <c r="C212" s="284"/>
      <c r="D212" s="244" t="s">
        <v>290</v>
      </c>
      <c r="E212" s="281"/>
      <c r="F212" s="257"/>
      <c r="G212" s="249"/>
      <c r="H212" s="242">
        <v>5325</v>
      </c>
      <c r="I212" s="251">
        <f>H212/H213</f>
        <v>0.16801287309900928</v>
      </c>
      <c r="J212" s="252"/>
      <c r="K212" s="226"/>
    </row>
    <row r="213" spans="1:11" ht="10.15" customHeight="1" x14ac:dyDescent="0.2">
      <c r="A213" s="249"/>
      <c r="B213" s="249"/>
      <c r="C213" s="284"/>
      <c r="D213" s="243" t="s">
        <v>33</v>
      </c>
      <c r="E213" s="281"/>
      <c r="F213" s="257"/>
      <c r="G213" s="249"/>
      <c r="H213" s="265">
        <f>SUM(H207:H212)</f>
        <v>31694</v>
      </c>
      <c r="I213" s="256">
        <f>SUM(I207:I212)</f>
        <v>1</v>
      </c>
      <c r="J213" s="242"/>
      <c r="K213" s="226"/>
    </row>
    <row r="214" spans="1:11" ht="10.15" customHeight="1" x14ac:dyDescent="0.2">
      <c r="A214" s="249"/>
      <c r="B214" s="249"/>
      <c r="C214" s="284"/>
      <c r="D214" s="243"/>
      <c r="E214" s="281"/>
      <c r="F214" s="257"/>
      <c r="G214" s="249"/>
      <c r="H214" s="249"/>
      <c r="I214" s="262"/>
      <c r="J214" s="242"/>
      <c r="K214" s="226"/>
    </row>
    <row r="215" spans="1:11" ht="10.15" customHeight="1" x14ac:dyDescent="0.2">
      <c r="A215" s="261" t="s">
        <v>24</v>
      </c>
      <c r="B215" s="264">
        <v>133</v>
      </c>
      <c r="C215" s="243" t="s">
        <v>291</v>
      </c>
      <c r="D215" s="249" t="s">
        <v>471</v>
      </c>
      <c r="E215" s="336">
        <v>37424</v>
      </c>
      <c r="F215" s="257">
        <v>6099269</v>
      </c>
      <c r="G215" s="249">
        <v>45840</v>
      </c>
      <c r="H215" s="242"/>
      <c r="I215" s="251"/>
      <c r="J215" s="242"/>
      <c r="K215" s="226"/>
    </row>
    <row r="216" spans="1:11" ht="10.15" customHeight="1" x14ac:dyDescent="0.2">
      <c r="A216" s="249"/>
      <c r="B216" s="249"/>
      <c r="C216" s="284"/>
      <c r="D216" s="244" t="s">
        <v>292</v>
      </c>
      <c r="E216" s="281"/>
      <c r="F216" s="257"/>
      <c r="G216" s="249"/>
      <c r="H216" s="242">
        <v>13160</v>
      </c>
      <c r="I216" s="251">
        <f>H216/H$219</f>
        <v>0.4306282722513089</v>
      </c>
      <c r="J216" s="252" t="s">
        <v>292</v>
      </c>
      <c r="K216" s="226"/>
    </row>
    <row r="217" spans="1:11" ht="10.15" customHeight="1" x14ac:dyDescent="0.2">
      <c r="A217" s="249"/>
      <c r="B217" s="249"/>
      <c r="C217" s="284"/>
      <c r="D217" s="244" t="s">
        <v>290</v>
      </c>
      <c r="E217" s="281"/>
      <c r="F217" s="257"/>
      <c r="G217" s="249"/>
      <c r="H217" s="242">
        <v>4550</v>
      </c>
      <c r="I217" s="251">
        <f>H217/H$219</f>
        <v>0.14888743455497383</v>
      </c>
      <c r="J217" s="242"/>
      <c r="K217" s="226"/>
    </row>
    <row r="218" spans="1:11" ht="10.15" customHeight="1" x14ac:dyDescent="0.2">
      <c r="A218" s="249"/>
      <c r="B218" s="249"/>
      <c r="C218" s="284"/>
      <c r="D218" s="244" t="s">
        <v>287</v>
      </c>
      <c r="E218" s="281"/>
      <c r="F218" s="257"/>
      <c r="G218" s="249"/>
      <c r="H218" s="249">
        <v>12850</v>
      </c>
      <c r="I218" s="262">
        <f>H218/H$219</f>
        <v>0.42048429319371727</v>
      </c>
      <c r="J218" s="266"/>
      <c r="K218" s="226"/>
    </row>
    <row r="219" spans="1:11" ht="10.15" customHeight="1" x14ac:dyDescent="0.2">
      <c r="A219" s="249"/>
      <c r="B219" s="249"/>
      <c r="C219" s="284"/>
      <c r="D219" s="243" t="s">
        <v>33</v>
      </c>
      <c r="E219" s="281"/>
      <c r="F219" s="257"/>
      <c r="G219" s="249"/>
      <c r="H219" s="265">
        <f>SUM(H216:H218)</f>
        <v>30560</v>
      </c>
      <c r="I219" s="256">
        <f>SUM(I216:I218)</f>
        <v>1</v>
      </c>
      <c r="J219" s="249"/>
      <c r="K219" s="226"/>
    </row>
    <row r="220" spans="1:11" ht="10.15" customHeight="1" x14ac:dyDescent="0.2">
      <c r="A220" s="249"/>
      <c r="B220" s="249"/>
      <c r="C220" s="284"/>
      <c r="D220" s="243"/>
      <c r="E220" s="281"/>
      <c r="F220" s="257"/>
      <c r="G220" s="249"/>
      <c r="H220" s="249"/>
      <c r="I220" s="262"/>
      <c r="J220" s="242"/>
      <c r="K220" s="226"/>
    </row>
    <row r="221" spans="1:11" ht="10.15" customHeight="1" x14ac:dyDescent="0.2">
      <c r="A221" s="261" t="s">
        <v>24</v>
      </c>
      <c r="B221" s="264">
        <v>135</v>
      </c>
      <c r="C221" s="243" t="s">
        <v>291</v>
      </c>
      <c r="D221" s="249" t="s">
        <v>472</v>
      </c>
      <c r="E221" s="336">
        <v>37283</v>
      </c>
      <c r="F221" s="257">
        <v>7422106</v>
      </c>
      <c r="G221" s="249">
        <v>51089</v>
      </c>
      <c r="H221" s="242"/>
      <c r="I221" s="251"/>
      <c r="J221" s="242"/>
      <c r="K221" s="226"/>
    </row>
    <row r="222" spans="1:11" ht="10.15" customHeight="1" x14ac:dyDescent="0.2">
      <c r="A222" s="249"/>
      <c r="B222" s="249"/>
      <c r="C222" s="284"/>
      <c r="D222" s="244" t="s">
        <v>263</v>
      </c>
      <c r="E222" s="281"/>
      <c r="F222" s="257"/>
      <c r="G222" s="249"/>
      <c r="H222" s="242">
        <v>11447</v>
      </c>
      <c r="I222" s="251">
        <f>H222/H$226</f>
        <v>0.32340726091255828</v>
      </c>
      <c r="J222" s="252" t="s">
        <v>263</v>
      </c>
      <c r="K222" s="226"/>
    </row>
    <row r="223" spans="1:11" ht="10.15" customHeight="1" x14ac:dyDescent="0.2">
      <c r="A223" s="249"/>
      <c r="B223" s="249"/>
      <c r="C223" s="284"/>
      <c r="D223" s="244" t="s">
        <v>286</v>
      </c>
      <c r="E223" s="281"/>
      <c r="F223" s="257"/>
      <c r="G223" s="249"/>
      <c r="H223" s="242">
        <v>8612</v>
      </c>
      <c r="I223" s="251">
        <f>H223/H$226</f>
        <v>0.24331120214719593</v>
      </c>
      <c r="J223" s="252"/>
      <c r="K223" s="226"/>
    </row>
    <row r="224" spans="1:11" ht="10.15" customHeight="1" x14ac:dyDescent="0.2">
      <c r="A224" s="249"/>
      <c r="B224" s="249"/>
      <c r="C224" s="284"/>
      <c r="D224" s="244" t="s">
        <v>455</v>
      </c>
      <c r="E224" s="281"/>
      <c r="F224" s="257"/>
      <c r="G224" s="249"/>
      <c r="H224" s="242">
        <v>191</v>
      </c>
      <c r="I224" s="251">
        <f>H224/H$226</f>
        <v>5.3962424071196495E-3</v>
      </c>
      <c r="J224" s="252"/>
      <c r="K224" s="226"/>
    </row>
    <row r="225" spans="1:14" ht="10.15" customHeight="1" x14ac:dyDescent="0.2">
      <c r="A225" s="249"/>
      <c r="B225" s="249"/>
      <c r="C225" s="284"/>
      <c r="D225" s="244" t="s">
        <v>290</v>
      </c>
      <c r="E225" s="281"/>
      <c r="F225" s="257"/>
      <c r="G225" s="249"/>
      <c r="H225" s="249">
        <v>15145</v>
      </c>
      <c r="I225" s="262">
        <f>H225/H$226</f>
        <v>0.42788529453312613</v>
      </c>
      <c r="J225" s="266" t="s">
        <v>290</v>
      </c>
      <c r="K225" s="226"/>
    </row>
    <row r="226" spans="1:14" ht="10.15" customHeight="1" x14ac:dyDescent="0.2">
      <c r="A226" s="249"/>
      <c r="B226" s="249"/>
      <c r="C226" s="284"/>
      <c r="D226" s="243" t="s">
        <v>33</v>
      </c>
      <c r="E226" s="281"/>
      <c r="F226" s="257"/>
      <c r="G226" s="249"/>
      <c r="H226" s="265">
        <f>SUM(H222:H225)</f>
        <v>35395</v>
      </c>
      <c r="I226" s="256">
        <f>SUM(I222:I225)</f>
        <v>1</v>
      </c>
      <c r="J226" s="249"/>
      <c r="K226" s="226"/>
    </row>
    <row r="227" spans="1:14" ht="10.15" customHeight="1" x14ac:dyDescent="0.2">
      <c r="A227" s="249"/>
      <c r="B227" s="249"/>
      <c r="C227" s="284"/>
      <c r="D227" s="243"/>
      <c r="E227" s="281"/>
      <c r="F227" s="257"/>
      <c r="G227" s="249"/>
      <c r="H227" s="249"/>
      <c r="I227" s="262"/>
      <c r="J227" s="242"/>
      <c r="K227" s="226"/>
    </row>
    <row r="228" spans="1:14" ht="10.15" customHeight="1" x14ac:dyDescent="0.2">
      <c r="A228" s="261" t="s">
        <v>24</v>
      </c>
      <c r="B228" s="264">
        <v>161</v>
      </c>
      <c r="C228" s="243" t="s">
        <v>291</v>
      </c>
      <c r="D228" s="249" t="s">
        <v>473</v>
      </c>
      <c r="E228" s="336">
        <v>37585</v>
      </c>
      <c r="F228" s="257">
        <v>6700000</v>
      </c>
      <c r="G228" s="249">
        <v>58404</v>
      </c>
      <c r="H228" s="242"/>
      <c r="I228" s="251"/>
      <c r="J228" s="242"/>
      <c r="K228" s="226"/>
    </row>
    <row r="229" spans="1:14" ht="10.15" customHeight="1" x14ac:dyDescent="0.2">
      <c r="A229" s="249"/>
      <c r="B229" s="249"/>
      <c r="C229" s="284"/>
      <c r="D229" s="244" t="s">
        <v>293</v>
      </c>
      <c r="E229" s="281"/>
      <c r="F229" s="257"/>
      <c r="G229" s="249"/>
      <c r="H229" s="242">
        <v>4800</v>
      </c>
      <c r="I229" s="251">
        <f>H229/H$233</f>
        <v>0.19762032195644119</v>
      </c>
      <c r="J229" s="252"/>
      <c r="K229" s="226"/>
    </row>
    <row r="230" spans="1:14" ht="10.15" customHeight="1" x14ac:dyDescent="0.2">
      <c r="A230" s="249"/>
      <c r="B230" s="249"/>
      <c r="C230" s="284"/>
      <c r="D230" s="244" t="s">
        <v>244</v>
      </c>
      <c r="E230" s="281"/>
      <c r="F230" s="257"/>
      <c r="G230" s="249"/>
      <c r="H230" s="242">
        <v>900</v>
      </c>
      <c r="I230" s="251">
        <f>H230/H$233</f>
        <v>3.7053810366832723E-2</v>
      </c>
      <c r="J230" s="252"/>
      <c r="K230" s="226"/>
    </row>
    <row r="231" spans="1:14" ht="10.15" customHeight="1" x14ac:dyDescent="0.2">
      <c r="A231" s="249"/>
      <c r="B231" s="249"/>
      <c r="C231" s="284"/>
      <c r="D231" s="244" t="s">
        <v>264</v>
      </c>
      <c r="E231" s="281"/>
      <c r="F231" s="257"/>
      <c r="G231" s="249"/>
      <c r="H231" s="242">
        <v>12854</v>
      </c>
      <c r="I231" s="251">
        <f>H231/H$233</f>
        <v>0.52921075383918648</v>
      </c>
      <c r="J231" s="252" t="s">
        <v>264</v>
      </c>
      <c r="K231" s="226"/>
    </row>
    <row r="232" spans="1:14" ht="10.15" customHeight="1" x14ac:dyDescent="0.2">
      <c r="A232" s="249"/>
      <c r="B232" s="249"/>
      <c r="C232" s="284"/>
      <c r="D232" s="244" t="s">
        <v>290</v>
      </c>
      <c r="E232" s="281"/>
      <c r="F232" s="257"/>
      <c r="G232" s="249"/>
      <c r="H232" s="242">
        <v>5735</v>
      </c>
      <c r="I232" s="251">
        <f>H232/H$233</f>
        <v>0.23611511383753964</v>
      </c>
      <c r="J232" s="252"/>
      <c r="K232" s="226"/>
    </row>
    <row r="233" spans="1:14" ht="10.15" customHeight="1" x14ac:dyDescent="0.2">
      <c r="A233" s="249"/>
      <c r="B233" s="249"/>
      <c r="C233" s="284"/>
      <c r="D233" s="243" t="s">
        <v>33</v>
      </c>
      <c r="E233" s="281"/>
      <c r="F233" s="257"/>
      <c r="G233" s="249"/>
      <c r="H233" s="265">
        <f>SUM(H229:H232)</f>
        <v>24289</v>
      </c>
      <c r="I233" s="256">
        <f>SUM(I229:I232)</f>
        <v>1</v>
      </c>
      <c r="J233" s="242"/>
      <c r="K233" s="226"/>
    </row>
    <row r="234" spans="1:14" ht="10.15" customHeight="1" x14ac:dyDescent="0.2">
      <c r="A234" s="249"/>
      <c r="B234" s="249"/>
      <c r="C234" s="284"/>
      <c r="D234" s="243"/>
      <c r="E234" s="281"/>
      <c r="F234" s="257"/>
      <c r="G234" s="249"/>
      <c r="H234" s="249"/>
      <c r="I234" s="262"/>
      <c r="J234" s="242"/>
      <c r="K234" s="226"/>
    </row>
    <row r="235" spans="1:14" ht="10.15" customHeight="1" x14ac:dyDescent="0.2">
      <c r="A235" s="261" t="s">
        <v>24</v>
      </c>
      <c r="B235" s="264">
        <v>115</v>
      </c>
      <c r="C235" s="243" t="s">
        <v>291</v>
      </c>
      <c r="D235" s="249" t="s">
        <v>490</v>
      </c>
      <c r="E235" s="336">
        <v>38078</v>
      </c>
      <c r="F235" s="257">
        <v>4537574</v>
      </c>
      <c r="G235" s="249">
        <v>26000</v>
      </c>
      <c r="H235" s="242"/>
      <c r="I235" s="251"/>
      <c r="J235" s="242"/>
      <c r="K235" s="226"/>
    </row>
    <row r="236" spans="1:14" ht="10.15" customHeight="1" x14ac:dyDescent="0.2">
      <c r="A236" s="249"/>
      <c r="B236" s="249"/>
      <c r="C236" s="284"/>
      <c r="D236" s="244" t="s">
        <v>264</v>
      </c>
      <c r="E236" s="281"/>
      <c r="F236" s="257"/>
      <c r="G236" s="249"/>
      <c r="H236" s="242">
        <v>15000</v>
      </c>
      <c r="I236" s="251">
        <f>H236/H$238</f>
        <v>0.67944014132354935</v>
      </c>
      <c r="J236" s="252" t="s">
        <v>264</v>
      </c>
      <c r="K236" s="226"/>
    </row>
    <row r="237" spans="1:14" ht="10.15" customHeight="1" x14ac:dyDescent="0.2">
      <c r="A237" s="249"/>
      <c r="B237" s="249"/>
      <c r="C237" s="284"/>
      <c r="D237" s="244" t="s">
        <v>287</v>
      </c>
      <c r="E237" s="281"/>
      <c r="F237" s="257"/>
      <c r="G237" s="249"/>
      <c r="H237" s="249">
        <v>7077</v>
      </c>
      <c r="I237" s="251">
        <f>H237/H$238</f>
        <v>0.32055985867645059</v>
      </c>
      <c r="J237" s="266"/>
      <c r="K237" s="226"/>
    </row>
    <row r="238" spans="1:14" ht="10.15" customHeight="1" x14ac:dyDescent="0.2">
      <c r="A238" s="249"/>
      <c r="B238" s="249"/>
      <c r="C238" s="284"/>
      <c r="D238" s="243" t="s">
        <v>33</v>
      </c>
      <c r="E238" s="281"/>
      <c r="F238" s="257"/>
      <c r="G238" s="249"/>
      <c r="H238" s="265">
        <f>SUM(H236:H237)</f>
        <v>22077</v>
      </c>
      <c r="I238" s="256">
        <f>SUM(I236:I237)</f>
        <v>1</v>
      </c>
      <c r="J238" s="249"/>
      <c r="K238" s="226"/>
    </row>
    <row r="239" spans="1:14" ht="10.15" customHeight="1" x14ac:dyDescent="0.2">
      <c r="A239" s="249"/>
      <c r="B239" s="249"/>
      <c r="C239" s="284"/>
      <c r="D239" s="243"/>
      <c r="E239" s="281"/>
      <c r="F239" s="257"/>
      <c r="G239" s="249"/>
      <c r="H239" s="249"/>
      <c r="I239" s="262"/>
      <c r="J239" s="242"/>
      <c r="K239" s="226"/>
      <c r="N239" s="16"/>
    </row>
    <row r="240" spans="1:14" ht="10.15" customHeight="1" x14ac:dyDescent="0.2">
      <c r="A240" s="261" t="s">
        <v>24</v>
      </c>
      <c r="B240" s="264">
        <v>195</v>
      </c>
      <c r="C240" s="243" t="s">
        <v>291</v>
      </c>
      <c r="D240" s="249" t="s">
        <v>512</v>
      </c>
      <c r="E240" s="336">
        <v>38534</v>
      </c>
      <c r="F240" s="257">
        <v>1971715</v>
      </c>
      <c r="G240" s="249">
        <v>9673</v>
      </c>
      <c r="H240" s="242"/>
      <c r="I240" s="251"/>
      <c r="J240" s="242"/>
      <c r="K240" s="226"/>
      <c r="N240" s="16"/>
    </row>
    <row r="241" spans="1:14" ht="10.15" customHeight="1" x14ac:dyDescent="0.2">
      <c r="A241" s="249"/>
      <c r="B241" s="249"/>
      <c r="C241" s="284"/>
      <c r="D241" s="244" t="s">
        <v>293</v>
      </c>
      <c r="E241" s="281"/>
      <c r="F241" s="257"/>
      <c r="G241" s="249"/>
      <c r="H241" s="267">
        <v>1320</v>
      </c>
      <c r="I241" s="251">
        <f>H241/H245</f>
        <v>0.20260936300844207</v>
      </c>
      <c r="J241" s="252"/>
      <c r="K241" s="226"/>
      <c r="N241" s="16"/>
    </row>
    <row r="242" spans="1:14" ht="10.15" customHeight="1" x14ac:dyDescent="0.2">
      <c r="A242" s="249"/>
      <c r="B242" s="249"/>
      <c r="C242" s="284"/>
      <c r="D242" s="244" t="s">
        <v>290</v>
      </c>
      <c r="E242" s="281"/>
      <c r="F242" s="257"/>
      <c r="G242" s="249"/>
      <c r="H242" s="267">
        <v>3915</v>
      </c>
      <c r="I242" s="251">
        <f>H242/H245</f>
        <v>0.60092095165003834</v>
      </c>
      <c r="J242" s="266" t="s">
        <v>290</v>
      </c>
      <c r="K242" s="226"/>
      <c r="N242" s="16"/>
    </row>
    <row r="243" spans="1:14" ht="10.15" customHeight="1" x14ac:dyDescent="0.2">
      <c r="A243" s="249"/>
      <c r="B243" s="249"/>
      <c r="C243" s="284"/>
      <c r="D243" s="254" t="s">
        <v>246</v>
      </c>
      <c r="E243" s="281"/>
      <c r="F243" s="257"/>
      <c r="G243" s="249"/>
      <c r="H243" s="267">
        <v>200</v>
      </c>
      <c r="I243" s="251">
        <f>H243/H245</f>
        <v>3.0698388334612432E-2</v>
      </c>
      <c r="J243" s="252"/>
      <c r="K243" s="226"/>
      <c r="N243" s="16"/>
    </row>
    <row r="244" spans="1:14" ht="10.15" customHeight="1" x14ac:dyDescent="0.2">
      <c r="A244" s="249"/>
      <c r="B244" s="249"/>
      <c r="C244" s="284"/>
      <c r="D244" s="244" t="s">
        <v>287</v>
      </c>
      <c r="E244" s="281"/>
      <c r="F244" s="257"/>
      <c r="G244" s="249"/>
      <c r="H244" s="267">
        <v>1080</v>
      </c>
      <c r="I244" s="251">
        <f>H244/H245</f>
        <v>0.16577129700690713</v>
      </c>
      <c r="J244" s="252"/>
      <c r="K244" s="226"/>
      <c r="N244" s="16"/>
    </row>
    <row r="245" spans="1:14" ht="10.15" customHeight="1" x14ac:dyDescent="0.2">
      <c r="A245" s="249"/>
      <c r="B245" s="249"/>
      <c r="C245" s="284"/>
      <c r="D245" s="243" t="s">
        <v>33</v>
      </c>
      <c r="E245" s="281"/>
      <c r="F245" s="257"/>
      <c r="G245" s="249"/>
      <c r="H245" s="265">
        <f>SUM(H241:H244)</f>
        <v>6515</v>
      </c>
      <c r="I245" s="256">
        <f>SUM(I241:I244)</f>
        <v>1</v>
      </c>
      <c r="J245" s="242"/>
      <c r="K245" s="226"/>
      <c r="N245" s="16"/>
    </row>
    <row r="246" spans="1:14" ht="10.15" customHeight="1" x14ac:dyDescent="0.2">
      <c r="A246" s="249"/>
      <c r="B246" s="249"/>
      <c r="C246" s="284"/>
      <c r="D246" s="243"/>
      <c r="E246" s="281"/>
      <c r="F246" s="257"/>
      <c r="G246" s="249"/>
      <c r="H246" s="249"/>
      <c r="I246" s="262"/>
      <c r="J246" s="242"/>
      <c r="K246" s="226"/>
      <c r="N246" s="16"/>
    </row>
    <row r="247" spans="1:14" ht="10.15" customHeight="1" x14ac:dyDescent="0.2">
      <c r="A247" s="261" t="s">
        <v>24</v>
      </c>
      <c r="B247" s="264">
        <v>201</v>
      </c>
      <c r="C247" s="243" t="s">
        <v>513</v>
      </c>
      <c r="D247" s="58" t="s">
        <v>514</v>
      </c>
      <c r="E247" s="336">
        <v>38436</v>
      </c>
      <c r="F247" s="268">
        <v>2382348</v>
      </c>
      <c r="G247" s="269">
        <v>8566</v>
      </c>
      <c r="H247" s="270"/>
      <c r="I247" s="271"/>
      <c r="J247" s="242"/>
      <c r="K247" s="226"/>
      <c r="N247" s="16"/>
    </row>
    <row r="248" spans="1:14" ht="10.15" customHeight="1" x14ac:dyDescent="0.2">
      <c r="A248" s="249"/>
      <c r="B248" s="249"/>
      <c r="C248" s="284"/>
      <c r="D248" s="244" t="s">
        <v>293</v>
      </c>
      <c r="E248" s="281"/>
      <c r="F248" s="257"/>
      <c r="G248" s="272"/>
      <c r="H248" s="267">
        <v>6800</v>
      </c>
      <c r="I248" s="271">
        <f>H248/H250</f>
        <v>0.91275167785234901</v>
      </c>
      <c r="J248" s="252" t="s">
        <v>241</v>
      </c>
      <c r="K248" s="226"/>
      <c r="N248" s="16"/>
    </row>
    <row r="249" spans="1:14" ht="10.15" customHeight="1" x14ac:dyDescent="0.2">
      <c r="A249" s="249"/>
      <c r="B249" s="249"/>
      <c r="C249" s="284"/>
      <c r="D249" s="244" t="s">
        <v>290</v>
      </c>
      <c r="E249" s="281"/>
      <c r="F249" s="257"/>
      <c r="G249" s="272"/>
      <c r="H249" s="267">
        <v>650</v>
      </c>
      <c r="I249" s="271">
        <f>H249/H250</f>
        <v>8.7248322147651006E-2</v>
      </c>
      <c r="J249" s="252"/>
      <c r="K249" s="226"/>
      <c r="N249" s="16"/>
    </row>
    <row r="250" spans="1:14" ht="10.15" customHeight="1" x14ac:dyDescent="0.2">
      <c r="A250" s="249"/>
      <c r="B250" s="249"/>
      <c r="C250" s="284"/>
      <c r="D250" s="243" t="s">
        <v>33</v>
      </c>
      <c r="E250" s="281"/>
      <c r="F250" s="257"/>
      <c r="G250" s="272"/>
      <c r="H250" s="273">
        <f>SUM(H248:H249)</f>
        <v>7450</v>
      </c>
      <c r="I250" s="274">
        <f>SUM(I248:I249)</f>
        <v>1</v>
      </c>
      <c r="J250" s="242"/>
      <c r="K250" s="226"/>
      <c r="N250" s="16"/>
    </row>
    <row r="251" spans="1:14" ht="10.15" customHeight="1" x14ac:dyDescent="0.2">
      <c r="A251" s="249"/>
      <c r="B251" s="249"/>
      <c r="C251" s="284"/>
      <c r="D251" s="243"/>
      <c r="E251" s="281"/>
      <c r="F251" s="257"/>
      <c r="G251" s="272"/>
      <c r="H251" s="272"/>
      <c r="I251" s="275"/>
      <c r="J251" s="242"/>
      <c r="K251" s="226"/>
      <c r="N251" s="16"/>
    </row>
    <row r="252" spans="1:14" ht="10.15" customHeight="1" x14ac:dyDescent="0.2">
      <c r="A252" s="261" t="s">
        <v>24</v>
      </c>
      <c r="B252" s="276">
        <v>214</v>
      </c>
      <c r="C252" s="243" t="s">
        <v>291</v>
      </c>
      <c r="D252" s="58" t="s">
        <v>515</v>
      </c>
      <c r="E252" s="277">
        <v>38385</v>
      </c>
      <c r="F252" s="245">
        <v>3017139</v>
      </c>
      <c r="G252" s="269">
        <v>19750</v>
      </c>
      <c r="H252" s="270"/>
      <c r="I252" s="271"/>
      <c r="J252" s="253"/>
      <c r="K252" s="226"/>
      <c r="N252" s="16"/>
    </row>
    <row r="253" spans="1:14" ht="10.15" customHeight="1" x14ac:dyDescent="0.2">
      <c r="A253" s="248"/>
      <c r="B253" s="248"/>
      <c r="C253" s="261"/>
      <c r="D253" s="244" t="s">
        <v>263</v>
      </c>
      <c r="E253" s="281"/>
      <c r="F253" s="257"/>
      <c r="G253" s="272"/>
      <c r="H253" s="267">
        <v>4410</v>
      </c>
      <c r="I253" s="271">
        <f>ROUND(H253/$H$258,4)</f>
        <v>0.36370000000000002</v>
      </c>
      <c r="J253" s="253" t="s">
        <v>263</v>
      </c>
      <c r="K253" s="226"/>
      <c r="N253" s="16"/>
    </row>
    <row r="254" spans="1:14" ht="10.15" customHeight="1" x14ac:dyDescent="0.2">
      <c r="A254" s="248"/>
      <c r="B254" s="248"/>
      <c r="C254" s="261"/>
      <c r="D254" s="244" t="s">
        <v>240</v>
      </c>
      <c r="E254" s="281"/>
      <c r="F254" s="257"/>
      <c r="G254" s="272"/>
      <c r="H254" s="267">
        <v>6035</v>
      </c>
      <c r="I254" s="271">
        <f>ROUND(H254/$H$258,4)</f>
        <v>0.49769999999999998</v>
      </c>
      <c r="J254" s="253" t="s">
        <v>240</v>
      </c>
      <c r="K254" s="226"/>
      <c r="N254" s="16"/>
    </row>
    <row r="255" spans="1:14" ht="10.15" customHeight="1" x14ac:dyDescent="0.2">
      <c r="A255" s="248"/>
      <c r="B255" s="248"/>
      <c r="C255" s="261"/>
      <c r="D255" s="244" t="s">
        <v>242</v>
      </c>
      <c r="E255" s="281"/>
      <c r="F255" s="257"/>
      <c r="G255" s="272"/>
      <c r="H255" s="267">
        <v>1125</v>
      </c>
      <c r="I255" s="271">
        <f>ROUND(H255/$H$258,4)</f>
        <v>9.2799999999999994E-2</v>
      </c>
      <c r="J255" s="252"/>
      <c r="K255" s="226"/>
      <c r="N255" s="16"/>
    </row>
    <row r="256" spans="1:14" ht="10.15" customHeight="1" x14ac:dyDescent="0.2">
      <c r="A256" s="248"/>
      <c r="B256" s="248"/>
      <c r="C256" s="261"/>
      <c r="D256" s="254" t="s">
        <v>246</v>
      </c>
      <c r="E256" s="281"/>
      <c r="F256" s="257"/>
      <c r="G256" s="272"/>
      <c r="H256" s="278">
        <v>110</v>
      </c>
      <c r="I256" s="271">
        <f>ROUND(H256/$H$258,4)</f>
        <v>9.1000000000000004E-3</v>
      </c>
      <c r="J256" s="253"/>
      <c r="K256" s="226"/>
      <c r="N256" s="16"/>
    </row>
    <row r="257" spans="1:14" ht="10.15" customHeight="1" x14ac:dyDescent="0.2">
      <c r="A257" s="248"/>
      <c r="B257" s="248"/>
      <c r="C257" s="261"/>
      <c r="D257" s="244" t="s">
        <v>480</v>
      </c>
      <c r="E257" s="281"/>
      <c r="F257" s="257"/>
      <c r="G257" s="272"/>
      <c r="H257" s="278">
        <v>445</v>
      </c>
      <c r="I257" s="271">
        <f>ROUND(H257/$H$258,4)</f>
        <v>3.6700000000000003E-2</v>
      </c>
      <c r="J257" s="253"/>
      <c r="K257" s="226"/>
      <c r="N257" s="16"/>
    </row>
    <row r="258" spans="1:14" ht="10.15" customHeight="1" x14ac:dyDescent="0.2">
      <c r="A258" s="279"/>
      <c r="B258" s="248"/>
      <c r="C258" s="261"/>
      <c r="D258" s="243" t="s">
        <v>33</v>
      </c>
      <c r="E258" s="281"/>
      <c r="F258" s="257"/>
      <c r="G258" s="249"/>
      <c r="H258" s="255">
        <f>SUM(H253:H257)</f>
        <v>12125</v>
      </c>
      <c r="I258" s="256">
        <f>SUM(I253:I257)</f>
        <v>0.99999999999999989</v>
      </c>
      <c r="J258" s="253"/>
      <c r="K258" s="226"/>
      <c r="N258" s="16"/>
    </row>
    <row r="259" spans="1:14" ht="10.15" customHeight="1" x14ac:dyDescent="0.2">
      <c r="A259" s="249"/>
      <c r="B259" s="249"/>
      <c r="C259" s="284"/>
      <c r="D259" s="243"/>
      <c r="E259" s="281"/>
      <c r="F259" s="257"/>
      <c r="G259" s="249"/>
      <c r="H259" s="249"/>
      <c r="I259" s="262"/>
      <c r="J259" s="242"/>
      <c r="K259" s="226"/>
      <c r="N259" s="16"/>
    </row>
    <row r="260" spans="1:14" ht="10.15" customHeight="1" x14ac:dyDescent="0.2">
      <c r="A260" s="261" t="s">
        <v>24</v>
      </c>
      <c r="B260" s="264">
        <v>202</v>
      </c>
      <c r="C260" s="243" t="s">
        <v>291</v>
      </c>
      <c r="D260" s="249" t="s">
        <v>535</v>
      </c>
      <c r="E260" s="336">
        <v>38899</v>
      </c>
      <c r="F260" s="257">
        <v>26888481</v>
      </c>
      <c r="G260" s="249">
        <v>51000</v>
      </c>
      <c r="H260" s="242"/>
      <c r="I260" s="251"/>
      <c r="J260" s="242"/>
      <c r="K260" s="226"/>
      <c r="N260" s="16"/>
    </row>
    <row r="261" spans="1:14" ht="10.15" customHeight="1" x14ac:dyDescent="0.2">
      <c r="A261" s="249"/>
      <c r="B261" s="249"/>
      <c r="C261" s="284"/>
      <c r="D261" s="244" t="s">
        <v>293</v>
      </c>
      <c r="E261" s="281"/>
      <c r="F261" s="257"/>
      <c r="G261" s="249"/>
      <c r="H261" s="267">
        <v>16131</v>
      </c>
      <c r="I261" s="251">
        <f>H261/H265</f>
        <v>0.56697479877684442</v>
      </c>
      <c r="J261" s="252" t="s">
        <v>241</v>
      </c>
      <c r="K261" s="226"/>
      <c r="N261" s="16"/>
    </row>
    <row r="262" spans="1:14" ht="10.15" customHeight="1" x14ac:dyDescent="0.2">
      <c r="A262" s="249"/>
      <c r="B262" s="249"/>
      <c r="C262" s="284"/>
      <c r="D262" s="244" t="s">
        <v>290</v>
      </c>
      <c r="E262" s="281"/>
      <c r="F262" s="257"/>
      <c r="G262" s="249"/>
      <c r="H262" s="267">
        <v>6845</v>
      </c>
      <c r="I262" s="251">
        <f>H262/H265</f>
        <v>0.24058908298478085</v>
      </c>
      <c r="J262" s="266"/>
      <c r="K262" s="226"/>
      <c r="N262" s="16"/>
    </row>
    <row r="263" spans="1:14" ht="10.15" customHeight="1" x14ac:dyDescent="0.2">
      <c r="A263" s="249"/>
      <c r="B263" s="249"/>
      <c r="C263" s="284"/>
      <c r="D263" s="254" t="s">
        <v>246</v>
      </c>
      <c r="E263" s="281"/>
      <c r="F263" s="257"/>
      <c r="G263" s="249"/>
      <c r="H263" s="267">
        <v>1630</v>
      </c>
      <c r="I263" s="251">
        <f>H263/H265</f>
        <v>5.7291483603388281E-2</v>
      </c>
      <c r="J263" s="252"/>
      <c r="K263" s="226"/>
      <c r="N263" s="16"/>
    </row>
    <row r="264" spans="1:14" ht="10.15" customHeight="1" x14ac:dyDescent="0.2">
      <c r="A264" s="249"/>
      <c r="B264" s="249"/>
      <c r="C264" s="284"/>
      <c r="D264" s="244" t="s">
        <v>287</v>
      </c>
      <c r="E264" s="281"/>
      <c r="F264" s="257"/>
      <c r="G264" s="249"/>
      <c r="H264" s="267">
        <v>3845</v>
      </c>
      <c r="I264" s="251">
        <f>H264/H265</f>
        <v>0.13514463463498647</v>
      </c>
      <c r="J264" s="252"/>
      <c r="K264" s="226"/>
      <c r="N264" s="16"/>
    </row>
    <row r="265" spans="1:14" ht="10.15" customHeight="1" x14ac:dyDescent="0.2">
      <c r="A265" s="249"/>
      <c r="B265" s="249"/>
      <c r="C265" s="284"/>
      <c r="D265" s="243" t="s">
        <v>33</v>
      </c>
      <c r="E265" s="281"/>
      <c r="F265" s="257"/>
      <c r="G265" s="249"/>
      <c r="H265" s="265">
        <f>SUM(H261:H264)</f>
        <v>28451</v>
      </c>
      <c r="I265" s="256">
        <f>SUM(I261:I264)</f>
        <v>1</v>
      </c>
      <c r="J265" s="242"/>
      <c r="K265" s="226"/>
      <c r="N265" s="16"/>
    </row>
    <row r="266" spans="1:14" ht="10.15" customHeight="1" x14ac:dyDescent="0.2">
      <c r="A266" s="249"/>
      <c r="B266" s="249"/>
      <c r="C266" s="284"/>
      <c r="D266" s="243"/>
      <c r="E266" s="281"/>
      <c r="F266" s="257"/>
      <c r="G266" s="249"/>
      <c r="H266" s="249"/>
      <c r="I266" s="262"/>
      <c r="J266" s="242"/>
      <c r="K266" s="226"/>
      <c r="N266" s="16"/>
    </row>
    <row r="267" spans="1:14" ht="10.15" customHeight="1" x14ac:dyDescent="0.2">
      <c r="A267" s="261" t="s">
        <v>24</v>
      </c>
      <c r="B267" s="276">
        <v>288</v>
      </c>
      <c r="C267" s="243" t="s">
        <v>291</v>
      </c>
      <c r="D267" s="280" t="s">
        <v>536</v>
      </c>
      <c r="E267" s="277">
        <v>38991</v>
      </c>
      <c r="F267" s="245">
        <v>13427105</v>
      </c>
      <c r="G267" s="269">
        <v>40978</v>
      </c>
      <c r="H267" s="270"/>
      <c r="I267" s="271"/>
      <c r="J267" s="253"/>
      <c r="K267" s="226"/>
      <c r="N267" s="16"/>
    </row>
    <row r="268" spans="1:14" ht="10.15" customHeight="1" x14ac:dyDescent="0.2">
      <c r="A268" s="248"/>
      <c r="B268" s="248"/>
      <c r="C268" s="261"/>
      <c r="D268" s="244" t="s">
        <v>263</v>
      </c>
      <c r="E268" s="281"/>
      <c r="F268" s="257"/>
      <c r="G268" s="272"/>
      <c r="H268" s="267">
        <v>6400</v>
      </c>
      <c r="I268" s="271">
        <f t="shared" ref="I268:I273" si="2">ROUND(H268/$H$274,4)</f>
        <v>0.27829999999999999</v>
      </c>
      <c r="J268" s="253"/>
      <c r="K268" s="226"/>
      <c r="N268" s="16"/>
    </row>
    <row r="269" spans="1:14" ht="10.15" customHeight="1" x14ac:dyDescent="0.2">
      <c r="A269" s="248"/>
      <c r="B269" s="248"/>
      <c r="C269" s="261"/>
      <c r="D269" s="244" t="s">
        <v>286</v>
      </c>
      <c r="E269" s="281"/>
      <c r="F269" s="257"/>
      <c r="G269" s="272"/>
      <c r="H269" s="267">
        <v>700</v>
      </c>
      <c r="I269" s="271">
        <f t="shared" si="2"/>
        <v>3.04E-2</v>
      </c>
      <c r="J269" s="253"/>
      <c r="K269" s="226"/>
      <c r="N269" s="16"/>
    </row>
    <row r="270" spans="1:14" ht="10.15" customHeight="1" x14ac:dyDescent="0.2">
      <c r="A270" s="248"/>
      <c r="B270" s="248"/>
      <c r="C270" s="261"/>
      <c r="D270" s="244" t="s">
        <v>264</v>
      </c>
      <c r="E270" s="281"/>
      <c r="F270" s="257"/>
      <c r="G270" s="272"/>
      <c r="H270" s="267">
        <v>3400</v>
      </c>
      <c r="I270" s="271">
        <f t="shared" si="2"/>
        <v>0.14779999999999999</v>
      </c>
      <c r="J270" s="253"/>
      <c r="K270" s="226"/>
      <c r="N270" s="16"/>
    </row>
    <row r="271" spans="1:14" ht="10.15" customHeight="1" x14ac:dyDescent="0.2">
      <c r="A271" s="248"/>
      <c r="B271" s="248"/>
      <c r="C271" s="261"/>
      <c r="D271" s="244" t="s">
        <v>242</v>
      </c>
      <c r="E271" s="281"/>
      <c r="F271" s="257"/>
      <c r="G271" s="272"/>
      <c r="H271" s="267">
        <v>9500</v>
      </c>
      <c r="I271" s="271">
        <f t="shared" si="2"/>
        <v>0.41299999999999998</v>
      </c>
      <c r="J271" s="266" t="s">
        <v>290</v>
      </c>
      <c r="K271" s="226"/>
      <c r="N271" s="16"/>
    </row>
    <row r="272" spans="1:14" ht="10.15" customHeight="1" x14ac:dyDescent="0.2">
      <c r="A272" s="248"/>
      <c r="B272" s="248"/>
      <c r="C272" s="261"/>
      <c r="D272" s="254" t="s">
        <v>246</v>
      </c>
      <c r="E272" s="281"/>
      <c r="F272" s="257"/>
      <c r="G272" s="272"/>
      <c r="H272" s="278">
        <v>1100</v>
      </c>
      <c r="I272" s="271">
        <f t="shared" si="2"/>
        <v>4.7800000000000002E-2</v>
      </c>
      <c r="J272" s="253"/>
      <c r="K272" s="226"/>
      <c r="N272" s="16"/>
    </row>
    <row r="273" spans="1:14" ht="10.15" customHeight="1" x14ac:dyDescent="0.2">
      <c r="A273" s="248"/>
      <c r="B273" s="248"/>
      <c r="C273" s="261"/>
      <c r="D273" s="244" t="s">
        <v>480</v>
      </c>
      <c r="E273" s="281"/>
      <c r="F273" s="257"/>
      <c r="G273" s="272"/>
      <c r="H273" s="278">
        <v>1900</v>
      </c>
      <c r="I273" s="271">
        <f t="shared" si="2"/>
        <v>8.2600000000000007E-2</v>
      </c>
      <c r="J273" s="253"/>
      <c r="K273" s="226"/>
      <c r="N273" s="16"/>
    </row>
    <row r="274" spans="1:14" ht="10.15" customHeight="1" x14ac:dyDescent="0.2">
      <c r="A274" s="279"/>
      <c r="B274" s="248"/>
      <c r="C274" s="261"/>
      <c r="D274" s="243" t="s">
        <v>33</v>
      </c>
      <c r="E274" s="281"/>
      <c r="F274" s="257"/>
      <c r="G274" s="249"/>
      <c r="H274" s="255">
        <f>SUM(H268:H273)</f>
        <v>23000</v>
      </c>
      <c r="I274" s="256">
        <v>1</v>
      </c>
      <c r="J274" s="253"/>
      <c r="K274" s="226"/>
      <c r="N274" s="16"/>
    </row>
    <row r="275" spans="1:14" ht="10.15" customHeight="1" x14ac:dyDescent="0.2">
      <c r="A275" s="279"/>
      <c r="B275" s="248"/>
      <c r="C275" s="261"/>
      <c r="D275" s="243"/>
      <c r="E275" s="281"/>
      <c r="F275" s="257"/>
      <c r="G275" s="249"/>
      <c r="H275" s="246"/>
      <c r="I275" s="262"/>
      <c r="J275" s="253"/>
      <c r="K275" s="226"/>
      <c r="N275" s="16"/>
    </row>
    <row r="276" spans="1:14" ht="10.15" customHeight="1" x14ac:dyDescent="0.2">
      <c r="A276" s="261" t="s">
        <v>24</v>
      </c>
      <c r="B276" s="264">
        <v>242</v>
      </c>
      <c r="C276" s="243" t="s">
        <v>291</v>
      </c>
      <c r="D276" s="249" t="s">
        <v>538</v>
      </c>
      <c r="E276" s="277">
        <v>38991</v>
      </c>
      <c r="F276" s="257">
        <v>3292498</v>
      </c>
      <c r="G276" s="249">
        <v>9175</v>
      </c>
      <c r="H276" s="242"/>
      <c r="I276" s="251"/>
      <c r="J276" s="242"/>
      <c r="K276" s="226"/>
      <c r="N276" s="16"/>
    </row>
    <row r="277" spans="1:14" ht="10.15" customHeight="1" x14ac:dyDescent="0.2">
      <c r="A277" s="249"/>
      <c r="B277" s="249"/>
      <c r="C277" s="284"/>
      <c r="D277" s="244" t="s">
        <v>293</v>
      </c>
      <c r="E277" s="281"/>
      <c r="F277" s="257"/>
      <c r="G277" s="249"/>
      <c r="H277" s="267">
        <v>4650</v>
      </c>
      <c r="I277" s="251">
        <f>H277/H280</f>
        <v>0.73448112462486181</v>
      </c>
      <c r="J277" s="252" t="s">
        <v>241</v>
      </c>
      <c r="K277" s="226"/>
      <c r="N277" s="16"/>
    </row>
    <row r="278" spans="1:14" ht="10.15" customHeight="1" x14ac:dyDescent="0.2">
      <c r="A278" s="249"/>
      <c r="B278" s="249"/>
      <c r="C278" s="284"/>
      <c r="D278" s="244" t="s">
        <v>290</v>
      </c>
      <c r="E278" s="281"/>
      <c r="F278" s="257"/>
      <c r="G278" s="249"/>
      <c r="H278" s="267">
        <v>1225</v>
      </c>
      <c r="I278" s="251">
        <f>H278/H280</f>
        <v>0.19349233928289369</v>
      </c>
      <c r="J278" s="266"/>
      <c r="K278" s="226"/>
      <c r="N278" s="16"/>
    </row>
    <row r="279" spans="1:14" ht="10.15" customHeight="1" x14ac:dyDescent="0.2">
      <c r="A279" s="249"/>
      <c r="B279" s="249"/>
      <c r="C279" s="284"/>
      <c r="D279" s="254" t="s">
        <v>246</v>
      </c>
      <c r="E279" s="281"/>
      <c r="F279" s="257"/>
      <c r="G279" s="249"/>
      <c r="H279" s="267">
        <v>456</v>
      </c>
      <c r="I279" s="251">
        <f>H279/H280</f>
        <v>7.2026536092244506E-2</v>
      </c>
      <c r="J279" s="252"/>
      <c r="K279" s="226"/>
      <c r="N279" s="16"/>
    </row>
    <row r="280" spans="1:14" ht="10.15" customHeight="1" x14ac:dyDescent="0.2">
      <c r="A280" s="249"/>
      <c r="B280" s="249"/>
      <c r="C280" s="284"/>
      <c r="D280" s="243" t="s">
        <v>33</v>
      </c>
      <c r="E280" s="281"/>
      <c r="F280" s="257"/>
      <c r="G280" s="249"/>
      <c r="H280" s="265">
        <f>SUM(H277:H279)</f>
        <v>6331</v>
      </c>
      <c r="I280" s="256">
        <f>SUM(I277:I279)</f>
        <v>1</v>
      </c>
      <c r="J280" s="242"/>
      <c r="K280" s="226"/>
      <c r="N280" s="16"/>
    </row>
    <row r="281" spans="1:14" ht="10.15" customHeight="1" x14ac:dyDescent="0.2">
      <c r="A281" s="249"/>
      <c r="B281" s="249"/>
      <c r="C281" s="284"/>
      <c r="D281" s="243"/>
      <c r="E281" s="281"/>
      <c r="F281" s="257"/>
      <c r="G281" s="249"/>
      <c r="H281" s="249"/>
      <c r="I281" s="262"/>
      <c r="J281" s="242"/>
      <c r="K281" s="226"/>
      <c r="N281" s="16"/>
    </row>
    <row r="282" spans="1:14" ht="10.15" customHeight="1" x14ac:dyDescent="0.2">
      <c r="A282" s="261" t="s">
        <v>24</v>
      </c>
      <c r="B282" s="276">
        <v>269</v>
      </c>
      <c r="C282" s="243" t="s">
        <v>291</v>
      </c>
      <c r="D282" s="280" t="s">
        <v>555</v>
      </c>
      <c r="E282" s="277">
        <v>39387</v>
      </c>
      <c r="F282" s="245">
        <v>69643336</v>
      </c>
      <c r="G282" s="269">
        <v>163000</v>
      </c>
      <c r="H282" s="270"/>
      <c r="I282" s="271"/>
      <c r="J282" s="253"/>
      <c r="K282" s="226"/>
      <c r="N282" s="16"/>
    </row>
    <row r="283" spans="1:14" ht="10.15" customHeight="1" x14ac:dyDescent="0.2">
      <c r="A283" s="248"/>
      <c r="B283" s="248"/>
      <c r="C283" s="261"/>
      <c r="D283" s="244" t="s">
        <v>240</v>
      </c>
      <c r="E283" s="281"/>
      <c r="F283" s="257"/>
      <c r="G283" s="272"/>
      <c r="H283" s="267">
        <v>2037</v>
      </c>
      <c r="I283" s="271">
        <f>ROUND(H283/$H$288,4)</f>
        <v>2.3800000000000002E-2</v>
      </c>
      <c r="J283" s="253"/>
      <c r="K283" s="226"/>
      <c r="N283" s="16"/>
    </row>
    <row r="284" spans="1:14" ht="10.15" customHeight="1" x14ac:dyDescent="0.2">
      <c r="A284" s="248"/>
      <c r="B284" s="248"/>
      <c r="C284" s="261"/>
      <c r="D284" s="244" t="s">
        <v>293</v>
      </c>
      <c r="E284" s="281"/>
      <c r="F284" s="257"/>
      <c r="G284" s="272"/>
      <c r="H284" s="267">
        <v>50336</v>
      </c>
      <c r="I284" s="271">
        <f>ROUND(H284/$H$288,4)</f>
        <v>0.58689999999999998</v>
      </c>
      <c r="J284" s="252" t="s">
        <v>241</v>
      </c>
      <c r="K284" s="226"/>
      <c r="N284" s="16"/>
    </row>
    <row r="285" spans="1:14" ht="10.15" customHeight="1" x14ac:dyDescent="0.2">
      <c r="A285" s="248"/>
      <c r="B285" s="248"/>
      <c r="C285" s="261"/>
      <c r="D285" s="244" t="s">
        <v>242</v>
      </c>
      <c r="E285" s="281"/>
      <c r="F285" s="257"/>
      <c r="G285" s="272"/>
      <c r="H285" s="267">
        <v>14255</v>
      </c>
      <c r="I285" s="271">
        <f>ROUND(H285/$H$288,4)</f>
        <v>0.16619999999999999</v>
      </c>
      <c r="J285" s="266"/>
      <c r="K285" s="226"/>
      <c r="N285" s="16"/>
    </row>
    <row r="286" spans="1:14" ht="10.15" customHeight="1" x14ac:dyDescent="0.2">
      <c r="A286" s="248"/>
      <c r="B286" s="248"/>
      <c r="C286" s="261"/>
      <c r="D286" s="254" t="s">
        <v>246</v>
      </c>
      <c r="E286" s="281"/>
      <c r="F286" s="257"/>
      <c r="G286" s="272"/>
      <c r="H286" s="278">
        <v>12888</v>
      </c>
      <c r="I286" s="271">
        <f>ROUND(H286/$H$288,4)</f>
        <v>0.15029999999999999</v>
      </c>
      <c r="J286" s="253"/>
      <c r="K286" s="226"/>
      <c r="N286" s="16"/>
    </row>
    <row r="287" spans="1:14" ht="10.15" customHeight="1" x14ac:dyDescent="0.2">
      <c r="A287" s="248"/>
      <c r="B287" s="248"/>
      <c r="C287" s="261"/>
      <c r="D287" s="244" t="s">
        <v>480</v>
      </c>
      <c r="E287" s="281"/>
      <c r="F287" s="257"/>
      <c r="G287" s="272"/>
      <c r="H287" s="278">
        <v>6250</v>
      </c>
      <c r="I287" s="271">
        <f>ROUND(H287/$H$288,4)</f>
        <v>7.2900000000000006E-2</v>
      </c>
      <c r="J287" s="253"/>
      <c r="K287" s="226"/>
      <c r="N287" s="16"/>
    </row>
    <row r="288" spans="1:14" ht="10.15" customHeight="1" x14ac:dyDescent="0.2">
      <c r="A288" s="279"/>
      <c r="B288" s="248"/>
      <c r="C288" s="261"/>
      <c r="D288" s="243" t="s">
        <v>33</v>
      </c>
      <c r="E288" s="281"/>
      <c r="F288" s="257"/>
      <c r="G288" s="249"/>
      <c r="H288" s="255">
        <f>SUM(H283:H287)</f>
        <v>85766</v>
      </c>
      <c r="I288" s="256">
        <v>1</v>
      </c>
      <c r="J288" s="253"/>
      <c r="K288" s="226"/>
      <c r="N288" s="16"/>
    </row>
    <row r="289" spans="1:14" ht="10.15" customHeight="1" x14ac:dyDescent="0.2">
      <c r="A289" s="279"/>
      <c r="B289" s="248"/>
      <c r="C289" s="261"/>
      <c r="D289" s="243"/>
      <c r="E289" s="281"/>
      <c r="F289" s="257"/>
      <c r="G289" s="249"/>
      <c r="H289" s="246"/>
      <c r="I289" s="262"/>
      <c r="J289" s="253"/>
      <c r="K289" s="226"/>
      <c r="N289" s="16"/>
    </row>
    <row r="290" spans="1:14" ht="10.15" customHeight="1" x14ac:dyDescent="0.2">
      <c r="A290" s="261" t="s">
        <v>24</v>
      </c>
      <c r="B290" s="276">
        <v>207</v>
      </c>
      <c r="C290" s="243" t="s">
        <v>291</v>
      </c>
      <c r="D290" s="280" t="s">
        <v>556</v>
      </c>
      <c r="E290" s="277">
        <v>39114</v>
      </c>
      <c r="F290" s="245">
        <v>7670000</v>
      </c>
      <c r="G290" s="269">
        <v>18082</v>
      </c>
      <c r="H290" s="270"/>
      <c r="I290" s="271"/>
      <c r="J290" s="253"/>
      <c r="K290" s="226"/>
      <c r="N290" s="16"/>
    </row>
    <row r="291" spans="1:14" ht="10.15" customHeight="1" x14ac:dyDescent="0.2">
      <c r="A291" s="248"/>
      <c r="B291" s="248"/>
      <c r="C291" s="261"/>
      <c r="D291" s="244" t="s">
        <v>264</v>
      </c>
      <c r="E291" s="281"/>
      <c r="F291" s="257"/>
      <c r="G291" s="272"/>
      <c r="H291" s="267">
        <v>5020</v>
      </c>
      <c r="I291" s="271">
        <f>ROUND(H291/$H$294,4)</f>
        <v>0.44169999999999998</v>
      </c>
      <c r="J291" s="266" t="s">
        <v>264</v>
      </c>
      <c r="K291" s="226"/>
      <c r="N291" s="16"/>
    </row>
    <row r="292" spans="1:14" ht="10.15" customHeight="1" x14ac:dyDescent="0.2">
      <c r="A292" s="248"/>
      <c r="B292" s="248"/>
      <c r="C292" s="261"/>
      <c r="D292" s="244" t="s">
        <v>242</v>
      </c>
      <c r="E292" s="281"/>
      <c r="F292" s="257"/>
      <c r="G292" s="272"/>
      <c r="H292" s="267">
        <v>2058</v>
      </c>
      <c r="I292" s="271">
        <f>ROUND(H292/$H$294,4)</f>
        <v>0.18110000000000001</v>
      </c>
      <c r="J292" s="266"/>
      <c r="K292" s="226"/>
      <c r="N292" s="16"/>
    </row>
    <row r="293" spans="1:14" ht="10.15" customHeight="1" x14ac:dyDescent="0.2">
      <c r="A293" s="248"/>
      <c r="B293" s="248"/>
      <c r="C293" s="261"/>
      <c r="D293" s="254" t="s">
        <v>246</v>
      </c>
      <c r="E293" s="281"/>
      <c r="F293" s="257"/>
      <c r="G293" s="272"/>
      <c r="H293" s="278">
        <v>4287</v>
      </c>
      <c r="I293" s="271">
        <f>ROUND(H293/$H$294,4)</f>
        <v>0.37719999999999998</v>
      </c>
      <c r="J293" s="253"/>
      <c r="K293" s="226"/>
      <c r="N293" s="16"/>
    </row>
    <row r="294" spans="1:14" ht="10.15" customHeight="1" x14ac:dyDescent="0.2">
      <c r="A294" s="279"/>
      <c r="B294" s="248"/>
      <c r="C294" s="261"/>
      <c r="D294" s="243" t="s">
        <v>33</v>
      </c>
      <c r="E294" s="281"/>
      <c r="F294" s="257"/>
      <c r="G294" s="249"/>
      <c r="H294" s="255">
        <f>SUM(H291:H293)</f>
        <v>11365</v>
      </c>
      <c r="I294" s="256">
        <v>1</v>
      </c>
      <c r="J294" s="253"/>
      <c r="K294" s="226"/>
      <c r="N294" s="16"/>
    </row>
    <row r="295" spans="1:14" ht="10.15" customHeight="1" x14ac:dyDescent="0.2">
      <c r="A295" s="249"/>
      <c r="B295" s="249"/>
      <c r="C295" s="284"/>
      <c r="D295" s="243"/>
      <c r="E295" s="281"/>
      <c r="F295" s="257"/>
      <c r="G295" s="249"/>
      <c r="H295" s="249"/>
      <c r="I295" s="262"/>
      <c r="J295" s="242"/>
      <c r="K295" s="226"/>
      <c r="N295" s="16"/>
    </row>
    <row r="296" spans="1:14" ht="10.15" customHeight="1" x14ac:dyDescent="0.2">
      <c r="A296" s="261" t="s">
        <v>24</v>
      </c>
      <c r="B296" s="276">
        <v>206</v>
      </c>
      <c r="C296" s="243" t="s">
        <v>291</v>
      </c>
      <c r="D296" s="263" t="s">
        <v>564</v>
      </c>
      <c r="E296" s="277">
        <v>39783</v>
      </c>
      <c r="F296" s="245">
        <v>19065460</v>
      </c>
      <c r="G296" s="269">
        <v>69518</v>
      </c>
      <c r="H296" s="249"/>
      <c r="I296" s="262"/>
      <c r="J296" s="242"/>
      <c r="K296" s="226"/>
      <c r="N296" s="16"/>
    </row>
    <row r="297" spans="1:14" ht="10.15" customHeight="1" x14ac:dyDescent="0.2">
      <c r="A297" s="249"/>
      <c r="B297" s="249"/>
      <c r="C297" s="284"/>
      <c r="D297" s="244" t="s">
        <v>263</v>
      </c>
      <c r="E297" s="281"/>
      <c r="F297" s="257"/>
      <c r="G297" s="249"/>
      <c r="H297" s="249">
        <v>16654</v>
      </c>
      <c r="I297" s="271">
        <f t="shared" ref="I297:I302" si="3">ROUND(H297/$H$303,4)</f>
        <v>0.50070000000000003</v>
      </c>
      <c r="J297" s="253" t="s">
        <v>263</v>
      </c>
      <c r="K297" s="226"/>
      <c r="N297" s="16"/>
    </row>
    <row r="298" spans="1:14" ht="10.15" customHeight="1" x14ac:dyDescent="0.2">
      <c r="A298" s="249"/>
      <c r="B298" s="249"/>
      <c r="C298" s="284"/>
      <c r="D298" s="244" t="s">
        <v>286</v>
      </c>
      <c r="E298" s="281"/>
      <c r="F298" s="257"/>
      <c r="G298" s="249"/>
      <c r="H298" s="249">
        <v>2411</v>
      </c>
      <c r="I298" s="271">
        <f t="shared" si="3"/>
        <v>7.2499999999999995E-2</v>
      </c>
      <c r="J298" s="242"/>
      <c r="K298" s="226"/>
      <c r="N298" s="16"/>
    </row>
    <row r="299" spans="1:14" ht="10.15" customHeight="1" x14ac:dyDescent="0.2">
      <c r="A299" s="249"/>
      <c r="B299" s="249"/>
      <c r="C299" s="284"/>
      <c r="D299" s="244" t="s">
        <v>264</v>
      </c>
      <c r="E299" s="281"/>
      <c r="F299" s="257"/>
      <c r="G299" s="249"/>
      <c r="H299" s="249">
        <v>2363</v>
      </c>
      <c r="I299" s="271">
        <f t="shared" si="3"/>
        <v>7.0999999999999994E-2</v>
      </c>
      <c r="J299" s="242"/>
      <c r="K299" s="226"/>
      <c r="N299" s="16"/>
    </row>
    <row r="300" spans="1:14" ht="10.15" customHeight="1" x14ac:dyDescent="0.2">
      <c r="A300" s="249"/>
      <c r="B300" s="249"/>
      <c r="C300" s="284"/>
      <c r="D300" s="244" t="s">
        <v>242</v>
      </c>
      <c r="E300" s="281"/>
      <c r="F300" s="257"/>
      <c r="G300" s="249"/>
      <c r="H300" s="249">
        <v>9988</v>
      </c>
      <c r="I300" s="271">
        <f t="shared" si="3"/>
        <v>0.30030000000000001</v>
      </c>
      <c r="J300" s="266" t="s">
        <v>290</v>
      </c>
      <c r="K300" s="226"/>
      <c r="N300" s="16"/>
    </row>
    <row r="301" spans="1:14" ht="10.15" customHeight="1" x14ac:dyDescent="0.2">
      <c r="A301" s="249"/>
      <c r="B301" s="249"/>
      <c r="C301" s="284"/>
      <c r="D301" s="254" t="s">
        <v>246</v>
      </c>
      <c r="E301" s="281"/>
      <c r="F301" s="257"/>
      <c r="G301" s="249"/>
      <c r="H301" s="249">
        <v>1362</v>
      </c>
      <c r="I301" s="271">
        <f t="shared" si="3"/>
        <v>4.0899999999999999E-2</v>
      </c>
      <c r="J301" s="242"/>
      <c r="K301" s="226"/>
      <c r="N301" s="16"/>
    </row>
    <row r="302" spans="1:14" ht="10.15" customHeight="1" x14ac:dyDescent="0.2">
      <c r="A302" s="249"/>
      <c r="B302" s="249"/>
      <c r="C302" s="284"/>
      <c r="D302" s="244" t="s">
        <v>480</v>
      </c>
      <c r="E302" s="281"/>
      <c r="F302" s="257"/>
      <c r="G302" s="249"/>
      <c r="H302" s="249">
        <v>486</v>
      </c>
      <c r="I302" s="271">
        <f t="shared" si="3"/>
        <v>1.46E-2</v>
      </c>
      <c r="J302" s="242"/>
      <c r="K302" s="226"/>
      <c r="N302" s="16"/>
    </row>
    <row r="303" spans="1:14" ht="10.15" customHeight="1" x14ac:dyDescent="0.2">
      <c r="A303" s="249"/>
      <c r="B303" s="249"/>
      <c r="C303" s="284"/>
      <c r="D303" s="243" t="s">
        <v>33</v>
      </c>
      <c r="E303" s="281"/>
      <c r="F303" s="257"/>
      <c r="G303" s="249"/>
      <c r="H303" s="265">
        <f>SUM(H297:H302)</f>
        <v>33264</v>
      </c>
      <c r="I303" s="256">
        <f>SUM(I297:I302)</f>
        <v>1</v>
      </c>
      <c r="J303" s="242"/>
      <c r="K303" s="226"/>
      <c r="N303" s="16"/>
    </row>
    <row r="304" spans="1:14" ht="10.15" customHeight="1" x14ac:dyDescent="0.2">
      <c r="A304" s="249"/>
      <c r="B304" s="249"/>
      <c r="C304" s="284"/>
      <c r="D304" s="243"/>
      <c r="E304" s="281"/>
      <c r="F304" s="257"/>
      <c r="G304" s="249"/>
      <c r="H304" s="249"/>
      <c r="I304" s="262"/>
      <c r="J304" s="242"/>
      <c r="K304" s="226"/>
      <c r="N304" s="16"/>
    </row>
    <row r="305" spans="1:14" ht="10.15" customHeight="1" x14ac:dyDescent="0.2">
      <c r="A305" s="261" t="s">
        <v>24</v>
      </c>
      <c r="B305" s="276">
        <v>275</v>
      </c>
      <c r="C305" s="243" t="s">
        <v>291</v>
      </c>
      <c r="D305" s="263" t="s">
        <v>565</v>
      </c>
      <c r="E305" s="277">
        <v>39508</v>
      </c>
      <c r="F305" s="245">
        <v>40775089</v>
      </c>
      <c r="G305" s="269">
        <v>90000</v>
      </c>
      <c r="H305" s="249"/>
      <c r="I305" s="262"/>
      <c r="J305" s="242"/>
      <c r="K305" s="226"/>
      <c r="N305" s="16"/>
    </row>
    <row r="306" spans="1:14" ht="10.15" customHeight="1" x14ac:dyDescent="0.2">
      <c r="A306" s="249"/>
      <c r="B306" s="249"/>
      <c r="C306" s="284"/>
      <c r="D306" s="244" t="s">
        <v>293</v>
      </c>
      <c r="E306" s="281"/>
      <c r="F306" s="257"/>
      <c r="G306" s="249"/>
      <c r="H306" s="249">
        <v>37434</v>
      </c>
      <c r="I306" s="275">
        <f>ROUND(H306/$H$309,4)</f>
        <v>0.81769999999999998</v>
      </c>
      <c r="J306" s="252" t="s">
        <v>241</v>
      </c>
      <c r="K306" s="226"/>
      <c r="N306" s="16"/>
    </row>
    <row r="307" spans="1:14" ht="10.15" customHeight="1" x14ac:dyDescent="0.2">
      <c r="A307" s="249"/>
      <c r="B307" s="249"/>
      <c r="C307" s="284"/>
      <c r="D307" s="244" t="s">
        <v>264</v>
      </c>
      <c r="E307" s="281"/>
      <c r="F307" s="257"/>
      <c r="G307" s="249"/>
      <c r="H307" s="249">
        <v>1480</v>
      </c>
      <c r="I307" s="275">
        <f>ROUND(H307/$H$309,4)</f>
        <v>3.2300000000000002E-2</v>
      </c>
      <c r="J307" s="242"/>
      <c r="K307" s="226"/>
      <c r="N307" s="16"/>
    </row>
    <row r="308" spans="1:14" ht="10.15" customHeight="1" x14ac:dyDescent="0.2">
      <c r="A308" s="249"/>
      <c r="B308" s="249"/>
      <c r="C308" s="284"/>
      <c r="D308" s="244" t="s">
        <v>242</v>
      </c>
      <c r="E308" s="281"/>
      <c r="F308" s="257"/>
      <c r="G308" s="249"/>
      <c r="H308" s="249">
        <v>6866</v>
      </c>
      <c r="I308" s="275">
        <f>ROUND(H308/$H$309,4)</f>
        <v>0.15</v>
      </c>
      <c r="J308" s="242"/>
      <c r="K308" s="226"/>
      <c r="N308" s="16"/>
    </row>
    <row r="309" spans="1:14" ht="10.15" customHeight="1" x14ac:dyDescent="0.2">
      <c r="A309" s="249"/>
      <c r="B309" s="249"/>
      <c r="C309" s="284"/>
      <c r="D309" s="243" t="s">
        <v>33</v>
      </c>
      <c r="E309" s="281"/>
      <c r="F309" s="257"/>
      <c r="G309" s="249"/>
      <c r="H309" s="265">
        <f>SUM(H306:H308)</f>
        <v>45780</v>
      </c>
      <c r="I309" s="256">
        <f>SUM(I306:I308)</f>
        <v>1</v>
      </c>
      <c r="J309" s="242"/>
      <c r="K309" s="226"/>
      <c r="N309" s="16"/>
    </row>
    <row r="310" spans="1:14" ht="10.15" customHeight="1" x14ac:dyDescent="0.2">
      <c r="A310" s="249"/>
      <c r="B310" s="249"/>
      <c r="C310" s="284"/>
      <c r="D310" s="243"/>
      <c r="E310" s="281"/>
      <c r="F310" s="257"/>
      <c r="G310" s="249"/>
      <c r="H310" s="249"/>
      <c r="I310" s="262"/>
      <c r="J310" s="242"/>
      <c r="K310" s="226"/>
      <c r="N310" s="16"/>
    </row>
    <row r="311" spans="1:14" ht="10.15" customHeight="1" x14ac:dyDescent="0.2">
      <c r="A311" s="261" t="s">
        <v>24</v>
      </c>
      <c r="B311" s="276">
        <v>256</v>
      </c>
      <c r="C311" s="243" t="s">
        <v>291</v>
      </c>
      <c r="D311" s="263" t="s">
        <v>574</v>
      </c>
      <c r="E311" s="281">
        <v>39845</v>
      </c>
      <c r="F311" s="257">
        <v>5972833</v>
      </c>
      <c r="G311" s="249">
        <v>22549</v>
      </c>
      <c r="H311" s="242"/>
      <c r="I311" s="242"/>
      <c r="J311" s="242"/>
      <c r="K311" s="226"/>
      <c r="N311" s="16"/>
    </row>
    <row r="312" spans="1:14" ht="10.15" customHeight="1" x14ac:dyDescent="0.2">
      <c r="A312" s="261"/>
      <c r="B312" s="276"/>
      <c r="C312" s="243"/>
      <c r="D312" s="263" t="s">
        <v>263</v>
      </c>
      <c r="E312" s="281"/>
      <c r="F312" s="257"/>
      <c r="G312" s="249"/>
      <c r="H312" s="249">
        <v>270</v>
      </c>
      <c r="I312" s="275">
        <f>ROUND(H312/$H$316,4)</f>
        <v>2.07E-2</v>
      </c>
      <c r="J312" s="242"/>
      <c r="K312" s="226"/>
      <c r="N312" s="16"/>
    </row>
    <row r="313" spans="1:14" ht="10.15" customHeight="1" x14ac:dyDescent="0.2">
      <c r="A313" s="249"/>
      <c r="B313" s="249"/>
      <c r="C313" s="284"/>
      <c r="D313" s="244" t="s">
        <v>242</v>
      </c>
      <c r="E313" s="281"/>
      <c r="F313" s="257"/>
      <c r="G313" s="249"/>
      <c r="H313" s="249">
        <v>9145</v>
      </c>
      <c r="I313" s="275">
        <f>ROUND(H313/$H$316,4)</f>
        <v>0.70220000000000005</v>
      </c>
      <c r="J313" s="253" t="s">
        <v>63</v>
      </c>
      <c r="K313" s="226"/>
      <c r="N313" s="16"/>
    </row>
    <row r="314" spans="1:14" ht="10.15" customHeight="1" x14ac:dyDescent="0.2">
      <c r="A314" s="249"/>
      <c r="B314" s="249"/>
      <c r="C314" s="284"/>
      <c r="D314" s="254" t="s">
        <v>246</v>
      </c>
      <c r="E314" s="281"/>
      <c r="F314" s="257"/>
      <c r="G314" s="249"/>
      <c r="H314" s="249">
        <v>280</v>
      </c>
      <c r="I314" s="275">
        <f>ROUND(H314/$H$316,4)</f>
        <v>2.1499999999999998E-2</v>
      </c>
      <c r="J314" s="242"/>
      <c r="K314" s="226"/>
      <c r="N314" s="16"/>
    </row>
    <row r="315" spans="1:14" ht="10.15" customHeight="1" x14ac:dyDescent="0.2">
      <c r="A315" s="249"/>
      <c r="B315" s="249"/>
      <c r="C315" s="284"/>
      <c r="D315" s="244" t="s">
        <v>480</v>
      </c>
      <c r="E315" s="281"/>
      <c r="F315" s="257"/>
      <c r="G315" s="249"/>
      <c r="H315" s="249">
        <v>3328</v>
      </c>
      <c r="I315" s="275">
        <f>ROUND(H315/$H$316,4)</f>
        <v>0.2555</v>
      </c>
      <c r="J315" s="242"/>
      <c r="K315" s="226"/>
      <c r="N315" s="16"/>
    </row>
    <row r="316" spans="1:14" ht="10.15" customHeight="1" x14ac:dyDescent="0.2">
      <c r="A316" s="249"/>
      <c r="B316" s="249"/>
      <c r="C316" s="284"/>
      <c r="D316" s="243" t="s">
        <v>33</v>
      </c>
      <c r="E316" s="281"/>
      <c r="F316" s="257"/>
      <c r="G316" s="249"/>
      <c r="H316" s="265">
        <f>SUM(H312:H315)</f>
        <v>13023</v>
      </c>
      <c r="I316" s="256">
        <f>SUM(I312:I315)</f>
        <v>0.99990000000000001</v>
      </c>
      <c r="J316" s="242"/>
      <c r="K316" s="226"/>
      <c r="N316" s="16"/>
    </row>
    <row r="317" spans="1:14" ht="10.15" customHeight="1" x14ac:dyDescent="0.2">
      <c r="A317" s="249"/>
      <c r="B317" s="249"/>
      <c r="C317" s="284"/>
      <c r="D317" s="243"/>
      <c r="E317" s="281"/>
      <c r="F317" s="257"/>
      <c r="G317" s="249"/>
      <c r="H317" s="249"/>
      <c r="I317" s="262"/>
      <c r="J317" s="242"/>
      <c r="K317" s="226"/>
      <c r="N317" s="16"/>
    </row>
    <row r="318" spans="1:14" ht="10.15" customHeight="1" x14ac:dyDescent="0.2">
      <c r="A318" s="261" t="s">
        <v>24</v>
      </c>
      <c r="B318" s="261">
        <v>303</v>
      </c>
      <c r="C318" s="261" t="s">
        <v>291</v>
      </c>
      <c r="D318" s="263" t="s">
        <v>575</v>
      </c>
      <c r="E318" s="281">
        <v>39448</v>
      </c>
      <c r="F318" s="257">
        <v>5396258</v>
      </c>
      <c r="G318" s="249">
        <v>21535</v>
      </c>
      <c r="H318" s="242"/>
      <c r="I318" s="242"/>
      <c r="J318" s="242"/>
      <c r="K318" s="226"/>
      <c r="N318" s="16"/>
    </row>
    <row r="319" spans="1:14" ht="10.15" customHeight="1" x14ac:dyDescent="0.2">
      <c r="A319" s="261"/>
      <c r="B319" s="261"/>
      <c r="C319" s="261"/>
      <c r="D319" s="263" t="s">
        <v>263</v>
      </c>
      <c r="E319" s="281"/>
      <c r="F319" s="257"/>
      <c r="G319" s="249"/>
      <c r="H319" s="249">
        <v>2041</v>
      </c>
      <c r="I319" s="275">
        <f>ROUND(H319/$H$323,4)</f>
        <v>0.22359999999999999</v>
      </c>
      <c r="J319" s="253" t="s">
        <v>576</v>
      </c>
      <c r="K319" s="226"/>
      <c r="N319" s="16"/>
    </row>
    <row r="320" spans="1:14" ht="10.15" customHeight="1" x14ac:dyDescent="0.2">
      <c r="A320" s="249"/>
      <c r="B320" s="249"/>
      <c r="C320" s="284"/>
      <c r="D320" s="263" t="s">
        <v>286</v>
      </c>
      <c r="E320" s="281"/>
      <c r="F320" s="257"/>
      <c r="G320" s="249"/>
      <c r="H320" s="249">
        <v>55</v>
      </c>
      <c r="I320" s="275">
        <f>ROUND(H320/$H$323,4)</f>
        <v>6.0000000000000001E-3</v>
      </c>
      <c r="J320" s="242"/>
      <c r="K320" s="226"/>
      <c r="N320" s="16"/>
    </row>
    <row r="321" spans="1:68" ht="10.15" customHeight="1" x14ac:dyDescent="0.2">
      <c r="A321" s="249"/>
      <c r="B321" s="249"/>
      <c r="C321" s="284"/>
      <c r="D321" s="244" t="s">
        <v>242</v>
      </c>
      <c r="E321" s="281"/>
      <c r="F321" s="257"/>
      <c r="G321" s="249"/>
      <c r="H321" s="249">
        <v>3152</v>
      </c>
      <c r="I321" s="275">
        <f>ROUND(H321/$H$323,4)</f>
        <v>0.34539999999999998</v>
      </c>
      <c r="J321" s="253" t="s">
        <v>63</v>
      </c>
      <c r="K321" s="226"/>
      <c r="N321" s="16"/>
    </row>
    <row r="322" spans="1:68" ht="10.15" customHeight="1" x14ac:dyDescent="0.2">
      <c r="A322" s="249"/>
      <c r="B322" s="249"/>
      <c r="C322" s="284"/>
      <c r="D322" s="244" t="s">
        <v>480</v>
      </c>
      <c r="E322" s="281"/>
      <c r="F322" s="257"/>
      <c r="G322" s="249"/>
      <c r="H322" s="249">
        <v>3878</v>
      </c>
      <c r="I322" s="275">
        <f>ROUND(H322/$H$323,4)</f>
        <v>0.4249</v>
      </c>
      <c r="J322" s="253"/>
      <c r="K322" s="226"/>
      <c r="N322" s="16"/>
    </row>
    <row r="323" spans="1:68" ht="10.15" customHeight="1" x14ac:dyDescent="0.2">
      <c r="A323" s="249"/>
      <c r="B323" s="249"/>
      <c r="C323" s="284"/>
      <c r="D323" s="243" t="s">
        <v>33</v>
      </c>
      <c r="E323" s="281"/>
      <c r="F323" s="257"/>
      <c r="G323" s="249"/>
      <c r="H323" s="265">
        <f>SUM(H319:H322)</f>
        <v>9126</v>
      </c>
      <c r="I323" s="256">
        <f>SUM(I319:I322)</f>
        <v>0.99990000000000001</v>
      </c>
      <c r="J323" s="242"/>
      <c r="K323" s="226"/>
      <c r="N323" s="16"/>
    </row>
    <row r="324" spans="1:68" ht="10.15" customHeight="1" x14ac:dyDescent="0.2">
      <c r="A324" s="249"/>
      <c r="B324" s="249"/>
      <c r="C324" s="284"/>
      <c r="D324" s="243"/>
      <c r="E324" s="281"/>
      <c r="F324" s="257"/>
      <c r="G324" s="249"/>
      <c r="H324" s="249"/>
      <c r="I324" s="262"/>
      <c r="J324" s="242"/>
      <c r="K324" s="226"/>
      <c r="N324" s="16"/>
    </row>
    <row r="325" spans="1:68" s="8" customFormat="1" ht="10.15" customHeight="1" x14ac:dyDescent="0.2">
      <c r="A325" s="261" t="s">
        <v>24</v>
      </c>
      <c r="B325" s="261"/>
      <c r="C325" s="261" t="s">
        <v>291</v>
      </c>
      <c r="D325" s="263" t="s">
        <v>618</v>
      </c>
      <c r="E325" s="281">
        <v>40200</v>
      </c>
      <c r="F325" s="257">
        <v>13304315</v>
      </c>
      <c r="G325" s="249">
        <v>25950</v>
      </c>
      <c r="H325" s="249"/>
      <c r="I325" s="262"/>
      <c r="J325" s="242"/>
      <c r="K325" s="137"/>
      <c r="L325" s="9"/>
      <c r="M325" s="9"/>
      <c r="N325" s="9"/>
      <c r="O325" s="9"/>
      <c r="P325" s="9"/>
      <c r="Q325" s="9"/>
      <c r="R325" s="9"/>
      <c r="S325" s="9"/>
      <c r="T325" s="9"/>
      <c r="U325" s="9"/>
      <c r="V325" s="9"/>
      <c r="W325" s="9"/>
      <c r="X325" s="9"/>
      <c r="Y325" s="9"/>
      <c r="Z325" s="9"/>
      <c r="AA325" s="9"/>
      <c r="AB325" s="9"/>
      <c r="AC325" s="9"/>
      <c r="AD325" s="9"/>
      <c r="AE325" s="9"/>
      <c r="AF325" s="9"/>
      <c r="AG325" s="9"/>
      <c r="AH325" s="9"/>
      <c r="AI325" s="9"/>
      <c r="AJ325" s="9"/>
      <c r="AK325" s="9"/>
      <c r="AL325" s="9"/>
      <c r="AM325" s="9"/>
      <c r="AN325" s="9"/>
      <c r="AO325" s="9"/>
      <c r="AP325" s="9"/>
      <c r="AQ325" s="9"/>
      <c r="AR325" s="9"/>
      <c r="AS325" s="9"/>
      <c r="AT325" s="9"/>
      <c r="AU325" s="9"/>
      <c r="AV325" s="9"/>
      <c r="AW325" s="9"/>
      <c r="AX325" s="9"/>
      <c r="AY325" s="9"/>
      <c r="AZ325" s="9"/>
      <c r="BA325" s="9"/>
      <c r="BB325" s="9"/>
      <c r="BC325" s="9"/>
      <c r="BD325" s="9"/>
      <c r="BE325" s="9"/>
      <c r="BF325" s="9"/>
      <c r="BG325" s="9"/>
      <c r="BH325" s="9"/>
      <c r="BI325" s="9"/>
      <c r="BJ325" s="9"/>
      <c r="BK325" s="9"/>
      <c r="BL325" s="9"/>
      <c r="BM325" s="9"/>
      <c r="BN325" s="9"/>
      <c r="BO325" s="9"/>
      <c r="BP325" s="9"/>
    </row>
    <row r="326" spans="1:68" ht="10.15" customHeight="1" x14ac:dyDescent="0.2">
      <c r="A326" s="249"/>
      <c r="B326" s="249"/>
      <c r="C326" s="284"/>
      <c r="D326" s="263" t="s">
        <v>600</v>
      </c>
      <c r="E326" s="281"/>
      <c r="F326" s="257"/>
      <c r="G326" s="249"/>
      <c r="H326" s="249">
        <v>6872</v>
      </c>
      <c r="I326" s="262">
        <f>H326/$H$330</f>
        <v>0.42928535732133932</v>
      </c>
      <c r="J326" s="253" t="s">
        <v>75</v>
      </c>
      <c r="K326" s="226"/>
      <c r="N326" s="16"/>
    </row>
    <row r="327" spans="1:68" ht="10.15" customHeight="1" x14ac:dyDescent="0.2">
      <c r="A327" s="249"/>
      <c r="B327" s="249"/>
      <c r="C327" s="284"/>
      <c r="D327" s="263" t="s">
        <v>605</v>
      </c>
      <c r="E327" s="281"/>
      <c r="F327" s="257"/>
      <c r="G327" s="249"/>
      <c r="H327" s="249">
        <v>1112</v>
      </c>
      <c r="I327" s="262">
        <f>H327/$H$330</f>
        <v>6.9465267366316835E-2</v>
      </c>
      <c r="J327" s="242"/>
      <c r="K327" s="226"/>
      <c r="N327" s="16"/>
    </row>
    <row r="328" spans="1:68" ht="10.15" customHeight="1" x14ac:dyDescent="0.2">
      <c r="A328" s="249"/>
      <c r="B328" s="249"/>
      <c r="C328" s="284"/>
      <c r="D328" s="263" t="s">
        <v>611</v>
      </c>
      <c r="E328" s="281"/>
      <c r="F328" s="257"/>
      <c r="G328" s="249"/>
      <c r="H328" s="249">
        <v>3029</v>
      </c>
      <c r="I328" s="262">
        <f>H328/$H$330</f>
        <v>0.18921789105447276</v>
      </c>
      <c r="J328" s="242"/>
      <c r="K328" s="226"/>
      <c r="N328" s="16"/>
    </row>
    <row r="329" spans="1:68" ht="10.15" customHeight="1" x14ac:dyDescent="0.2">
      <c r="A329" s="249"/>
      <c r="B329" s="249"/>
      <c r="C329" s="284"/>
      <c r="D329" s="263" t="s">
        <v>606</v>
      </c>
      <c r="E329" s="281"/>
      <c r="F329" s="257"/>
      <c r="G329" s="249"/>
      <c r="H329" s="249">
        <v>4995</v>
      </c>
      <c r="I329" s="262">
        <f>H329/$H$330</f>
        <v>0.31203148425787108</v>
      </c>
      <c r="J329" s="242"/>
      <c r="K329" s="226"/>
      <c r="N329" s="16"/>
    </row>
    <row r="330" spans="1:68" ht="10.15" customHeight="1" x14ac:dyDescent="0.2">
      <c r="A330" s="249"/>
      <c r="B330" s="249"/>
      <c r="C330" s="284"/>
      <c r="D330" s="243" t="s">
        <v>33</v>
      </c>
      <c r="E330" s="281"/>
      <c r="F330" s="257"/>
      <c r="G330" s="249"/>
      <c r="H330" s="265">
        <f>SUM(H326:H329)</f>
        <v>16008</v>
      </c>
      <c r="I330" s="256">
        <f>SUM(I326:I329)</f>
        <v>1</v>
      </c>
      <c r="J330" s="242"/>
      <c r="K330" s="226"/>
      <c r="N330" s="16"/>
    </row>
    <row r="331" spans="1:68" ht="10.15" customHeight="1" x14ac:dyDescent="0.2">
      <c r="A331" s="249"/>
      <c r="B331" s="249"/>
      <c r="C331" s="284"/>
      <c r="D331" s="243"/>
      <c r="E331" s="281"/>
      <c r="F331" s="257"/>
      <c r="G331" s="249"/>
      <c r="H331" s="249"/>
      <c r="I331" s="262"/>
      <c r="J331" s="242"/>
      <c r="K331" s="226"/>
      <c r="N331" s="16"/>
    </row>
    <row r="332" spans="1:68" s="24" customFormat="1" ht="10.15" customHeight="1" x14ac:dyDescent="0.2">
      <c r="A332" s="261" t="s">
        <v>24</v>
      </c>
      <c r="B332" s="261"/>
      <c r="C332" s="261" t="s">
        <v>513</v>
      </c>
      <c r="D332" s="263" t="s">
        <v>619</v>
      </c>
      <c r="E332" s="281">
        <v>40448</v>
      </c>
      <c r="F332" s="257">
        <v>11432301</v>
      </c>
      <c r="G332" s="249">
        <v>48590</v>
      </c>
      <c r="H332" s="249"/>
      <c r="I332" s="262"/>
      <c r="J332" s="242"/>
      <c r="K332" s="137"/>
      <c r="L332" s="23"/>
      <c r="M332" s="23"/>
      <c r="N332" s="23"/>
      <c r="O332" s="23"/>
      <c r="P332" s="23"/>
      <c r="Q332" s="23"/>
      <c r="R332" s="23"/>
      <c r="S332" s="23"/>
      <c r="T332" s="23"/>
      <c r="U332" s="23"/>
      <c r="V332" s="23"/>
      <c r="W332" s="23"/>
      <c r="X332" s="23"/>
      <c r="Y332" s="23"/>
      <c r="Z332" s="23"/>
      <c r="AA332" s="23"/>
      <c r="AB332" s="23"/>
      <c r="AC332" s="23"/>
      <c r="AD332" s="23"/>
      <c r="AE332" s="23"/>
      <c r="AF332" s="23"/>
      <c r="AG332" s="23"/>
      <c r="AH332" s="23"/>
      <c r="AI332" s="23"/>
      <c r="AJ332" s="23"/>
      <c r="AK332" s="23"/>
      <c r="AL332" s="23"/>
      <c r="AM332" s="23"/>
      <c r="AN332" s="23"/>
      <c r="AO332" s="23"/>
      <c r="AP332" s="23"/>
      <c r="AQ332" s="23"/>
      <c r="AR332" s="23"/>
      <c r="AS332" s="23"/>
      <c r="AT332" s="23"/>
      <c r="AU332" s="23"/>
      <c r="AV332" s="23"/>
      <c r="AW332" s="23"/>
      <c r="AX332" s="23"/>
      <c r="AY332" s="23"/>
      <c r="AZ332" s="23"/>
      <c r="BA332" s="23"/>
      <c r="BB332" s="23"/>
      <c r="BC332" s="23"/>
      <c r="BD332" s="23"/>
      <c r="BE332" s="23"/>
      <c r="BF332" s="23"/>
      <c r="BG332" s="23"/>
      <c r="BH332" s="23"/>
      <c r="BI332" s="23"/>
      <c r="BJ332" s="23"/>
      <c r="BK332" s="23"/>
      <c r="BL332" s="23"/>
      <c r="BM332" s="23"/>
      <c r="BN332" s="23"/>
      <c r="BO332" s="23"/>
      <c r="BP332" s="23"/>
    </row>
    <row r="333" spans="1:68" s="24" customFormat="1" ht="10.15" customHeight="1" x14ac:dyDescent="0.2">
      <c r="A333" s="249"/>
      <c r="B333" s="249"/>
      <c r="C333" s="284"/>
      <c r="D333" s="263" t="s">
        <v>620</v>
      </c>
      <c r="E333" s="281"/>
      <c r="F333" s="257"/>
      <c r="G333" s="249"/>
      <c r="H333" s="249">
        <v>10541</v>
      </c>
      <c r="I333" s="262">
        <f>H333/$H$337</f>
        <v>0.35074701360929028</v>
      </c>
      <c r="J333" s="242"/>
      <c r="K333" s="137"/>
      <c r="L333" s="23"/>
      <c r="M333" s="23"/>
      <c r="N333" s="23"/>
      <c r="O333" s="23"/>
      <c r="P333" s="23"/>
      <c r="Q333" s="23"/>
      <c r="R333" s="23"/>
      <c r="S333" s="23"/>
      <c r="T333" s="23"/>
      <c r="U333" s="23"/>
      <c r="V333" s="23"/>
      <c r="W333" s="23"/>
      <c r="X333" s="23"/>
      <c r="Y333" s="23"/>
      <c r="Z333" s="23"/>
      <c r="AA333" s="23"/>
      <c r="AB333" s="23"/>
      <c r="AC333" s="23"/>
      <c r="AD333" s="23"/>
      <c r="AE333" s="23"/>
      <c r="AF333" s="23"/>
      <c r="AG333" s="23"/>
      <c r="AH333" s="23"/>
      <c r="AI333" s="23"/>
      <c r="AJ333" s="23"/>
      <c r="AK333" s="23"/>
      <c r="AL333" s="23"/>
      <c r="AM333" s="23"/>
      <c r="AN333" s="23"/>
      <c r="AO333" s="23"/>
      <c r="AP333" s="23"/>
      <c r="AQ333" s="23"/>
      <c r="AR333" s="23"/>
      <c r="AS333" s="23"/>
      <c r="AT333" s="23"/>
      <c r="AU333" s="23"/>
      <c r="AV333" s="23"/>
      <c r="AW333" s="23"/>
      <c r="AX333" s="23"/>
      <c r="AY333" s="23"/>
      <c r="AZ333" s="23"/>
      <c r="BA333" s="23"/>
      <c r="BB333" s="23"/>
      <c r="BC333" s="23"/>
      <c r="BD333" s="23"/>
      <c r="BE333" s="23"/>
      <c r="BF333" s="23"/>
      <c r="BG333" s="23"/>
      <c r="BH333" s="23"/>
      <c r="BI333" s="23"/>
      <c r="BJ333" s="23"/>
      <c r="BK333" s="23"/>
      <c r="BL333" s="23"/>
      <c r="BM333" s="23"/>
      <c r="BN333" s="23"/>
      <c r="BO333" s="23"/>
      <c r="BP333" s="23"/>
    </row>
    <row r="334" spans="1:68" s="24" customFormat="1" ht="10.15" customHeight="1" x14ac:dyDescent="0.2">
      <c r="A334" s="249"/>
      <c r="B334" s="249"/>
      <c r="C334" s="284"/>
      <c r="D334" s="263" t="s">
        <v>600</v>
      </c>
      <c r="E334" s="281"/>
      <c r="F334" s="257"/>
      <c r="G334" s="249"/>
      <c r="H334" s="249">
        <v>1625</v>
      </c>
      <c r="I334" s="262">
        <f>H334/$H$337</f>
        <v>5.4071140984261142E-2</v>
      </c>
      <c r="J334" s="242"/>
      <c r="K334" s="137"/>
      <c r="L334" s="23"/>
      <c r="M334" s="23"/>
      <c r="N334" s="23"/>
      <c r="O334" s="23"/>
      <c r="P334" s="23"/>
      <c r="Q334" s="23"/>
      <c r="R334" s="23"/>
      <c r="S334" s="23"/>
      <c r="T334" s="23"/>
      <c r="U334" s="23"/>
      <c r="V334" s="23"/>
      <c r="W334" s="23"/>
      <c r="X334" s="23"/>
      <c r="Y334" s="23"/>
      <c r="Z334" s="23"/>
      <c r="AA334" s="23"/>
      <c r="AB334" s="23"/>
      <c r="AC334" s="23"/>
      <c r="AD334" s="23"/>
      <c r="AE334" s="23"/>
      <c r="AF334" s="23"/>
      <c r="AG334" s="23"/>
      <c r="AH334" s="23"/>
      <c r="AI334" s="23"/>
      <c r="AJ334" s="23"/>
      <c r="AK334" s="23"/>
      <c r="AL334" s="23"/>
      <c r="AM334" s="23"/>
      <c r="AN334" s="23"/>
      <c r="AO334" s="23"/>
      <c r="AP334" s="23"/>
      <c r="AQ334" s="23"/>
      <c r="AR334" s="23"/>
      <c r="AS334" s="23"/>
      <c r="AT334" s="23"/>
      <c r="AU334" s="23"/>
      <c r="AV334" s="23"/>
      <c r="AW334" s="23"/>
      <c r="AX334" s="23"/>
      <c r="AY334" s="23"/>
      <c r="AZ334" s="23"/>
      <c r="BA334" s="23"/>
      <c r="BB334" s="23"/>
      <c r="BC334" s="23"/>
      <c r="BD334" s="23"/>
      <c r="BE334" s="23"/>
      <c r="BF334" s="23"/>
      <c r="BG334" s="23"/>
      <c r="BH334" s="23"/>
      <c r="BI334" s="23"/>
      <c r="BJ334" s="23"/>
      <c r="BK334" s="23"/>
      <c r="BL334" s="23"/>
      <c r="BM334" s="23"/>
      <c r="BN334" s="23"/>
      <c r="BO334" s="23"/>
      <c r="BP334" s="23"/>
    </row>
    <row r="335" spans="1:68" s="24" customFormat="1" ht="10.15" customHeight="1" x14ac:dyDescent="0.2">
      <c r="A335" s="249"/>
      <c r="B335" s="249"/>
      <c r="C335" s="284"/>
      <c r="D335" s="263" t="s">
        <v>605</v>
      </c>
      <c r="E335" s="281"/>
      <c r="F335" s="257"/>
      <c r="G335" s="249"/>
      <c r="H335" s="249">
        <v>16900</v>
      </c>
      <c r="I335" s="262">
        <f>H335/$H$337</f>
        <v>0.56233986623631582</v>
      </c>
      <c r="J335" s="253" t="s">
        <v>612</v>
      </c>
      <c r="K335" s="137"/>
      <c r="L335" s="23"/>
      <c r="M335" s="23"/>
      <c r="N335" s="23"/>
      <c r="O335" s="23"/>
      <c r="P335" s="23"/>
      <c r="Q335" s="23"/>
      <c r="R335" s="23"/>
      <c r="S335" s="23"/>
      <c r="T335" s="23"/>
      <c r="U335" s="23"/>
      <c r="V335" s="23"/>
      <c r="W335" s="23"/>
      <c r="X335" s="23"/>
      <c r="Y335" s="23"/>
      <c r="Z335" s="23"/>
      <c r="AA335" s="23"/>
      <c r="AB335" s="23"/>
      <c r="AC335" s="23"/>
      <c r="AD335" s="23"/>
      <c r="AE335" s="23"/>
      <c r="AF335" s="23"/>
      <c r="AG335" s="23"/>
      <c r="AH335" s="23"/>
      <c r="AI335" s="23"/>
      <c r="AJ335" s="23"/>
      <c r="AK335" s="23"/>
      <c r="AL335" s="23"/>
      <c r="AM335" s="23"/>
      <c r="AN335" s="23"/>
      <c r="AO335" s="23"/>
      <c r="AP335" s="23"/>
      <c r="AQ335" s="23"/>
      <c r="AR335" s="23"/>
      <c r="AS335" s="23"/>
      <c r="AT335" s="23"/>
      <c r="AU335" s="23"/>
      <c r="AV335" s="23"/>
      <c r="AW335" s="23"/>
      <c r="AX335" s="23"/>
      <c r="AY335" s="23"/>
      <c r="AZ335" s="23"/>
      <c r="BA335" s="23"/>
      <c r="BB335" s="23"/>
      <c r="BC335" s="23"/>
      <c r="BD335" s="23"/>
      <c r="BE335" s="23"/>
      <c r="BF335" s="23"/>
      <c r="BG335" s="23"/>
      <c r="BH335" s="23"/>
      <c r="BI335" s="23"/>
      <c r="BJ335" s="23"/>
      <c r="BK335" s="23"/>
      <c r="BL335" s="23"/>
      <c r="BM335" s="23"/>
      <c r="BN335" s="23"/>
      <c r="BO335" s="23"/>
      <c r="BP335" s="23"/>
    </row>
    <row r="336" spans="1:68" s="24" customFormat="1" ht="10.15" customHeight="1" x14ac:dyDescent="0.2">
      <c r="A336" s="249"/>
      <c r="B336" s="249"/>
      <c r="C336" s="284"/>
      <c r="D336" s="263" t="s">
        <v>611</v>
      </c>
      <c r="E336" s="281"/>
      <c r="F336" s="257"/>
      <c r="G336" s="249"/>
      <c r="H336" s="249">
        <v>987</v>
      </c>
      <c r="I336" s="262">
        <f>H336/$H$337</f>
        <v>3.2841979170132762E-2</v>
      </c>
      <c r="J336" s="242"/>
      <c r="K336" s="137"/>
      <c r="L336" s="23"/>
      <c r="M336" s="23"/>
      <c r="N336" s="23"/>
      <c r="O336" s="23"/>
      <c r="P336" s="23"/>
      <c r="Q336" s="23"/>
      <c r="R336" s="23"/>
      <c r="S336" s="23"/>
      <c r="T336" s="23"/>
      <c r="U336" s="23"/>
      <c r="V336" s="23"/>
      <c r="W336" s="23"/>
      <c r="X336" s="23"/>
      <c r="Y336" s="23"/>
      <c r="Z336" s="23"/>
      <c r="AA336" s="23"/>
      <c r="AB336" s="23"/>
      <c r="AC336" s="23"/>
      <c r="AD336" s="23"/>
      <c r="AE336" s="23"/>
      <c r="AF336" s="23"/>
      <c r="AG336" s="23"/>
      <c r="AH336" s="23"/>
      <c r="AI336" s="23"/>
      <c r="AJ336" s="23"/>
      <c r="AK336" s="23"/>
      <c r="AL336" s="23"/>
      <c r="AM336" s="23"/>
      <c r="AN336" s="23"/>
      <c r="AO336" s="23"/>
      <c r="AP336" s="23"/>
      <c r="AQ336" s="23"/>
      <c r="AR336" s="23"/>
      <c r="AS336" s="23"/>
      <c r="AT336" s="23"/>
      <c r="AU336" s="23"/>
      <c r="AV336" s="23"/>
      <c r="AW336" s="23"/>
      <c r="AX336" s="23"/>
      <c r="AY336" s="23"/>
      <c r="AZ336" s="23"/>
      <c r="BA336" s="23"/>
      <c r="BB336" s="23"/>
      <c r="BC336" s="23"/>
      <c r="BD336" s="23"/>
      <c r="BE336" s="23"/>
      <c r="BF336" s="23"/>
      <c r="BG336" s="23"/>
      <c r="BH336" s="23"/>
      <c r="BI336" s="23"/>
      <c r="BJ336" s="23"/>
      <c r="BK336" s="23"/>
      <c r="BL336" s="23"/>
      <c r="BM336" s="23"/>
      <c r="BN336" s="23"/>
      <c r="BO336" s="23"/>
      <c r="BP336" s="23"/>
    </row>
    <row r="337" spans="1:68" s="24" customFormat="1" ht="10.15" customHeight="1" x14ac:dyDescent="0.2">
      <c r="A337" s="249"/>
      <c r="B337" s="249"/>
      <c r="C337" s="284"/>
      <c r="D337" s="243" t="s">
        <v>33</v>
      </c>
      <c r="E337" s="281"/>
      <c r="F337" s="257"/>
      <c r="G337" s="249"/>
      <c r="H337" s="282">
        <f>SUM(H333:H336)</f>
        <v>30053</v>
      </c>
      <c r="I337" s="283">
        <f>SUM(I333:I336)</f>
        <v>1</v>
      </c>
      <c r="J337" s="242"/>
      <c r="K337" s="137"/>
      <c r="L337" s="23"/>
      <c r="M337" s="23"/>
      <c r="N337" s="23"/>
      <c r="O337" s="23"/>
      <c r="P337" s="23"/>
      <c r="Q337" s="23"/>
      <c r="R337" s="23"/>
      <c r="S337" s="23"/>
      <c r="T337" s="23"/>
      <c r="U337" s="23"/>
      <c r="V337" s="23"/>
      <c r="W337" s="23"/>
      <c r="X337" s="23"/>
      <c r="Y337" s="23"/>
      <c r="Z337" s="23"/>
      <c r="AA337" s="23"/>
      <c r="AB337" s="23"/>
      <c r="AC337" s="23"/>
      <c r="AD337" s="23"/>
      <c r="AE337" s="23"/>
      <c r="AF337" s="23"/>
      <c r="AG337" s="23"/>
      <c r="AH337" s="23"/>
      <c r="AI337" s="23"/>
      <c r="AJ337" s="23"/>
      <c r="AK337" s="23"/>
      <c r="AL337" s="23"/>
      <c r="AM337" s="23"/>
      <c r="AN337" s="23"/>
      <c r="AO337" s="23"/>
      <c r="AP337" s="23"/>
      <c r="AQ337" s="23"/>
      <c r="AR337" s="23"/>
      <c r="AS337" s="23"/>
      <c r="AT337" s="23"/>
      <c r="AU337" s="23"/>
      <c r="AV337" s="23"/>
      <c r="AW337" s="23"/>
      <c r="AX337" s="23"/>
      <c r="AY337" s="23"/>
      <c r="AZ337" s="23"/>
      <c r="BA337" s="23"/>
      <c r="BB337" s="23"/>
      <c r="BC337" s="23"/>
      <c r="BD337" s="23"/>
      <c r="BE337" s="23"/>
      <c r="BF337" s="23"/>
      <c r="BG337" s="23"/>
      <c r="BH337" s="23"/>
      <c r="BI337" s="23"/>
      <c r="BJ337" s="23"/>
      <c r="BK337" s="23"/>
      <c r="BL337" s="23"/>
      <c r="BM337" s="23"/>
      <c r="BN337" s="23"/>
      <c r="BO337" s="23"/>
      <c r="BP337" s="23"/>
    </row>
    <row r="338" spans="1:68" ht="10.15" customHeight="1" x14ac:dyDescent="0.2">
      <c r="A338" s="249"/>
      <c r="B338" s="249"/>
      <c r="C338" s="284"/>
      <c r="D338" s="243"/>
      <c r="E338" s="281"/>
      <c r="F338" s="257"/>
      <c r="G338" s="249"/>
      <c r="H338" s="249"/>
      <c r="I338" s="262"/>
      <c r="J338" s="242"/>
      <c r="K338" s="226"/>
      <c r="N338" s="16"/>
    </row>
    <row r="339" spans="1:68" ht="10.15" customHeight="1" x14ac:dyDescent="0.2">
      <c r="A339" s="261" t="s">
        <v>24</v>
      </c>
      <c r="B339" s="261"/>
      <c r="C339" s="261" t="s">
        <v>291</v>
      </c>
      <c r="D339" s="263" t="s">
        <v>621</v>
      </c>
      <c r="E339" s="281">
        <v>40479</v>
      </c>
      <c r="F339" s="257">
        <v>4464264</v>
      </c>
      <c r="G339" s="249">
        <v>18042</v>
      </c>
      <c r="H339" s="249"/>
      <c r="I339" s="262"/>
      <c r="J339" s="242"/>
      <c r="K339" s="226"/>
      <c r="N339" s="16"/>
    </row>
    <row r="340" spans="1:68" ht="10.15" customHeight="1" x14ac:dyDescent="0.2">
      <c r="A340" s="249"/>
      <c r="B340" s="249"/>
      <c r="C340" s="284"/>
      <c r="D340" s="263" t="s">
        <v>597</v>
      </c>
      <c r="E340" s="281"/>
      <c r="F340" s="257"/>
      <c r="G340" s="249"/>
      <c r="H340" s="249">
        <v>3000</v>
      </c>
      <c r="I340" s="262">
        <f>H340/$H$343</f>
        <v>0.25054284282612327</v>
      </c>
      <c r="J340" s="242"/>
      <c r="K340" s="226"/>
      <c r="N340" s="16"/>
    </row>
    <row r="341" spans="1:68" ht="10.15" customHeight="1" x14ac:dyDescent="0.2">
      <c r="A341" s="249"/>
      <c r="B341" s="249"/>
      <c r="C341" s="284"/>
      <c r="D341" s="263" t="s">
        <v>600</v>
      </c>
      <c r="E341" s="281"/>
      <c r="F341" s="257"/>
      <c r="G341" s="249"/>
      <c r="H341" s="249">
        <v>3813</v>
      </c>
      <c r="I341" s="262">
        <f>H341/$H$343</f>
        <v>0.31843995323200269</v>
      </c>
      <c r="J341" s="242"/>
      <c r="K341" s="226"/>
      <c r="N341" s="16"/>
    </row>
    <row r="342" spans="1:68" ht="10.15" customHeight="1" x14ac:dyDescent="0.2">
      <c r="A342" s="249"/>
      <c r="B342" s="249"/>
      <c r="C342" s="284"/>
      <c r="D342" s="263" t="s">
        <v>605</v>
      </c>
      <c r="E342" s="281"/>
      <c r="F342" s="257"/>
      <c r="G342" s="249"/>
      <c r="H342" s="249">
        <v>5161</v>
      </c>
      <c r="I342" s="262">
        <f>H342/$H$343</f>
        <v>0.43101720394187404</v>
      </c>
      <c r="J342" s="253" t="s">
        <v>612</v>
      </c>
      <c r="K342" s="226"/>
      <c r="N342" s="16"/>
    </row>
    <row r="343" spans="1:68" ht="10.15" customHeight="1" x14ac:dyDescent="0.2">
      <c r="A343" s="249"/>
      <c r="B343" s="249"/>
      <c r="C343" s="284"/>
      <c r="D343" s="243" t="s">
        <v>33</v>
      </c>
      <c r="E343" s="281"/>
      <c r="F343" s="257"/>
      <c r="G343" s="249"/>
      <c r="H343" s="282">
        <f>SUM(H340:H342)</f>
        <v>11974</v>
      </c>
      <c r="I343" s="283">
        <f>SUM(I340:I342)</f>
        <v>1</v>
      </c>
      <c r="J343" s="242"/>
      <c r="K343" s="226"/>
      <c r="N343" s="16"/>
    </row>
    <row r="344" spans="1:68" ht="10.15" customHeight="1" x14ac:dyDescent="0.2">
      <c r="A344" s="249"/>
      <c r="B344" s="249"/>
      <c r="C344" s="284"/>
      <c r="D344" s="243"/>
      <c r="E344" s="281"/>
      <c r="F344" s="257"/>
      <c r="G344" s="249"/>
      <c r="H344" s="249"/>
      <c r="I344" s="262"/>
      <c r="J344" s="242"/>
      <c r="K344" s="226"/>
      <c r="N344" s="16"/>
    </row>
    <row r="345" spans="1:68" ht="10.15" customHeight="1" x14ac:dyDescent="0.2">
      <c r="A345" s="261" t="s">
        <v>24</v>
      </c>
      <c r="B345" s="261"/>
      <c r="C345" s="261" t="s">
        <v>291</v>
      </c>
      <c r="D345" s="244" t="s">
        <v>624</v>
      </c>
      <c r="E345" s="281">
        <v>40598</v>
      </c>
      <c r="F345" s="257">
        <v>46275000</v>
      </c>
      <c r="G345" s="249">
        <v>114329</v>
      </c>
      <c r="H345" s="249"/>
      <c r="I345" s="262"/>
      <c r="J345" s="242"/>
      <c r="K345" s="226"/>
      <c r="N345" s="16"/>
    </row>
    <row r="346" spans="1:68" ht="10.15" customHeight="1" x14ac:dyDescent="0.2">
      <c r="A346" s="249"/>
      <c r="B346" s="249"/>
      <c r="C346" s="284"/>
      <c r="D346" s="263" t="s">
        <v>597</v>
      </c>
      <c r="E346" s="281"/>
      <c r="F346" s="257"/>
      <c r="G346" s="249"/>
      <c r="H346" s="249">
        <v>11723</v>
      </c>
      <c r="I346" s="262">
        <f t="shared" ref="I346:I354" si="4">H346/$H$355</f>
        <v>0.20332310040411397</v>
      </c>
      <c r="J346" s="253" t="s">
        <v>576</v>
      </c>
      <c r="K346" s="226"/>
      <c r="N346" s="16"/>
    </row>
    <row r="347" spans="1:68" ht="10.15" customHeight="1" x14ac:dyDescent="0.2">
      <c r="A347" s="249"/>
      <c r="B347" s="249"/>
      <c r="C347" s="284"/>
      <c r="D347" s="244" t="s">
        <v>240</v>
      </c>
      <c r="E347" s="281"/>
      <c r="F347" s="257"/>
      <c r="G347" s="249"/>
      <c r="H347" s="249">
        <v>2210</v>
      </c>
      <c r="I347" s="262">
        <f t="shared" si="4"/>
        <v>3.8330124702984893E-2</v>
      </c>
      <c r="J347" s="253"/>
      <c r="K347" s="226"/>
      <c r="N347" s="16"/>
    </row>
    <row r="348" spans="1:68" ht="10.15" customHeight="1" x14ac:dyDescent="0.2">
      <c r="A348" s="249"/>
      <c r="B348" s="249"/>
      <c r="C348" s="284"/>
      <c r="D348" s="263" t="s">
        <v>620</v>
      </c>
      <c r="E348" s="281"/>
      <c r="F348" s="257"/>
      <c r="G348" s="249"/>
      <c r="H348" s="249">
        <v>20685</v>
      </c>
      <c r="I348" s="262">
        <f t="shared" si="4"/>
        <v>0.35875956085124094</v>
      </c>
      <c r="J348" s="253" t="s">
        <v>109</v>
      </c>
      <c r="K348" s="226"/>
      <c r="N348" s="16"/>
    </row>
    <row r="349" spans="1:68" ht="10.15" customHeight="1" x14ac:dyDescent="0.2">
      <c r="A349" s="249"/>
      <c r="B349" s="249"/>
      <c r="C349" s="284"/>
      <c r="D349" s="244" t="s">
        <v>244</v>
      </c>
      <c r="E349" s="281"/>
      <c r="F349" s="257"/>
      <c r="G349" s="249"/>
      <c r="H349" s="249">
        <v>90</v>
      </c>
      <c r="I349" s="262">
        <f t="shared" si="4"/>
        <v>1.5609553046464436E-3</v>
      </c>
      <c r="J349" s="253"/>
      <c r="K349" s="226"/>
      <c r="N349" s="16"/>
    </row>
    <row r="350" spans="1:68" ht="10.15" customHeight="1" x14ac:dyDescent="0.2">
      <c r="A350" s="249"/>
      <c r="B350" s="249"/>
      <c r="C350" s="284"/>
      <c r="D350" s="263" t="s">
        <v>600</v>
      </c>
      <c r="E350" s="281"/>
      <c r="F350" s="257"/>
      <c r="G350" s="249"/>
      <c r="H350" s="249">
        <v>3992</v>
      </c>
      <c r="I350" s="262">
        <f t="shared" si="4"/>
        <v>6.9237039734984476E-2</v>
      </c>
      <c r="J350" s="253"/>
      <c r="K350" s="226"/>
      <c r="N350" s="16"/>
    </row>
    <row r="351" spans="1:68" ht="10.15" customHeight="1" x14ac:dyDescent="0.2">
      <c r="A351" s="249"/>
      <c r="B351" s="249"/>
      <c r="C351" s="284"/>
      <c r="D351" s="263" t="s">
        <v>611</v>
      </c>
      <c r="E351" s="281"/>
      <c r="F351" s="257"/>
      <c r="G351" s="249"/>
      <c r="H351" s="249">
        <v>122</v>
      </c>
      <c r="I351" s="262">
        <f t="shared" si="4"/>
        <v>2.1159616351874013E-3</v>
      </c>
      <c r="J351" s="253"/>
      <c r="K351" s="226"/>
      <c r="N351" s="16"/>
    </row>
    <row r="352" spans="1:68" ht="10.15" customHeight="1" x14ac:dyDescent="0.2">
      <c r="A352" s="249"/>
      <c r="B352" s="249"/>
      <c r="C352" s="284"/>
      <c r="D352" s="263" t="s">
        <v>605</v>
      </c>
      <c r="E352" s="281"/>
      <c r="F352" s="257"/>
      <c r="G352" s="249"/>
      <c r="H352" s="249">
        <v>12763</v>
      </c>
      <c r="I352" s="262">
        <f t="shared" si="4"/>
        <v>0.22136080614669512</v>
      </c>
      <c r="J352" s="253" t="s">
        <v>612</v>
      </c>
      <c r="K352" s="226"/>
      <c r="N352" s="16"/>
    </row>
    <row r="353" spans="1:14" ht="10.15" customHeight="1" x14ac:dyDescent="0.2">
      <c r="A353" s="249"/>
      <c r="B353" s="249"/>
      <c r="C353" s="284"/>
      <c r="D353" s="254" t="s">
        <v>246</v>
      </c>
      <c r="E353" s="281"/>
      <c r="F353" s="257"/>
      <c r="G353" s="249"/>
      <c r="H353" s="249">
        <v>1413</v>
      </c>
      <c r="I353" s="262">
        <f t="shared" si="4"/>
        <v>2.4506998282949166E-2</v>
      </c>
      <c r="J353" s="242"/>
      <c r="K353" s="226"/>
      <c r="N353" s="16"/>
    </row>
    <row r="354" spans="1:14" ht="10.15" customHeight="1" x14ac:dyDescent="0.2">
      <c r="A354" s="249"/>
      <c r="B354" s="249"/>
      <c r="C354" s="284"/>
      <c r="D354" s="244" t="s">
        <v>287</v>
      </c>
      <c r="E354" s="281"/>
      <c r="F354" s="257"/>
      <c r="G354" s="249"/>
      <c r="H354" s="249">
        <v>4659</v>
      </c>
      <c r="I354" s="262">
        <f t="shared" si="4"/>
        <v>8.0805452937197569E-2</v>
      </c>
      <c r="J354" s="242"/>
      <c r="K354" s="226"/>
      <c r="N354" s="16"/>
    </row>
    <row r="355" spans="1:14" ht="10.15" customHeight="1" x14ac:dyDescent="0.2">
      <c r="A355" s="249"/>
      <c r="B355" s="249"/>
      <c r="C355" s="284"/>
      <c r="D355" s="243" t="s">
        <v>33</v>
      </c>
      <c r="E355" s="281"/>
      <c r="F355" s="257"/>
      <c r="G355" s="249"/>
      <c r="H355" s="282">
        <f>SUM(H346:H354)</f>
        <v>57657</v>
      </c>
      <c r="I355" s="283">
        <f>SUM(I346:I354)</f>
        <v>0.99999999999999978</v>
      </c>
      <c r="J355" s="242"/>
      <c r="K355" s="226"/>
      <c r="N355" s="16"/>
    </row>
    <row r="356" spans="1:14" ht="10.15" customHeight="1" x14ac:dyDescent="0.2">
      <c r="A356" s="249"/>
      <c r="B356" s="249"/>
      <c r="C356" s="284"/>
      <c r="D356" s="243"/>
      <c r="E356" s="281"/>
      <c r="F356" s="257"/>
      <c r="G356" s="249"/>
      <c r="H356" s="249"/>
      <c r="I356" s="262"/>
      <c r="J356" s="242"/>
      <c r="K356" s="226"/>
      <c r="N356" s="16"/>
    </row>
    <row r="357" spans="1:14" ht="10.15" customHeight="1" x14ac:dyDescent="0.2">
      <c r="A357" s="261" t="s">
        <v>24</v>
      </c>
      <c r="B357" s="261"/>
      <c r="C357" s="261" t="s">
        <v>291</v>
      </c>
      <c r="D357" s="244" t="s">
        <v>625</v>
      </c>
      <c r="E357" s="281">
        <v>40806</v>
      </c>
      <c r="F357" s="257">
        <v>36105881</v>
      </c>
      <c r="G357" s="249">
        <v>119198</v>
      </c>
      <c r="H357" s="249"/>
      <c r="I357" s="262"/>
      <c r="J357" s="242"/>
      <c r="K357" s="226"/>
      <c r="N357" s="16"/>
    </row>
    <row r="358" spans="1:14" ht="10.15" customHeight="1" x14ac:dyDescent="0.2">
      <c r="A358" s="249"/>
      <c r="B358" s="249"/>
      <c r="C358" s="284"/>
      <c r="D358" s="263" t="s">
        <v>620</v>
      </c>
      <c r="E358" s="281"/>
      <c r="F358" s="257"/>
      <c r="G358" s="249"/>
      <c r="H358" s="249">
        <v>1449</v>
      </c>
      <c r="I358" s="262">
        <f>H358/$H$362</f>
        <v>2.111660035850129E-2</v>
      </c>
      <c r="J358" s="242"/>
      <c r="K358" s="226"/>
      <c r="N358" s="16"/>
    </row>
    <row r="359" spans="1:14" ht="10.15" customHeight="1" x14ac:dyDescent="0.2">
      <c r="A359" s="249"/>
      <c r="B359" s="249"/>
      <c r="C359" s="284"/>
      <c r="D359" s="263" t="s">
        <v>605</v>
      </c>
      <c r="E359" s="281"/>
      <c r="F359" s="257"/>
      <c r="G359" s="249"/>
      <c r="H359" s="249">
        <v>28798</v>
      </c>
      <c r="I359" s="262">
        <f>H359/$H$362</f>
        <v>0.41967968055494836</v>
      </c>
      <c r="J359" s="253" t="s">
        <v>612</v>
      </c>
      <c r="K359" s="226"/>
      <c r="N359" s="16"/>
    </row>
    <row r="360" spans="1:14" ht="10.15" customHeight="1" x14ac:dyDescent="0.2">
      <c r="A360" s="249"/>
      <c r="B360" s="249"/>
      <c r="C360" s="284"/>
      <c r="D360" s="263" t="s">
        <v>611</v>
      </c>
      <c r="E360" s="281"/>
      <c r="F360" s="257"/>
      <c r="G360" s="249"/>
      <c r="H360" s="249">
        <v>16339</v>
      </c>
      <c r="I360" s="262">
        <f>H360/$H$362</f>
        <v>0.23811189320742068</v>
      </c>
      <c r="J360" s="242"/>
      <c r="K360" s="226"/>
      <c r="N360" s="16"/>
    </row>
    <row r="361" spans="1:14" ht="10.15" customHeight="1" x14ac:dyDescent="0.2">
      <c r="A361" s="249"/>
      <c r="B361" s="249"/>
      <c r="C361" s="284"/>
      <c r="D361" s="244" t="s">
        <v>287</v>
      </c>
      <c r="E361" s="281"/>
      <c r="F361" s="257"/>
      <c r="G361" s="249"/>
      <c r="H361" s="249">
        <v>22033</v>
      </c>
      <c r="I361" s="262">
        <f>H361/$H$362</f>
        <v>0.32109182587912971</v>
      </c>
      <c r="J361" s="242"/>
      <c r="K361" s="226"/>
      <c r="N361" s="16"/>
    </row>
    <row r="362" spans="1:14" ht="10.15" customHeight="1" x14ac:dyDescent="0.2">
      <c r="A362" s="249"/>
      <c r="B362" s="249"/>
      <c r="C362" s="284"/>
      <c r="D362" s="243" t="s">
        <v>33</v>
      </c>
      <c r="E362" s="281"/>
      <c r="F362" s="257"/>
      <c r="G362" s="249"/>
      <c r="H362" s="282">
        <f>SUM(H358:H361)</f>
        <v>68619</v>
      </c>
      <c r="I362" s="283">
        <f>SUM(I358:I360)</f>
        <v>0.67890817412087034</v>
      </c>
      <c r="J362" s="242"/>
      <c r="K362" s="226"/>
      <c r="N362" s="16"/>
    </row>
    <row r="363" spans="1:14" ht="10.15" customHeight="1" x14ac:dyDescent="0.2">
      <c r="A363" s="249"/>
      <c r="B363" s="249"/>
      <c r="C363" s="284"/>
      <c r="D363" s="263"/>
      <c r="E363" s="281"/>
      <c r="F363" s="257"/>
      <c r="G363" s="249"/>
      <c r="H363" s="249"/>
      <c r="I363" s="262"/>
      <c r="J363" s="242"/>
      <c r="K363" s="226"/>
      <c r="N363" s="16"/>
    </row>
    <row r="364" spans="1:14" ht="10.15" customHeight="1" x14ac:dyDescent="0.2">
      <c r="A364" s="261" t="s">
        <v>24</v>
      </c>
      <c r="B364" s="261"/>
      <c r="C364" s="261" t="s">
        <v>291</v>
      </c>
      <c r="D364" s="263" t="s">
        <v>627</v>
      </c>
      <c r="E364" s="281">
        <v>40817</v>
      </c>
      <c r="F364" s="257">
        <v>3635149</v>
      </c>
      <c r="G364" s="249">
        <v>11788</v>
      </c>
      <c r="H364" s="249"/>
      <c r="I364" s="262"/>
      <c r="J364" s="242"/>
      <c r="K364" s="226"/>
      <c r="N364" s="16"/>
    </row>
    <row r="365" spans="1:14" ht="10.15" customHeight="1" x14ac:dyDescent="0.2">
      <c r="A365" s="249"/>
      <c r="B365" s="249"/>
      <c r="C365" s="284"/>
      <c r="D365" s="263" t="s">
        <v>286</v>
      </c>
      <c r="E365" s="281"/>
      <c r="F365" s="257"/>
      <c r="G365" s="249"/>
      <c r="H365" s="249">
        <v>1372</v>
      </c>
      <c r="I365" s="262">
        <f>H365/H367</f>
        <v>0.21920434574213132</v>
      </c>
      <c r="J365" s="253"/>
      <c r="K365" s="226"/>
      <c r="N365" s="16"/>
    </row>
    <row r="366" spans="1:14" ht="10.15" customHeight="1" x14ac:dyDescent="0.2">
      <c r="A366" s="249"/>
      <c r="B366" s="249"/>
      <c r="C366" s="284"/>
      <c r="D366" s="244" t="s">
        <v>242</v>
      </c>
      <c r="E366" s="281"/>
      <c r="F366" s="257"/>
      <c r="G366" s="249"/>
      <c r="H366" s="249">
        <v>4887</v>
      </c>
      <c r="I366" s="262">
        <f>H366/H367</f>
        <v>0.78079565425786868</v>
      </c>
      <c r="J366" s="253" t="s">
        <v>612</v>
      </c>
      <c r="K366" s="226"/>
      <c r="N366" s="16"/>
    </row>
    <row r="367" spans="1:14" ht="10.15" customHeight="1" x14ac:dyDescent="0.2">
      <c r="A367" s="249"/>
      <c r="B367" s="249"/>
      <c r="C367" s="284"/>
      <c r="D367" s="243" t="s">
        <v>33</v>
      </c>
      <c r="E367" s="281"/>
      <c r="F367" s="257"/>
      <c r="G367" s="249"/>
      <c r="H367" s="282">
        <f>SUM(H365:H366)</f>
        <v>6259</v>
      </c>
      <c r="I367" s="283">
        <f>SUM(I365:I366)</f>
        <v>1</v>
      </c>
      <c r="J367" s="242"/>
      <c r="K367" s="226"/>
      <c r="N367" s="16"/>
    </row>
    <row r="368" spans="1:14" ht="10.15" customHeight="1" x14ac:dyDescent="0.2">
      <c r="A368" s="249"/>
      <c r="B368" s="249"/>
      <c r="C368" s="284"/>
      <c r="D368" s="243"/>
      <c r="E368" s="281"/>
      <c r="F368" s="257"/>
      <c r="G368" s="249"/>
      <c r="H368" s="249"/>
      <c r="I368" s="262"/>
      <c r="J368" s="242"/>
      <c r="K368" s="226"/>
      <c r="N368" s="16"/>
    </row>
    <row r="369" spans="1:14" ht="10.15" customHeight="1" x14ac:dyDescent="0.2">
      <c r="A369" s="261" t="s">
        <v>24</v>
      </c>
      <c r="B369" s="261"/>
      <c r="C369" s="261" t="s">
        <v>291</v>
      </c>
      <c r="D369" s="263" t="s">
        <v>636</v>
      </c>
      <c r="E369" s="281">
        <v>40452</v>
      </c>
      <c r="F369" s="257">
        <v>20041724</v>
      </c>
      <c r="G369" s="249">
        <v>18906</v>
      </c>
      <c r="H369" s="249"/>
      <c r="I369" s="262"/>
      <c r="J369" s="242"/>
      <c r="K369" s="226"/>
      <c r="N369" s="16"/>
    </row>
    <row r="370" spans="1:14" ht="10.15" customHeight="1" x14ac:dyDescent="0.2">
      <c r="A370" s="249"/>
      <c r="B370" s="249"/>
      <c r="C370" s="284"/>
      <c r="D370" s="263" t="s">
        <v>620</v>
      </c>
      <c r="E370" s="281"/>
      <c r="F370" s="257"/>
      <c r="G370" s="249"/>
      <c r="H370" s="249">
        <v>15614</v>
      </c>
      <c r="I370" s="262">
        <f>H370/$H$372</f>
        <v>0.98059410915028578</v>
      </c>
      <c r="J370" s="253" t="s">
        <v>109</v>
      </c>
      <c r="K370" s="226"/>
      <c r="N370" s="16"/>
    </row>
    <row r="371" spans="1:14" ht="10.15" customHeight="1" x14ac:dyDescent="0.2">
      <c r="A371" s="249"/>
      <c r="B371" s="249"/>
      <c r="C371" s="284"/>
      <c r="D371" s="263" t="s">
        <v>605</v>
      </c>
      <c r="E371" s="281"/>
      <c r="F371" s="257"/>
      <c r="G371" s="249"/>
      <c r="H371" s="249">
        <v>309</v>
      </c>
      <c r="I371" s="262">
        <f>H371/$H$372</f>
        <v>1.9405890849714249E-2</v>
      </c>
      <c r="J371" s="242"/>
      <c r="K371" s="226"/>
      <c r="N371" s="16"/>
    </row>
    <row r="372" spans="1:14" ht="10.15" customHeight="1" x14ac:dyDescent="0.2">
      <c r="A372" s="249"/>
      <c r="B372" s="249"/>
      <c r="C372" s="284"/>
      <c r="D372" s="243" t="s">
        <v>33</v>
      </c>
      <c r="E372" s="281"/>
      <c r="F372" s="257"/>
      <c r="G372" s="249"/>
      <c r="H372" s="282">
        <f>SUM(H370:H371)</f>
        <v>15923</v>
      </c>
      <c r="I372" s="283">
        <f>SUM(I370:I371)</f>
        <v>1</v>
      </c>
      <c r="J372" s="242"/>
      <c r="K372" s="226"/>
      <c r="N372" s="16"/>
    </row>
    <row r="373" spans="1:14" s="10" customFormat="1" ht="10.15" customHeight="1" x14ac:dyDescent="0.2">
      <c r="A373" s="261" t="s">
        <v>24</v>
      </c>
      <c r="B373" s="249"/>
      <c r="C373" s="261" t="s">
        <v>291</v>
      </c>
      <c r="D373" s="244" t="s">
        <v>649</v>
      </c>
      <c r="E373" s="281">
        <v>40787</v>
      </c>
      <c r="F373" s="257">
        <v>36126802</v>
      </c>
      <c r="G373" s="249">
        <v>129418</v>
      </c>
      <c r="H373" s="249"/>
      <c r="I373" s="262"/>
      <c r="J373" s="249"/>
      <c r="K373" s="226"/>
      <c r="N373" s="16"/>
    </row>
    <row r="374" spans="1:14" s="10" customFormat="1" ht="10.15" customHeight="1" x14ac:dyDescent="0.2">
      <c r="A374" s="249"/>
      <c r="B374" s="249"/>
      <c r="C374" s="284"/>
      <c r="D374" s="244" t="s">
        <v>263</v>
      </c>
      <c r="E374" s="281"/>
      <c r="F374" s="257"/>
      <c r="G374" s="249"/>
      <c r="H374" s="249">
        <v>0</v>
      </c>
      <c r="I374" s="262">
        <f>(H374/$H$385)</f>
        <v>0</v>
      </c>
      <c r="J374" s="249"/>
      <c r="K374" s="226"/>
      <c r="N374" s="16"/>
    </row>
    <row r="375" spans="1:14" s="10" customFormat="1" ht="10.15" customHeight="1" x14ac:dyDescent="0.2">
      <c r="A375" s="249"/>
      <c r="B375" s="249"/>
      <c r="C375" s="284"/>
      <c r="D375" s="244" t="s">
        <v>646</v>
      </c>
      <c r="E375" s="281"/>
      <c r="F375" s="257"/>
      <c r="G375" s="249"/>
      <c r="H375" s="249">
        <v>0</v>
      </c>
      <c r="I375" s="262">
        <f t="shared" ref="I375:I384" si="5">(H375/$H$385)</f>
        <v>0</v>
      </c>
      <c r="J375" s="249"/>
      <c r="K375" s="226"/>
      <c r="N375" s="16"/>
    </row>
    <row r="376" spans="1:14" s="10" customFormat="1" ht="10.15" customHeight="1" x14ac:dyDescent="0.2">
      <c r="A376" s="249"/>
      <c r="B376" s="249"/>
      <c r="C376" s="284"/>
      <c r="D376" s="244" t="s">
        <v>620</v>
      </c>
      <c r="E376" s="281"/>
      <c r="F376" s="257"/>
      <c r="G376" s="249"/>
      <c r="H376" s="249">
        <v>1211</v>
      </c>
      <c r="I376" s="262">
        <f t="shared" si="5"/>
        <v>2.0129319658915245E-2</v>
      </c>
      <c r="J376" s="249"/>
      <c r="K376" s="226"/>
      <c r="N376" s="16"/>
    </row>
    <row r="377" spans="1:14" s="10" customFormat="1" ht="10.15" customHeight="1" x14ac:dyDescent="0.2">
      <c r="A377" s="249"/>
      <c r="B377" s="249"/>
      <c r="C377" s="284"/>
      <c r="D377" s="244" t="s">
        <v>599</v>
      </c>
      <c r="E377" s="281"/>
      <c r="F377" s="257"/>
      <c r="G377" s="249"/>
      <c r="H377" s="249">
        <v>1372</v>
      </c>
      <c r="I377" s="262">
        <f t="shared" si="5"/>
        <v>2.2805471983510912E-2</v>
      </c>
      <c r="J377" s="249"/>
      <c r="K377" s="226"/>
      <c r="N377" s="16"/>
    </row>
    <row r="378" spans="1:14" s="10" customFormat="1" ht="10.15" customHeight="1" x14ac:dyDescent="0.2">
      <c r="A378" s="249"/>
      <c r="B378" s="249"/>
      <c r="C378" s="284"/>
      <c r="D378" s="244" t="s">
        <v>610</v>
      </c>
      <c r="E378" s="281"/>
      <c r="F378" s="257"/>
      <c r="G378" s="249"/>
      <c r="H378" s="249">
        <v>0</v>
      </c>
      <c r="I378" s="262">
        <f t="shared" si="5"/>
        <v>0</v>
      </c>
      <c r="J378" s="249"/>
      <c r="K378" s="226"/>
      <c r="N378" s="16"/>
    </row>
    <row r="379" spans="1:14" s="10" customFormat="1" ht="10.15" customHeight="1" x14ac:dyDescent="0.2">
      <c r="A379" s="249"/>
      <c r="B379" s="249"/>
      <c r="C379" s="284"/>
      <c r="D379" s="244" t="s">
        <v>600</v>
      </c>
      <c r="E379" s="281"/>
      <c r="F379" s="257"/>
      <c r="G379" s="249"/>
      <c r="H379" s="249">
        <v>0</v>
      </c>
      <c r="I379" s="262">
        <f t="shared" si="5"/>
        <v>0</v>
      </c>
      <c r="J379" s="249"/>
      <c r="K379" s="226"/>
      <c r="N379" s="16"/>
    </row>
    <row r="380" spans="1:14" s="10" customFormat="1" ht="10.15" customHeight="1" x14ac:dyDescent="0.2">
      <c r="A380" s="249"/>
      <c r="B380" s="249"/>
      <c r="C380" s="284"/>
      <c r="D380" s="244" t="s">
        <v>615</v>
      </c>
      <c r="E380" s="281"/>
      <c r="F380" s="257" t="s">
        <v>650</v>
      </c>
      <c r="G380" s="249"/>
      <c r="H380" s="249">
        <v>0</v>
      </c>
      <c r="I380" s="262">
        <f t="shared" si="5"/>
        <v>0</v>
      </c>
      <c r="J380" s="249"/>
      <c r="K380" s="226"/>
      <c r="N380" s="16"/>
    </row>
    <row r="381" spans="1:14" s="10" customFormat="1" ht="10.15" customHeight="1" x14ac:dyDescent="0.2">
      <c r="A381" s="249"/>
      <c r="B381" s="249"/>
      <c r="C381" s="284"/>
      <c r="D381" s="244" t="s">
        <v>651</v>
      </c>
      <c r="E381" s="281"/>
      <c r="F381" s="257"/>
      <c r="G381" s="249"/>
      <c r="H381" s="249">
        <v>0</v>
      </c>
      <c r="I381" s="262">
        <f t="shared" si="5"/>
        <v>0</v>
      </c>
      <c r="J381" s="249"/>
      <c r="K381" s="226"/>
      <c r="N381" s="16"/>
    </row>
    <row r="382" spans="1:14" s="10" customFormat="1" ht="10.15" customHeight="1" x14ac:dyDescent="0.2">
      <c r="A382" s="249"/>
      <c r="B382" s="249"/>
      <c r="C382" s="284"/>
      <c r="D382" s="244" t="s">
        <v>605</v>
      </c>
      <c r="E382" s="281"/>
      <c r="F382" s="257"/>
      <c r="G382" s="249"/>
      <c r="H382" s="249">
        <v>40564</v>
      </c>
      <c r="I382" s="262">
        <f t="shared" si="5"/>
        <v>0.67425740928508504</v>
      </c>
      <c r="J382" s="248" t="s">
        <v>290</v>
      </c>
      <c r="K382" s="226"/>
      <c r="N382" s="16"/>
    </row>
    <row r="383" spans="1:14" s="10" customFormat="1" ht="10.15" customHeight="1" x14ac:dyDescent="0.2">
      <c r="A383" s="249"/>
      <c r="B383" s="249"/>
      <c r="C383" s="284"/>
      <c r="D383" s="244" t="s">
        <v>611</v>
      </c>
      <c r="E383" s="281"/>
      <c r="F383" s="257"/>
      <c r="G383" s="249"/>
      <c r="H383" s="249">
        <v>1718</v>
      </c>
      <c r="I383" s="262">
        <f t="shared" si="5"/>
        <v>2.855670617177241E-2</v>
      </c>
      <c r="J383" s="249"/>
      <c r="K383" s="226"/>
      <c r="N383" s="16"/>
    </row>
    <row r="384" spans="1:14" s="10" customFormat="1" ht="10.15" customHeight="1" x14ac:dyDescent="0.2">
      <c r="A384" s="249"/>
      <c r="B384" s="249"/>
      <c r="C384" s="284"/>
      <c r="D384" s="244" t="s">
        <v>634</v>
      </c>
      <c r="E384" s="281"/>
      <c r="F384" s="257"/>
      <c r="G384" s="249"/>
      <c r="H384" s="249">
        <v>15296</v>
      </c>
      <c r="I384" s="262">
        <f t="shared" si="5"/>
        <v>0.2542510929007164</v>
      </c>
      <c r="J384" s="249"/>
      <c r="K384" s="226"/>
      <c r="N384" s="16"/>
    </row>
    <row r="385" spans="1:14" s="10" customFormat="1" ht="10.15" customHeight="1" x14ac:dyDescent="0.2">
      <c r="A385" s="249"/>
      <c r="B385" s="249"/>
      <c r="C385" s="284"/>
      <c r="D385" s="243" t="s">
        <v>33</v>
      </c>
      <c r="E385" s="281"/>
      <c r="F385" s="257"/>
      <c r="G385" s="249"/>
      <c r="H385" s="282">
        <f>SUM(H374:H384)</f>
        <v>60161</v>
      </c>
      <c r="I385" s="283">
        <f>SUM(I374:I384)</f>
        <v>1</v>
      </c>
      <c r="J385" s="249"/>
      <c r="K385" s="226"/>
      <c r="N385" s="16"/>
    </row>
    <row r="386" spans="1:14" s="10" customFormat="1" ht="10.15" customHeight="1" x14ac:dyDescent="0.2">
      <c r="A386" s="249"/>
      <c r="B386" s="249"/>
      <c r="C386" s="284"/>
      <c r="D386" s="243"/>
      <c r="E386" s="281"/>
      <c r="F386" s="257"/>
      <c r="G386" s="249"/>
      <c r="H386" s="249"/>
      <c r="I386" s="262"/>
      <c r="J386" s="249"/>
      <c r="K386" s="226"/>
      <c r="N386" s="16"/>
    </row>
    <row r="387" spans="1:14" s="10" customFormat="1" ht="10.15" customHeight="1" x14ac:dyDescent="0.2">
      <c r="A387" s="261" t="s">
        <v>24</v>
      </c>
      <c r="B387" s="249"/>
      <c r="C387" s="261" t="s">
        <v>513</v>
      </c>
      <c r="D387" s="244" t="s">
        <v>652</v>
      </c>
      <c r="E387" s="281">
        <v>40969</v>
      </c>
      <c r="F387" s="257">
        <v>12508379</v>
      </c>
      <c r="G387" s="249">
        <v>26182</v>
      </c>
      <c r="H387" s="249"/>
      <c r="I387" s="262"/>
      <c r="J387" s="249"/>
      <c r="K387" s="226"/>
      <c r="N387" s="16"/>
    </row>
    <row r="388" spans="1:14" s="10" customFormat="1" ht="10.15" customHeight="1" x14ac:dyDescent="0.2">
      <c r="A388" s="249"/>
      <c r="B388" s="249"/>
      <c r="C388" s="284"/>
      <c r="D388" s="244" t="s">
        <v>597</v>
      </c>
      <c r="E388" s="281"/>
      <c r="F388" s="257"/>
      <c r="G388" s="249"/>
      <c r="H388" s="249">
        <v>0</v>
      </c>
      <c r="I388" s="262">
        <f>(H388/$H$399)</f>
        <v>0</v>
      </c>
      <c r="J388" s="249"/>
      <c r="K388" s="226"/>
      <c r="N388" s="16"/>
    </row>
    <row r="389" spans="1:14" s="10" customFormat="1" ht="10.15" customHeight="1" x14ac:dyDescent="0.2">
      <c r="A389" s="249"/>
      <c r="B389" s="249"/>
      <c r="C389" s="284"/>
      <c r="D389" s="244" t="s">
        <v>646</v>
      </c>
      <c r="E389" s="281"/>
      <c r="F389" s="257"/>
      <c r="G389" s="249"/>
      <c r="H389" s="249">
        <v>0</v>
      </c>
      <c r="I389" s="262">
        <f t="shared" ref="I389:I398" si="6">(H389/$H$399)</f>
        <v>0</v>
      </c>
      <c r="J389" s="249"/>
      <c r="K389" s="226"/>
      <c r="N389" s="16"/>
    </row>
    <row r="390" spans="1:14" s="10" customFormat="1" ht="10.15" customHeight="1" x14ac:dyDescent="0.2">
      <c r="A390" s="249"/>
      <c r="B390" s="249"/>
      <c r="C390" s="284"/>
      <c r="D390" s="244" t="s">
        <v>620</v>
      </c>
      <c r="E390" s="281"/>
      <c r="F390" s="257"/>
      <c r="G390" s="249"/>
      <c r="H390" s="249">
        <v>0</v>
      </c>
      <c r="I390" s="262">
        <f t="shared" si="6"/>
        <v>0</v>
      </c>
      <c r="J390" s="249"/>
      <c r="K390" s="226"/>
      <c r="N390" s="16"/>
    </row>
    <row r="391" spans="1:14" s="10" customFormat="1" ht="10.15" customHeight="1" x14ac:dyDescent="0.2">
      <c r="A391" s="249"/>
      <c r="B391" s="249"/>
      <c r="C391" s="284"/>
      <c r="D391" s="244" t="s">
        <v>599</v>
      </c>
      <c r="E391" s="281"/>
      <c r="F391" s="257"/>
      <c r="G391" s="249"/>
      <c r="H391" s="249">
        <v>0</v>
      </c>
      <c r="I391" s="262">
        <f t="shared" si="6"/>
        <v>0</v>
      </c>
      <c r="J391" s="249"/>
      <c r="K391" s="226"/>
      <c r="N391" s="16"/>
    </row>
    <row r="392" spans="1:14" s="10" customFormat="1" ht="10.15" customHeight="1" x14ac:dyDescent="0.2">
      <c r="A392" s="249"/>
      <c r="B392" s="249"/>
      <c r="C392" s="284"/>
      <c r="D392" s="244" t="s">
        <v>610</v>
      </c>
      <c r="E392" s="281"/>
      <c r="F392" s="257"/>
      <c r="G392" s="249"/>
      <c r="H392" s="249">
        <v>0</v>
      </c>
      <c r="I392" s="262">
        <f t="shared" si="6"/>
        <v>0</v>
      </c>
      <c r="J392" s="249"/>
      <c r="K392" s="226"/>
      <c r="N392" s="16"/>
    </row>
    <row r="393" spans="1:14" s="10" customFormat="1" ht="10.15" customHeight="1" x14ac:dyDescent="0.2">
      <c r="A393" s="249"/>
      <c r="B393" s="249"/>
      <c r="C393" s="284"/>
      <c r="D393" s="244" t="s">
        <v>600</v>
      </c>
      <c r="E393" s="281"/>
      <c r="F393" s="257"/>
      <c r="G393" s="249"/>
      <c r="H393" s="249">
        <v>0</v>
      </c>
      <c r="I393" s="262">
        <f t="shared" si="6"/>
        <v>0</v>
      </c>
      <c r="J393" s="249"/>
      <c r="K393" s="226"/>
      <c r="N393" s="16"/>
    </row>
    <row r="394" spans="1:14" s="10" customFormat="1" ht="10.15" customHeight="1" x14ac:dyDescent="0.2">
      <c r="A394" s="249"/>
      <c r="B394" s="249"/>
      <c r="C394" s="284"/>
      <c r="D394" s="244" t="s">
        <v>615</v>
      </c>
      <c r="E394" s="281"/>
      <c r="F394" s="257"/>
      <c r="G394" s="249"/>
      <c r="H394" s="249">
        <v>0</v>
      </c>
      <c r="I394" s="262">
        <f t="shared" si="6"/>
        <v>0</v>
      </c>
      <c r="J394" s="249"/>
      <c r="K394" s="226"/>
      <c r="N394" s="16"/>
    </row>
    <row r="395" spans="1:14" s="10" customFormat="1" ht="10.15" customHeight="1" x14ac:dyDescent="0.2">
      <c r="A395" s="249"/>
      <c r="B395" s="249"/>
      <c r="C395" s="284"/>
      <c r="D395" s="244" t="s">
        <v>651</v>
      </c>
      <c r="E395" s="281"/>
      <c r="F395" s="257"/>
      <c r="G395" s="249"/>
      <c r="H395" s="249">
        <v>0</v>
      </c>
      <c r="I395" s="262">
        <f t="shared" si="6"/>
        <v>0</v>
      </c>
      <c r="J395" s="249"/>
      <c r="K395" s="226"/>
      <c r="N395" s="16"/>
    </row>
    <row r="396" spans="1:14" s="10" customFormat="1" ht="10.15" customHeight="1" x14ac:dyDescent="0.2">
      <c r="A396" s="249"/>
      <c r="B396" s="249"/>
      <c r="C396" s="284"/>
      <c r="D396" s="244" t="s">
        <v>605</v>
      </c>
      <c r="E396" s="281"/>
      <c r="F396" s="257"/>
      <c r="G396" s="249"/>
      <c r="H396" s="249">
        <v>15287</v>
      </c>
      <c r="I396" s="262">
        <f t="shared" si="6"/>
        <v>1</v>
      </c>
      <c r="J396" s="248" t="s">
        <v>290</v>
      </c>
      <c r="K396" s="226"/>
      <c r="N396" s="16"/>
    </row>
    <row r="397" spans="1:14" s="10" customFormat="1" ht="10.15" customHeight="1" x14ac:dyDescent="0.2">
      <c r="A397" s="249"/>
      <c r="B397" s="249"/>
      <c r="C397" s="284"/>
      <c r="D397" s="244" t="s">
        <v>611</v>
      </c>
      <c r="E397" s="281"/>
      <c r="F397" s="257"/>
      <c r="G397" s="249"/>
      <c r="H397" s="249">
        <v>0</v>
      </c>
      <c r="I397" s="262">
        <f t="shared" si="6"/>
        <v>0</v>
      </c>
      <c r="J397" s="249"/>
      <c r="K397" s="226"/>
      <c r="N397" s="16"/>
    </row>
    <row r="398" spans="1:14" s="10" customFormat="1" ht="10.15" customHeight="1" x14ac:dyDescent="0.2">
      <c r="A398" s="249"/>
      <c r="B398" s="249"/>
      <c r="C398" s="284"/>
      <c r="D398" s="244" t="s">
        <v>634</v>
      </c>
      <c r="E398" s="281"/>
      <c r="F398" s="257"/>
      <c r="G398" s="249"/>
      <c r="H398" s="249">
        <v>0</v>
      </c>
      <c r="I398" s="262">
        <f t="shared" si="6"/>
        <v>0</v>
      </c>
      <c r="J398" s="249"/>
      <c r="K398" s="226"/>
      <c r="N398" s="16"/>
    </row>
    <row r="399" spans="1:14" s="10" customFormat="1" ht="10.15" customHeight="1" x14ac:dyDescent="0.2">
      <c r="A399" s="249"/>
      <c r="B399" s="249"/>
      <c r="C399" s="284"/>
      <c r="D399" s="243" t="s">
        <v>33</v>
      </c>
      <c r="E399" s="281"/>
      <c r="F399" s="257"/>
      <c r="G399" s="249"/>
      <c r="H399" s="282">
        <v>15287</v>
      </c>
      <c r="I399" s="283">
        <f>SUM(I388:I398)</f>
        <v>1</v>
      </c>
      <c r="J399" s="249"/>
      <c r="K399" s="226"/>
      <c r="N399" s="16"/>
    </row>
    <row r="400" spans="1:14" s="10" customFormat="1" ht="10.15" customHeight="1" x14ac:dyDescent="0.2">
      <c r="A400" s="261" t="s">
        <v>24</v>
      </c>
      <c r="B400" s="261"/>
      <c r="C400" s="261" t="s">
        <v>291</v>
      </c>
      <c r="D400" s="244" t="s">
        <v>663</v>
      </c>
      <c r="E400" s="281">
        <v>41957</v>
      </c>
      <c r="F400" s="257">
        <v>22650000</v>
      </c>
      <c r="G400" s="249">
        <v>56000</v>
      </c>
      <c r="H400" s="249"/>
      <c r="I400" s="262"/>
      <c r="J400" s="249"/>
      <c r="K400" s="226"/>
      <c r="N400" s="16"/>
    </row>
    <row r="401" spans="1:14" s="10" customFormat="1" ht="10.15" customHeight="1" x14ac:dyDescent="0.2">
      <c r="A401" s="249"/>
      <c r="B401" s="249"/>
      <c r="C401" s="284"/>
      <c r="D401" s="244" t="s">
        <v>597</v>
      </c>
      <c r="E401" s="281"/>
      <c r="F401" s="257"/>
      <c r="G401" s="249"/>
      <c r="H401" s="249">
        <v>9776</v>
      </c>
      <c r="I401" s="262">
        <f>(H401/$H$405)</f>
        <v>0.19991002412989245</v>
      </c>
      <c r="J401" s="253" t="s">
        <v>239</v>
      </c>
      <c r="K401" s="226"/>
      <c r="N401" s="16"/>
    </row>
    <row r="402" spans="1:14" s="10" customFormat="1" ht="10.15" customHeight="1" x14ac:dyDescent="0.2">
      <c r="A402" s="249"/>
      <c r="B402" s="249"/>
      <c r="C402" s="284"/>
      <c r="D402" s="244" t="s">
        <v>599</v>
      </c>
      <c r="E402" s="281"/>
      <c r="F402" s="257"/>
      <c r="G402" s="249"/>
      <c r="H402" s="249">
        <v>5023</v>
      </c>
      <c r="I402" s="262">
        <f>(H402/$H$405)</f>
        <v>0.10271563535233733</v>
      </c>
      <c r="J402" s="249"/>
      <c r="K402" s="226"/>
      <c r="N402" s="16"/>
    </row>
    <row r="403" spans="1:14" s="10" customFormat="1" ht="10.15" customHeight="1" x14ac:dyDescent="0.2">
      <c r="A403" s="249"/>
      <c r="B403" s="249"/>
      <c r="C403" s="284"/>
      <c r="D403" s="244" t="s">
        <v>605</v>
      </c>
      <c r="E403" s="281"/>
      <c r="F403" s="257"/>
      <c r="G403" s="249"/>
      <c r="H403" s="249">
        <v>9904</v>
      </c>
      <c r="I403" s="262">
        <f>(H403/$H$405)</f>
        <v>0.20252750398756697</v>
      </c>
      <c r="J403" s="248" t="s">
        <v>290</v>
      </c>
      <c r="K403" s="226"/>
      <c r="N403" s="16"/>
    </row>
    <row r="404" spans="1:14" s="10" customFormat="1" ht="12.75" x14ac:dyDescent="0.2">
      <c r="A404" s="249"/>
      <c r="B404" s="249"/>
      <c r="C404" s="284"/>
      <c r="D404" s="244" t="s">
        <v>634</v>
      </c>
      <c r="E404" s="281"/>
      <c r="F404" s="257"/>
      <c r="G404" s="249"/>
      <c r="H404" s="249">
        <v>24199</v>
      </c>
      <c r="I404" s="262">
        <f>(H404/$H$405)</f>
        <v>0.49484683653020328</v>
      </c>
      <c r="J404" s="248" t="s">
        <v>287</v>
      </c>
      <c r="K404" s="226"/>
      <c r="N404" s="16"/>
    </row>
    <row r="405" spans="1:14" ht="12.75" x14ac:dyDescent="0.2">
      <c r="A405" s="284"/>
      <c r="B405" s="284"/>
      <c r="C405" s="284"/>
      <c r="D405" s="243" t="s">
        <v>33</v>
      </c>
      <c r="E405" s="281"/>
      <c r="F405" s="257"/>
      <c r="G405" s="249"/>
      <c r="H405" s="282">
        <f>SUM(H401:H404)</f>
        <v>48902</v>
      </c>
      <c r="I405" s="283">
        <f>SUM(I401:I404)</f>
        <v>1</v>
      </c>
      <c r="J405" s="242"/>
      <c r="K405" s="226"/>
      <c r="N405" s="16"/>
    </row>
    <row r="406" spans="1:14" ht="12.75" x14ac:dyDescent="0.2">
      <c r="A406" s="284"/>
      <c r="B406" s="284"/>
      <c r="C406" s="284"/>
      <c r="D406" s="243"/>
      <c r="E406" s="281"/>
      <c r="F406" s="257"/>
      <c r="G406" s="249"/>
      <c r="H406" s="249"/>
      <c r="I406" s="262"/>
      <c r="J406" s="242"/>
      <c r="K406" s="226"/>
      <c r="N406" s="16"/>
    </row>
    <row r="407" spans="1:14" ht="10.15" customHeight="1" x14ac:dyDescent="0.2">
      <c r="A407" s="261" t="s">
        <v>24</v>
      </c>
      <c r="B407" s="284"/>
      <c r="C407" s="261" t="s">
        <v>291</v>
      </c>
      <c r="D407" s="285" t="s">
        <v>671</v>
      </c>
      <c r="E407" s="281">
        <v>42200</v>
      </c>
      <c r="F407" s="257">
        <v>45419000</v>
      </c>
      <c r="G407" s="249">
        <v>109202</v>
      </c>
      <c r="H407" s="249"/>
      <c r="I407" s="262"/>
      <c r="J407" s="249"/>
      <c r="K407" s="226"/>
      <c r="N407" s="16"/>
    </row>
    <row r="408" spans="1:14" ht="10.15" customHeight="1" x14ac:dyDescent="0.2">
      <c r="A408" s="284"/>
      <c r="B408" s="284"/>
      <c r="C408" s="284"/>
      <c r="D408" s="244" t="s">
        <v>597</v>
      </c>
      <c r="E408" s="281"/>
      <c r="F408" s="257"/>
      <c r="G408" s="249"/>
      <c r="H408" s="249">
        <v>17756</v>
      </c>
      <c r="I408" s="262">
        <f>H408/H414</f>
        <v>0.34400852465368592</v>
      </c>
      <c r="J408" s="253" t="s">
        <v>576</v>
      </c>
      <c r="K408" s="226"/>
      <c r="N408" s="16"/>
    </row>
    <row r="409" spans="1:14" ht="10.15" customHeight="1" x14ac:dyDescent="0.2">
      <c r="A409" s="284"/>
      <c r="B409" s="284"/>
      <c r="C409" s="284"/>
      <c r="D409" s="244" t="s">
        <v>646</v>
      </c>
      <c r="E409" s="281"/>
      <c r="F409" s="257"/>
      <c r="G409" s="249"/>
      <c r="H409" s="249">
        <v>12426</v>
      </c>
      <c r="I409" s="262">
        <f>H409/H414</f>
        <v>0.24074396977622783</v>
      </c>
      <c r="J409" s="253" t="s">
        <v>108</v>
      </c>
      <c r="K409" s="226"/>
      <c r="N409" s="16"/>
    </row>
    <row r="410" spans="1:14" ht="10.15" customHeight="1" x14ac:dyDescent="0.2">
      <c r="A410" s="284"/>
      <c r="B410" s="284"/>
      <c r="C410" s="284"/>
      <c r="D410" s="244" t="s">
        <v>620</v>
      </c>
      <c r="E410" s="281"/>
      <c r="F410" s="257"/>
      <c r="G410" s="249"/>
      <c r="H410" s="249">
        <v>226</v>
      </c>
      <c r="I410" s="262">
        <f>H410/$H$414</f>
        <v>4.3785721205076046E-3</v>
      </c>
      <c r="J410" s="242"/>
      <c r="K410" s="226"/>
      <c r="N410" s="16"/>
    </row>
    <row r="411" spans="1:14" ht="10.15" customHeight="1" x14ac:dyDescent="0.2">
      <c r="A411" s="284"/>
      <c r="B411" s="284"/>
      <c r="C411" s="284"/>
      <c r="D411" s="244" t="s">
        <v>599</v>
      </c>
      <c r="E411" s="281"/>
      <c r="F411" s="257"/>
      <c r="G411" s="249"/>
      <c r="H411" s="249">
        <v>6333</v>
      </c>
      <c r="I411" s="262">
        <f>H411/$H$414</f>
        <v>0.12269689043882592</v>
      </c>
      <c r="J411" s="242"/>
      <c r="K411" s="226"/>
      <c r="N411" s="16"/>
    </row>
    <row r="412" spans="1:14" ht="10.15" customHeight="1" x14ac:dyDescent="0.2">
      <c r="A412" s="284"/>
      <c r="B412" s="284"/>
      <c r="C412" s="284"/>
      <c r="D412" s="266" t="s">
        <v>739</v>
      </c>
      <c r="E412" s="281"/>
      <c r="F412" s="257"/>
      <c r="G412" s="249"/>
      <c r="H412" s="249">
        <v>11482</v>
      </c>
      <c r="I412" s="262">
        <f>H412/$H$414</f>
        <v>0.22245471277729342</v>
      </c>
      <c r="J412" s="253" t="s">
        <v>612</v>
      </c>
      <c r="K412" s="226"/>
      <c r="N412" s="16"/>
    </row>
    <row r="413" spans="1:14" ht="10.15" customHeight="1" x14ac:dyDescent="0.2">
      <c r="A413" s="284"/>
      <c r="B413" s="284"/>
      <c r="C413" s="284"/>
      <c r="D413" s="244" t="s">
        <v>634</v>
      </c>
      <c r="E413" s="281"/>
      <c r="F413" s="257"/>
      <c r="G413" s="249"/>
      <c r="H413" s="249">
        <v>3392</v>
      </c>
      <c r="I413" s="262">
        <f>H413/$H$414</f>
        <v>6.571733023345927E-2</v>
      </c>
      <c r="J413" s="242"/>
      <c r="K413" s="226"/>
      <c r="N413" s="16"/>
    </row>
    <row r="414" spans="1:14" ht="10.15" customHeight="1" x14ac:dyDescent="0.2">
      <c r="A414" s="284"/>
      <c r="B414" s="284"/>
      <c r="C414" s="284"/>
      <c r="D414" s="243" t="s">
        <v>33</v>
      </c>
      <c r="E414" s="281"/>
      <c r="F414" s="257"/>
      <c r="G414" s="249"/>
      <c r="H414" s="282">
        <v>51615</v>
      </c>
      <c r="I414" s="283">
        <f>H414/$H$414</f>
        <v>1</v>
      </c>
      <c r="J414" s="242"/>
      <c r="K414" s="226"/>
      <c r="N414" s="16"/>
    </row>
    <row r="415" spans="1:14" ht="10.15" customHeight="1" x14ac:dyDescent="0.2">
      <c r="A415" s="284"/>
      <c r="B415" s="284"/>
      <c r="C415" s="284"/>
      <c r="D415" s="243"/>
      <c r="E415" s="281"/>
      <c r="F415" s="257"/>
      <c r="G415" s="249"/>
      <c r="H415" s="249"/>
      <c r="I415" s="262"/>
      <c r="J415" s="242"/>
      <c r="K415" s="226"/>
      <c r="N415" s="16"/>
    </row>
    <row r="416" spans="1:14" s="10" customFormat="1" ht="10.15" customHeight="1" x14ac:dyDescent="0.2">
      <c r="A416" s="261" t="s">
        <v>24</v>
      </c>
      <c r="B416" s="261"/>
      <c r="C416" s="261" t="s">
        <v>291</v>
      </c>
      <c r="D416" s="286" t="s">
        <v>676</v>
      </c>
      <c r="E416" s="281">
        <v>42720</v>
      </c>
      <c r="F416" s="257">
        <v>66630000</v>
      </c>
      <c r="G416" s="249">
        <v>111552</v>
      </c>
      <c r="H416" s="249"/>
      <c r="I416" s="262"/>
      <c r="J416" s="249"/>
      <c r="K416" s="226"/>
      <c r="N416" s="16"/>
    </row>
    <row r="417" spans="1:14" ht="10.15" customHeight="1" x14ac:dyDescent="0.2">
      <c r="A417" s="284"/>
      <c r="B417" s="284"/>
      <c r="C417" s="284"/>
      <c r="D417" s="286" t="s">
        <v>646</v>
      </c>
      <c r="E417" s="281"/>
      <c r="F417" s="257"/>
      <c r="G417" s="249"/>
      <c r="H417" s="249">
        <v>30124</v>
      </c>
      <c r="I417" s="262">
        <f t="shared" ref="I417:I422" si="7">H417/$H$422</f>
        <v>0.46410303814629938</v>
      </c>
      <c r="J417" s="253" t="s">
        <v>108</v>
      </c>
      <c r="K417" s="226"/>
      <c r="N417" s="16"/>
    </row>
    <row r="418" spans="1:14" ht="10.15" customHeight="1" x14ac:dyDescent="0.2">
      <c r="A418" s="284"/>
      <c r="B418" s="284"/>
      <c r="C418" s="284"/>
      <c r="D418" s="286" t="s">
        <v>620</v>
      </c>
      <c r="E418" s="281"/>
      <c r="F418" s="257"/>
      <c r="G418" s="249"/>
      <c r="H418" s="249">
        <v>26006</v>
      </c>
      <c r="I418" s="262">
        <f t="shared" si="7"/>
        <v>0.40065939483576757</v>
      </c>
      <c r="J418" s="253" t="s">
        <v>109</v>
      </c>
      <c r="K418" s="226"/>
      <c r="N418" s="16"/>
    </row>
    <row r="419" spans="1:14" ht="10.15" customHeight="1" x14ac:dyDescent="0.2">
      <c r="A419" s="284"/>
      <c r="B419" s="284"/>
      <c r="C419" s="284"/>
      <c r="D419" s="286" t="s">
        <v>599</v>
      </c>
      <c r="E419" s="281"/>
      <c r="F419" s="257"/>
      <c r="G419" s="249"/>
      <c r="H419" s="249">
        <v>1746</v>
      </c>
      <c r="I419" s="262">
        <f t="shared" si="7"/>
        <v>2.689961175818081E-2</v>
      </c>
      <c r="J419" s="242"/>
      <c r="K419" s="226"/>
      <c r="N419" s="16"/>
    </row>
    <row r="420" spans="1:14" ht="10.15" customHeight="1" x14ac:dyDescent="0.2">
      <c r="A420" s="284"/>
      <c r="B420" s="284"/>
      <c r="C420" s="284"/>
      <c r="D420" s="286" t="s">
        <v>677</v>
      </c>
      <c r="E420" s="281"/>
      <c r="F420" s="257"/>
      <c r="G420" s="249"/>
      <c r="H420" s="249">
        <v>1611</v>
      </c>
      <c r="I420" s="262">
        <f t="shared" si="7"/>
        <v>2.4819744869661674E-2</v>
      </c>
      <c r="J420" s="242"/>
      <c r="K420" s="226"/>
      <c r="N420" s="16"/>
    </row>
    <row r="421" spans="1:14" ht="10.15" customHeight="1" x14ac:dyDescent="0.2">
      <c r="A421" s="249"/>
      <c r="B421" s="249"/>
      <c r="C421" s="284"/>
      <c r="D421" s="286" t="s">
        <v>605</v>
      </c>
      <c r="E421" s="281"/>
      <c r="F421" s="257"/>
      <c r="G421" s="249"/>
      <c r="H421" s="249">
        <v>5421</v>
      </c>
      <c r="I421" s="262">
        <f t="shared" si="7"/>
        <v>8.3518210390090594E-2</v>
      </c>
      <c r="J421" s="242"/>
      <c r="K421" s="226"/>
      <c r="N421" s="16"/>
    </row>
    <row r="422" spans="1:14" ht="10.15" customHeight="1" x14ac:dyDescent="0.2">
      <c r="A422" s="249"/>
      <c r="B422" s="249"/>
      <c r="C422" s="284"/>
      <c r="D422" s="243" t="s">
        <v>33</v>
      </c>
      <c r="E422" s="281"/>
      <c r="F422" s="257"/>
      <c r="G422" s="249"/>
      <c r="H422" s="282">
        <f>SUM(H417:H421)</f>
        <v>64908</v>
      </c>
      <c r="I422" s="283">
        <f t="shared" si="7"/>
        <v>1</v>
      </c>
      <c r="J422" s="242"/>
      <c r="K422" s="226"/>
      <c r="N422" s="16"/>
    </row>
    <row r="423" spans="1:14" ht="10.15" customHeight="1" x14ac:dyDescent="0.2">
      <c r="A423" s="249"/>
      <c r="B423" s="249"/>
      <c r="C423" s="284"/>
      <c r="D423" s="243"/>
      <c r="E423" s="281"/>
      <c r="F423" s="257"/>
      <c r="G423" s="249"/>
      <c r="H423" s="249"/>
      <c r="I423" s="262"/>
      <c r="J423" s="242"/>
      <c r="K423" s="226"/>
      <c r="N423" s="16"/>
    </row>
    <row r="424" spans="1:14" s="10" customFormat="1" ht="10.15" customHeight="1" x14ac:dyDescent="0.2">
      <c r="A424" s="261" t="s">
        <v>24</v>
      </c>
      <c r="B424" s="261"/>
      <c r="C424" s="261" t="s">
        <v>513</v>
      </c>
      <c r="D424" s="286" t="s">
        <v>697</v>
      </c>
      <c r="E424" s="281">
        <v>43070</v>
      </c>
      <c r="F424" s="257">
        <v>15124707</v>
      </c>
      <c r="G424" s="249">
        <v>51681</v>
      </c>
      <c r="H424" s="249"/>
      <c r="I424" s="262"/>
      <c r="J424" s="249"/>
      <c r="K424" s="226"/>
      <c r="N424" s="16"/>
    </row>
    <row r="425" spans="1:14" ht="10.15" customHeight="1" x14ac:dyDescent="0.2">
      <c r="A425" s="284"/>
      <c r="B425" s="284"/>
      <c r="C425" s="284"/>
      <c r="D425" s="286" t="s">
        <v>620</v>
      </c>
      <c r="E425" s="281"/>
      <c r="F425" s="257"/>
      <c r="G425" s="249"/>
      <c r="H425" s="249">
        <v>14615</v>
      </c>
      <c r="I425" s="262">
        <f>H425/$H$429</f>
        <v>0.42715183399093964</v>
      </c>
      <c r="J425" s="253" t="s">
        <v>109</v>
      </c>
      <c r="K425" s="226"/>
      <c r="N425" s="16"/>
    </row>
    <row r="426" spans="1:14" ht="10.15" customHeight="1" x14ac:dyDescent="0.2">
      <c r="A426" s="284"/>
      <c r="B426" s="284"/>
      <c r="C426" s="284"/>
      <c r="D426" s="287" t="s">
        <v>99</v>
      </c>
      <c r="E426" s="281"/>
      <c r="F426" s="257"/>
      <c r="G426" s="249"/>
      <c r="H426" s="249">
        <v>316</v>
      </c>
      <c r="I426" s="262">
        <f>H426/$H$429</f>
        <v>9.235715329533831E-3</v>
      </c>
      <c r="J426" s="242"/>
      <c r="K426" s="226"/>
      <c r="N426" s="16"/>
    </row>
    <row r="427" spans="1:14" ht="10.15" customHeight="1" x14ac:dyDescent="0.2">
      <c r="A427" s="249"/>
      <c r="B427" s="249"/>
      <c r="C427" s="284"/>
      <c r="D427" s="286" t="s">
        <v>605</v>
      </c>
      <c r="E427" s="281"/>
      <c r="F427" s="257"/>
      <c r="G427" s="249"/>
      <c r="H427" s="249">
        <v>18858</v>
      </c>
      <c r="I427" s="262">
        <f>H427/$H$429</f>
        <v>0.55116177115300302</v>
      </c>
      <c r="J427" s="253" t="s">
        <v>698</v>
      </c>
      <c r="K427" s="226"/>
      <c r="N427" s="16"/>
    </row>
    <row r="428" spans="1:14" ht="10.15" customHeight="1" x14ac:dyDescent="0.2">
      <c r="A428" s="249"/>
      <c r="B428" s="249"/>
      <c r="C428" s="284"/>
      <c r="D428" s="287" t="s">
        <v>693</v>
      </c>
      <c r="E428" s="281"/>
      <c r="F428" s="257"/>
      <c r="G428" s="249"/>
      <c r="H428" s="249">
        <v>426</v>
      </c>
      <c r="I428" s="262">
        <f>H428/$H$429</f>
        <v>1.2450679526523454E-2</v>
      </c>
      <c r="J428" s="242"/>
      <c r="K428" s="226"/>
      <c r="N428" s="16"/>
    </row>
    <row r="429" spans="1:14" ht="10.15" customHeight="1" x14ac:dyDescent="0.2">
      <c r="A429" s="249"/>
      <c r="B429" s="249"/>
      <c r="C429" s="284"/>
      <c r="D429" s="243" t="s">
        <v>33</v>
      </c>
      <c r="E429" s="281"/>
      <c r="F429" s="257"/>
      <c r="G429" s="249"/>
      <c r="H429" s="282">
        <f>SUM(H425:H428)</f>
        <v>34215</v>
      </c>
      <c r="I429" s="283">
        <f>SUM(I425:I428)</f>
        <v>0.99999999999999989</v>
      </c>
      <c r="J429" s="242"/>
      <c r="K429" s="226"/>
      <c r="N429" s="16"/>
    </row>
    <row r="430" spans="1:14" ht="10.15" customHeight="1" x14ac:dyDescent="0.2">
      <c r="A430" s="249"/>
      <c r="B430" s="249"/>
      <c r="C430" s="284"/>
      <c r="D430" s="243"/>
      <c r="E430" s="281"/>
      <c r="F430" s="257"/>
      <c r="G430" s="249"/>
      <c r="H430" s="249"/>
      <c r="I430" s="262"/>
      <c r="J430" s="242"/>
      <c r="K430" s="226"/>
      <c r="N430" s="16"/>
    </row>
    <row r="431" spans="1:14" ht="10.15" customHeight="1" x14ac:dyDescent="0.2">
      <c r="A431" s="261" t="s">
        <v>24</v>
      </c>
      <c r="B431" s="249"/>
      <c r="C431" s="261" t="s">
        <v>291</v>
      </c>
      <c r="D431" s="244" t="s">
        <v>704</v>
      </c>
      <c r="E431" s="281">
        <v>43282</v>
      </c>
      <c r="F431" s="257">
        <v>3008500</v>
      </c>
      <c r="G431" s="249">
        <v>8016</v>
      </c>
      <c r="H431" s="249"/>
      <c r="I431" s="262"/>
      <c r="J431" s="249"/>
      <c r="K431" s="226"/>
      <c r="N431" s="16"/>
    </row>
    <row r="432" spans="1:14" ht="10.15" customHeight="1" x14ac:dyDescent="0.2">
      <c r="A432" s="243"/>
      <c r="B432" s="243"/>
      <c r="C432" s="243"/>
      <c r="D432" s="244" t="s">
        <v>620</v>
      </c>
      <c r="E432" s="277"/>
      <c r="F432" s="245"/>
      <c r="G432" s="246"/>
      <c r="H432" s="242">
        <v>3817</v>
      </c>
      <c r="I432" s="251">
        <f>H432/$H$434</f>
        <v>0.67545567156255526</v>
      </c>
      <c r="J432" s="253" t="s">
        <v>109</v>
      </c>
      <c r="K432" s="226"/>
    </row>
    <row r="433" spans="1:17" ht="10.15" customHeight="1" x14ac:dyDescent="0.2">
      <c r="A433" s="248"/>
      <c r="B433" s="248"/>
      <c r="C433" s="261"/>
      <c r="D433" s="244" t="s">
        <v>605</v>
      </c>
      <c r="E433" s="281"/>
      <c r="F433" s="257"/>
      <c r="G433" s="249"/>
      <c r="H433" s="250">
        <v>1834</v>
      </c>
      <c r="I433" s="251">
        <f>H433/H434</f>
        <v>0.32454432843744468</v>
      </c>
      <c r="J433" s="253" t="s">
        <v>698</v>
      </c>
      <c r="K433" s="226"/>
    </row>
    <row r="434" spans="1:17" ht="10.15" customHeight="1" x14ac:dyDescent="0.2">
      <c r="A434" s="248"/>
      <c r="B434" s="248"/>
      <c r="C434" s="261"/>
      <c r="D434" s="243" t="s">
        <v>33</v>
      </c>
      <c r="E434" s="281"/>
      <c r="F434" s="257"/>
      <c r="G434" s="249"/>
      <c r="H434" s="255">
        <v>5651</v>
      </c>
      <c r="I434" s="256">
        <v>0.99999999999999989</v>
      </c>
      <c r="J434" s="253"/>
      <c r="K434" s="226"/>
    </row>
    <row r="435" spans="1:17" ht="9.75" customHeight="1" x14ac:dyDescent="0.2">
      <c r="A435" s="248"/>
      <c r="B435" s="248"/>
      <c r="C435" s="261"/>
      <c r="D435" s="243"/>
      <c r="E435" s="281"/>
      <c r="F435" s="257"/>
      <c r="G435" s="249"/>
      <c r="H435" s="246"/>
      <c r="I435" s="262"/>
      <c r="J435" s="253"/>
      <c r="K435" s="226"/>
    </row>
    <row r="436" spans="1:17" s="31" customFormat="1" ht="10.15" customHeight="1" x14ac:dyDescent="0.2">
      <c r="A436" s="288" t="s">
        <v>24</v>
      </c>
      <c r="B436" s="288"/>
      <c r="C436" s="288" t="s">
        <v>291</v>
      </c>
      <c r="D436" s="289" t="s">
        <v>729</v>
      </c>
      <c r="E436" s="290">
        <v>43784</v>
      </c>
      <c r="F436" s="291">
        <v>7667728</v>
      </c>
      <c r="G436" s="292">
        <v>15715</v>
      </c>
      <c r="H436" s="292"/>
      <c r="I436" s="293"/>
      <c r="J436" s="292"/>
      <c r="K436" s="228"/>
      <c r="N436" s="32"/>
    </row>
    <row r="437" spans="1:17" ht="10.15" customHeight="1" x14ac:dyDescent="0.2">
      <c r="A437" s="284"/>
      <c r="B437" s="284"/>
      <c r="C437" s="284"/>
      <c r="D437" s="287" t="s">
        <v>42</v>
      </c>
      <c r="E437" s="281"/>
      <c r="F437" s="257"/>
      <c r="G437" s="249"/>
      <c r="H437" s="249">
        <v>2530</v>
      </c>
      <c r="I437" s="262">
        <f>H437/$H$439</f>
        <v>0.46903967371153132</v>
      </c>
      <c r="J437" s="253" t="s">
        <v>42</v>
      </c>
      <c r="K437" s="226"/>
      <c r="N437" s="16"/>
    </row>
    <row r="438" spans="1:17" ht="9.75" customHeight="1" x14ac:dyDescent="0.2">
      <c r="A438" s="284"/>
      <c r="B438" s="284"/>
      <c r="C438" s="284"/>
      <c r="D438" s="287" t="s">
        <v>730</v>
      </c>
      <c r="E438" s="281"/>
      <c r="F438" s="257"/>
      <c r="G438" s="249"/>
      <c r="H438" s="249">
        <v>2864</v>
      </c>
      <c r="I438" s="262">
        <f>H438/$H$439</f>
        <v>0.53096032628846868</v>
      </c>
      <c r="J438" s="253" t="s">
        <v>612</v>
      </c>
      <c r="K438" s="226"/>
      <c r="N438" s="16"/>
    </row>
    <row r="439" spans="1:17" ht="10.15" customHeight="1" x14ac:dyDescent="0.2">
      <c r="A439" s="249"/>
      <c r="B439" s="249"/>
      <c r="C439" s="284"/>
      <c r="D439" s="243" t="s">
        <v>33</v>
      </c>
      <c r="E439" s="281"/>
      <c r="F439" s="257"/>
      <c r="G439" s="249"/>
      <c r="H439" s="282">
        <f>SUM(H437:H438)</f>
        <v>5394</v>
      </c>
      <c r="I439" s="283">
        <f>H439/$H$439</f>
        <v>1</v>
      </c>
      <c r="J439" s="242"/>
      <c r="K439" s="226"/>
      <c r="N439" s="16"/>
    </row>
    <row r="440" spans="1:17" ht="10.15" customHeight="1" x14ac:dyDescent="0.2">
      <c r="A440" s="249"/>
      <c r="B440" s="249"/>
      <c r="C440" s="284"/>
      <c r="D440" s="243"/>
      <c r="E440" s="281"/>
      <c r="F440" s="257"/>
      <c r="G440" s="249"/>
      <c r="H440" s="249"/>
      <c r="I440" s="262"/>
      <c r="J440" s="242"/>
      <c r="K440" s="226"/>
      <c r="N440" s="16"/>
    </row>
    <row r="441" spans="1:17" s="31" customFormat="1" ht="10.15" customHeight="1" x14ac:dyDescent="0.2">
      <c r="A441" s="350" t="s">
        <v>24</v>
      </c>
      <c r="B441" s="350"/>
      <c r="C441" s="350" t="s">
        <v>291</v>
      </c>
      <c r="D441" s="378" t="s">
        <v>760</v>
      </c>
      <c r="E441" s="369">
        <v>44321</v>
      </c>
      <c r="F441" s="352">
        <v>2734347</v>
      </c>
      <c r="G441" s="353">
        <v>7298</v>
      </c>
      <c r="H441" s="353"/>
      <c r="I441" s="355"/>
      <c r="J441" s="353"/>
      <c r="K441" s="228"/>
      <c r="N441" s="32"/>
    </row>
    <row r="442" spans="1:17" ht="9.75" customHeight="1" x14ac:dyDescent="0.2">
      <c r="A442" s="379"/>
      <c r="B442" s="379"/>
      <c r="C442" s="379"/>
      <c r="D442" s="380" t="s">
        <v>730</v>
      </c>
      <c r="E442" s="369"/>
      <c r="F442" s="352"/>
      <c r="G442" s="353"/>
      <c r="H442" s="353">
        <v>5926</v>
      </c>
      <c r="I442" s="355">
        <f>H442/$H$443</f>
        <v>1</v>
      </c>
      <c r="J442" s="356" t="s">
        <v>612</v>
      </c>
      <c r="K442" s="226"/>
      <c r="N442" s="16"/>
    </row>
    <row r="443" spans="1:17" ht="10.15" customHeight="1" x14ac:dyDescent="0.2">
      <c r="A443" s="353"/>
      <c r="B443" s="353"/>
      <c r="C443" s="379"/>
      <c r="D443" s="357" t="s">
        <v>33</v>
      </c>
      <c r="E443" s="369"/>
      <c r="F443" s="352"/>
      <c r="G443" s="353"/>
      <c r="H443" s="353">
        <f>SUM(H442)</f>
        <v>5926</v>
      </c>
      <c r="I443" s="355">
        <f>H443/$H$442</f>
        <v>1</v>
      </c>
      <c r="J443" s="353"/>
      <c r="K443" s="226"/>
      <c r="N443" s="16"/>
    </row>
    <row r="444" spans="1:17" ht="10.15" customHeight="1" x14ac:dyDescent="0.2">
      <c r="A444" s="249"/>
      <c r="B444" s="249"/>
      <c r="C444" s="284"/>
      <c r="D444" s="243"/>
      <c r="E444" s="281"/>
      <c r="F444" s="257"/>
      <c r="G444" s="249"/>
      <c r="H444" s="249"/>
      <c r="I444" s="262"/>
      <c r="J444" s="242"/>
      <c r="K444" s="226"/>
      <c r="N444" s="16"/>
    </row>
    <row r="445" spans="1:17" ht="10.15" customHeight="1" x14ac:dyDescent="0.2">
      <c r="A445" s="243" t="s">
        <v>19</v>
      </c>
      <c r="B445" s="243" t="s">
        <v>297</v>
      </c>
      <c r="C445" s="243" t="s">
        <v>236</v>
      </c>
      <c r="D445" s="244" t="s">
        <v>298</v>
      </c>
      <c r="E445" s="277" t="s">
        <v>248</v>
      </c>
      <c r="F445" s="245">
        <v>3808500</v>
      </c>
      <c r="G445" s="246">
        <v>49267</v>
      </c>
      <c r="H445" s="242"/>
      <c r="I445" s="251"/>
      <c r="J445" s="253"/>
      <c r="K445" s="226"/>
      <c r="N445" s="17"/>
      <c r="Q445" s="16"/>
    </row>
    <row r="446" spans="1:17" ht="10.15" customHeight="1" x14ac:dyDescent="0.2">
      <c r="A446" s="248"/>
      <c r="B446" s="248"/>
      <c r="C446" s="261"/>
      <c r="D446" s="244" t="s">
        <v>242</v>
      </c>
      <c r="E446" s="281"/>
      <c r="F446" s="257"/>
      <c r="G446" s="249"/>
      <c r="H446" s="250">
        <v>9585</v>
      </c>
      <c r="I446" s="251">
        <f>ROUND(H446/$H$450,4)</f>
        <v>0.33750000000000002</v>
      </c>
      <c r="J446" s="253"/>
      <c r="K446" s="226"/>
    </row>
    <row r="447" spans="1:17" ht="10.15" customHeight="1" x14ac:dyDescent="0.2">
      <c r="A447" s="248"/>
      <c r="B447" s="248"/>
      <c r="C447" s="261"/>
      <c r="D447" s="244" t="s">
        <v>264</v>
      </c>
      <c r="E447" s="281"/>
      <c r="F447" s="257"/>
      <c r="G447" s="249"/>
      <c r="H447" s="250">
        <v>300</v>
      </c>
      <c r="I447" s="251">
        <f>ROUND(H447/$H$450,4)</f>
        <v>1.06E-2</v>
      </c>
      <c r="J447" s="253"/>
      <c r="K447" s="226"/>
    </row>
    <row r="448" spans="1:17" ht="10.15" customHeight="1" x14ac:dyDescent="0.2">
      <c r="A448" s="248"/>
      <c r="B448" s="248"/>
      <c r="C448" s="261"/>
      <c r="D448" s="244" t="s">
        <v>244</v>
      </c>
      <c r="E448" s="281"/>
      <c r="F448" s="257"/>
      <c r="G448" s="249"/>
      <c r="H448" s="250">
        <v>18168</v>
      </c>
      <c r="I448" s="251">
        <f>ROUND(H448/$H$450,4)-0.0001</f>
        <v>0.63960000000000006</v>
      </c>
      <c r="J448" s="252" t="s">
        <v>244</v>
      </c>
      <c r="K448" s="226"/>
    </row>
    <row r="449" spans="1:11" ht="10.15" customHeight="1" x14ac:dyDescent="0.2">
      <c r="A449" s="248"/>
      <c r="B449" s="248"/>
      <c r="C449" s="261"/>
      <c r="D449" s="244" t="s">
        <v>245</v>
      </c>
      <c r="E449" s="281"/>
      <c r="F449" s="257"/>
      <c r="G449" s="249"/>
      <c r="H449" s="250">
        <v>350</v>
      </c>
      <c r="I449" s="251">
        <f>ROUND(H449/$H$450,4)</f>
        <v>1.23E-2</v>
      </c>
      <c r="J449" s="253"/>
      <c r="K449" s="226"/>
    </row>
    <row r="450" spans="1:11" ht="10.15" customHeight="1" x14ac:dyDescent="0.2">
      <c r="A450" s="248"/>
      <c r="B450" s="248"/>
      <c r="C450" s="261"/>
      <c r="D450" s="243" t="s">
        <v>33</v>
      </c>
      <c r="E450" s="281"/>
      <c r="F450" s="257"/>
      <c r="G450" s="249"/>
      <c r="H450" s="255">
        <f>SUM(H446:H449)</f>
        <v>28403</v>
      </c>
      <c r="I450" s="256">
        <f>SUM(I446:I449)</f>
        <v>1</v>
      </c>
      <c r="J450" s="253"/>
      <c r="K450" s="226"/>
    </row>
    <row r="451" spans="1:11" ht="10.15" customHeight="1" x14ac:dyDescent="0.2">
      <c r="A451" s="248"/>
      <c r="B451" s="248"/>
      <c r="C451" s="261"/>
      <c r="D451" s="249"/>
      <c r="E451" s="281"/>
      <c r="F451" s="257"/>
      <c r="G451" s="249"/>
      <c r="H451" s="242"/>
      <c r="I451" s="242"/>
      <c r="J451" s="253"/>
      <c r="K451" s="226"/>
    </row>
    <row r="452" spans="1:11" ht="10.15" customHeight="1" x14ac:dyDescent="0.2">
      <c r="A452" s="243" t="s">
        <v>19</v>
      </c>
      <c r="B452" s="276" t="s">
        <v>299</v>
      </c>
      <c r="C452" s="243" t="s">
        <v>236</v>
      </c>
      <c r="D452" s="244" t="s">
        <v>300</v>
      </c>
      <c r="E452" s="277" t="s">
        <v>301</v>
      </c>
      <c r="F452" s="245">
        <v>7552532</v>
      </c>
      <c r="G452" s="246">
        <v>80000</v>
      </c>
      <c r="H452" s="242"/>
      <c r="I452" s="251"/>
      <c r="J452" s="253"/>
      <c r="K452" s="226"/>
    </row>
    <row r="453" spans="1:11" ht="10.15" customHeight="1" x14ac:dyDescent="0.2">
      <c r="A453" s="248"/>
      <c r="B453" s="248"/>
      <c r="C453" s="261"/>
      <c r="D453" s="244" t="s">
        <v>263</v>
      </c>
      <c r="E453" s="281"/>
      <c r="F453" s="257"/>
      <c r="G453" s="249"/>
      <c r="H453" s="250">
        <v>13583</v>
      </c>
      <c r="I453" s="251">
        <f>ROUND(H453/$H$459,4)</f>
        <v>0.3372</v>
      </c>
      <c r="J453" s="253" t="s">
        <v>263</v>
      </c>
      <c r="K453" s="226"/>
    </row>
    <row r="454" spans="1:11" ht="10.15" customHeight="1" x14ac:dyDescent="0.2">
      <c r="A454" s="248"/>
      <c r="B454" s="248"/>
      <c r="C454" s="261"/>
      <c r="D454" s="244" t="s">
        <v>240</v>
      </c>
      <c r="E454" s="281"/>
      <c r="F454" s="257"/>
      <c r="G454" s="249"/>
      <c r="H454" s="250">
        <v>3726</v>
      </c>
      <c r="I454" s="251">
        <f>ROUND(H454/$H$459,4)</f>
        <v>9.2499999999999999E-2</v>
      </c>
      <c r="J454" s="253"/>
      <c r="K454" s="226"/>
    </row>
    <row r="455" spans="1:11" ht="10.15" customHeight="1" x14ac:dyDescent="0.2">
      <c r="A455" s="248"/>
      <c r="B455" s="248"/>
      <c r="C455" s="261"/>
      <c r="D455" s="244" t="s">
        <v>242</v>
      </c>
      <c r="E455" s="281"/>
      <c r="F455" s="257"/>
      <c r="G455" s="249"/>
      <c r="H455" s="250">
        <v>13030</v>
      </c>
      <c r="I455" s="251">
        <f>ROUND(H455/$H$459,4)</f>
        <v>0.32350000000000001</v>
      </c>
      <c r="J455" s="252" t="s">
        <v>242</v>
      </c>
      <c r="K455" s="226"/>
    </row>
    <row r="456" spans="1:11" ht="10.15" customHeight="1" x14ac:dyDescent="0.2">
      <c r="A456" s="248"/>
      <c r="B456" s="248"/>
      <c r="C456" s="261"/>
      <c r="D456" s="244" t="s">
        <v>244</v>
      </c>
      <c r="E456" s="281"/>
      <c r="F456" s="257"/>
      <c r="G456" s="249"/>
      <c r="H456" s="250">
        <v>956</v>
      </c>
      <c r="I456" s="251">
        <f>ROUND(H456/$H$459,4)</f>
        <v>2.3699999999999999E-2</v>
      </c>
      <c r="J456" s="253"/>
      <c r="K456" s="226"/>
    </row>
    <row r="457" spans="1:11" ht="10.15" customHeight="1" x14ac:dyDescent="0.2">
      <c r="A457" s="248"/>
      <c r="B457" s="248"/>
      <c r="C457" s="261"/>
      <c r="D457" s="244" t="s">
        <v>245</v>
      </c>
      <c r="E457" s="281"/>
      <c r="F457" s="257"/>
      <c r="G457" s="249"/>
      <c r="H457" s="250">
        <v>7275</v>
      </c>
      <c r="I457" s="251">
        <f>ROUND(H457/$H$459,4)</f>
        <v>0.18060000000000001</v>
      </c>
      <c r="J457" s="253" t="s">
        <v>245</v>
      </c>
      <c r="K457" s="226"/>
    </row>
    <row r="458" spans="1:11" ht="10.15" customHeight="1" x14ac:dyDescent="0.2">
      <c r="A458" s="248"/>
      <c r="B458" s="248"/>
      <c r="C458" s="261"/>
      <c r="D458" s="254" t="s">
        <v>246</v>
      </c>
      <c r="E458" s="281"/>
      <c r="F458" s="257"/>
      <c r="G458" s="249"/>
      <c r="H458" s="250">
        <v>1706</v>
      </c>
      <c r="I458" s="251">
        <f>ROUND(H458/$H$459,4)+0.0001</f>
        <v>4.2500000000000003E-2</v>
      </c>
      <c r="J458" s="253"/>
      <c r="K458" s="226"/>
    </row>
    <row r="459" spans="1:11" ht="10.15" customHeight="1" x14ac:dyDescent="0.2">
      <c r="A459" s="248"/>
      <c r="B459" s="248"/>
      <c r="C459" s="261"/>
      <c r="D459" s="243" t="s">
        <v>33</v>
      </c>
      <c r="E459" s="281"/>
      <c r="F459" s="257"/>
      <c r="G459" s="249"/>
      <c r="H459" s="255">
        <f>SUM(H453:H458)</f>
        <v>40276</v>
      </c>
      <c r="I459" s="256">
        <f>SUM(I453:I458)</f>
        <v>0.99999999999999989</v>
      </c>
      <c r="J459" s="253"/>
      <c r="K459" s="226"/>
    </row>
    <row r="460" spans="1:11" ht="10.15" customHeight="1" x14ac:dyDescent="0.2">
      <c r="A460" s="248"/>
      <c r="B460" s="248"/>
      <c r="C460" s="261"/>
      <c r="D460" s="243"/>
      <c r="E460" s="281"/>
      <c r="F460" s="257"/>
      <c r="G460" s="249"/>
      <c r="H460" s="258"/>
      <c r="I460" s="259"/>
      <c r="J460" s="253"/>
      <c r="K460" s="226"/>
    </row>
    <row r="461" spans="1:11" ht="10.35" customHeight="1" x14ac:dyDescent="0.2">
      <c r="A461" s="243" t="s">
        <v>19</v>
      </c>
      <c r="B461" s="243" t="s">
        <v>302</v>
      </c>
      <c r="C461" s="243" t="s">
        <v>236</v>
      </c>
      <c r="D461" s="254" t="s">
        <v>303</v>
      </c>
      <c r="E461" s="277" t="s">
        <v>304</v>
      </c>
      <c r="F461" s="245">
        <v>10568442</v>
      </c>
      <c r="G461" s="246">
        <v>102941</v>
      </c>
      <c r="H461" s="242"/>
      <c r="I461" s="242"/>
      <c r="J461" s="253"/>
      <c r="K461" s="226"/>
    </row>
    <row r="462" spans="1:11" ht="10.35" customHeight="1" x14ac:dyDescent="0.2">
      <c r="A462" s="248"/>
      <c r="B462" s="248"/>
      <c r="C462" s="261"/>
      <c r="D462" s="244" t="s">
        <v>263</v>
      </c>
      <c r="E462" s="281"/>
      <c r="F462" s="257"/>
      <c r="G462" s="249"/>
      <c r="H462" s="250">
        <v>400</v>
      </c>
      <c r="I462" s="251">
        <f>ROUND(H462/$H$465,4)</f>
        <v>5.4000000000000003E-3</v>
      </c>
      <c r="J462" s="253"/>
      <c r="K462" s="226"/>
    </row>
    <row r="463" spans="1:11" ht="10.35" customHeight="1" x14ac:dyDescent="0.2">
      <c r="A463" s="248"/>
      <c r="B463" s="248"/>
      <c r="C463" s="261"/>
      <c r="D463" s="244" t="s">
        <v>242</v>
      </c>
      <c r="E463" s="281"/>
      <c r="F463" s="257"/>
      <c r="G463" s="249"/>
      <c r="H463" s="250">
        <v>350</v>
      </c>
      <c r="I463" s="251">
        <f>ROUND(H463/$H$465,4)</f>
        <v>4.7999999999999996E-3</v>
      </c>
      <c r="J463" s="253"/>
      <c r="K463" s="226"/>
    </row>
    <row r="464" spans="1:11" ht="10.35" customHeight="1" x14ac:dyDescent="0.2">
      <c r="A464" s="248"/>
      <c r="B464" s="248"/>
      <c r="C464" s="261"/>
      <c r="D464" s="244" t="s">
        <v>305</v>
      </c>
      <c r="E464" s="281"/>
      <c r="F464" s="257"/>
      <c r="G464" s="249"/>
      <c r="H464" s="250">
        <v>72779</v>
      </c>
      <c r="I464" s="251">
        <f>ROUND(H464/$H$465,4)</f>
        <v>0.98980000000000001</v>
      </c>
      <c r="J464" s="252" t="s">
        <v>305</v>
      </c>
      <c r="K464" s="226"/>
    </row>
    <row r="465" spans="1:11" ht="9.75" customHeight="1" x14ac:dyDescent="0.2">
      <c r="A465" s="248"/>
      <c r="B465" s="248"/>
      <c r="C465" s="261"/>
      <c r="D465" s="243" t="s">
        <v>33</v>
      </c>
      <c r="E465" s="281"/>
      <c r="F465" s="257"/>
      <c r="G465" s="249"/>
      <c r="H465" s="255">
        <f>SUM(H462:H464)</f>
        <v>73529</v>
      </c>
      <c r="I465" s="256">
        <f>SUM(I462:I464)</f>
        <v>1</v>
      </c>
      <c r="J465" s="253"/>
      <c r="K465" s="226"/>
    </row>
    <row r="466" spans="1:11" ht="10.15" customHeight="1" x14ac:dyDescent="0.2">
      <c r="A466" s="248"/>
      <c r="B466" s="248"/>
      <c r="C466" s="261"/>
      <c r="D466" s="243"/>
      <c r="E466" s="281"/>
      <c r="F466" s="257"/>
      <c r="G466" s="249"/>
      <c r="H466" s="258"/>
      <c r="I466" s="259"/>
      <c r="J466" s="253"/>
      <c r="K466" s="226"/>
    </row>
    <row r="467" spans="1:11" ht="10.15" customHeight="1" x14ac:dyDescent="0.2">
      <c r="A467" s="243" t="s">
        <v>19</v>
      </c>
      <c r="B467" s="243" t="s">
        <v>306</v>
      </c>
      <c r="C467" s="243" t="s">
        <v>236</v>
      </c>
      <c r="D467" s="244" t="s">
        <v>307</v>
      </c>
      <c r="E467" s="277" t="s">
        <v>308</v>
      </c>
      <c r="F467" s="245">
        <v>31891726</v>
      </c>
      <c r="G467" s="246">
        <v>73000</v>
      </c>
      <c r="H467" s="242"/>
      <c r="I467" s="242"/>
      <c r="J467" s="253"/>
      <c r="K467" s="226"/>
    </row>
    <row r="468" spans="1:11" ht="10.15" customHeight="1" x14ac:dyDescent="0.2">
      <c r="A468" s="248"/>
      <c r="B468" s="248"/>
      <c r="C468" s="261"/>
      <c r="D468" s="244" t="s">
        <v>241</v>
      </c>
      <c r="E468" s="281"/>
      <c r="F468" s="257"/>
      <c r="G468" s="249"/>
      <c r="H468" s="255">
        <v>58223</v>
      </c>
      <c r="I468" s="256">
        <f>ROUND(H468/$H$468,4)</f>
        <v>1</v>
      </c>
      <c r="J468" s="252" t="s">
        <v>241</v>
      </c>
      <c r="K468" s="226"/>
    </row>
    <row r="469" spans="1:11" ht="10.15" customHeight="1" x14ac:dyDescent="0.2">
      <c r="A469" s="248"/>
      <c r="B469" s="248"/>
      <c r="C469" s="261"/>
      <c r="D469" s="249"/>
      <c r="E469" s="281"/>
      <c r="F469" s="257"/>
      <c r="G469" s="249"/>
      <c r="H469" s="242"/>
      <c r="I469" s="242"/>
      <c r="J469" s="253"/>
      <c r="K469" s="226"/>
    </row>
    <row r="470" spans="1:11" ht="10.15" customHeight="1" x14ac:dyDescent="0.2">
      <c r="A470" s="243" t="s">
        <v>19</v>
      </c>
      <c r="B470" s="243" t="s">
        <v>309</v>
      </c>
      <c r="C470" s="243" t="s">
        <v>236</v>
      </c>
      <c r="D470" s="244" t="s">
        <v>310</v>
      </c>
      <c r="E470" s="277" t="s">
        <v>311</v>
      </c>
      <c r="F470" s="245">
        <v>20290510</v>
      </c>
      <c r="G470" s="246">
        <v>227472</v>
      </c>
      <c r="H470" s="242"/>
      <c r="I470" s="242"/>
      <c r="J470" s="253"/>
      <c r="K470" s="226"/>
    </row>
    <row r="471" spans="1:11" ht="10.15" customHeight="1" x14ac:dyDescent="0.2">
      <c r="A471" s="248"/>
      <c r="B471" s="248"/>
      <c r="C471" s="261"/>
      <c r="D471" s="244" t="s">
        <v>240</v>
      </c>
      <c r="E471" s="281"/>
      <c r="F471" s="257"/>
      <c r="G471" s="249"/>
      <c r="H471" s="250">
        <v>9819</v>
      </c>
      <c r="I471" s="251">
        <f>ROUND(H471/$H$477,4)</f>
        <v>8.7300000000000003E-2</v>
      </c>
      <c r="J471" s="253"/>
      <c r="K471" s="226"/>
    </row>
    <row r="472" spans="1:11" ht="10.15" customHeight="1" x14ac:dyDescent="0.2">
      <c r="A472" s="248"/>
      <c r="B472" s="248"/>
      <c r="C472" s="261"/>
      <c r="D472" s="244" t="s">
        <v>241</v>
      </c>
      <c r="E472" s="281"/>
      <c r="F472" s="257"/>
      <c r="G472" s="249"/>
      <c r="H472" s="250">
        <v>5082</v>
      </c>
      <c r="I472" s="251">
        <f>ROUND(H472/$H$477,4)</f>
        <v>4.5199999999999997E-2</v>
      </c>
      <c r="J472" s="253"/>
      <c r="K472" s="226"/>
    </row>
    <row r="473" spans="1:11" ht="10.15" customHeight="1" x14ac:dyDescent="0.2">
      <c r="A473" s="248"/>
      <c r="B473" s="248"/>
      <c r="C473" s="261"/>
      <c r="D473" s="244" t="s">
        <v>243</v>
      </c>
      <c r="E473" s="281"/>
      <c r="F473" s="257"/>
      <c r="G473" s="249"/>
      <c r="H473" s="250">
        <v>3605</v>
      </c>
      <c r="I473" s="251">
        <f>ROUND(H473/$H$477,4)</f>
        <v>3.2000000000000001E-2</v>
      </c>
      <c r="J473" s="253"/>
      <c r="K473" s="226"/>
    </row>
    <row r="474" spans="1:11" ht="6" customHeight="1" x14ac:dyDescent="0.2">
      <c r="A474" s="248"/>
      <c r="B474" s="248"/>
      <c r="C474" s="261"/>
      <c r="D474" s="244" t="s">
        <v>242</v>
      </c>
      <c r="E474" s="281"/>
      <c r="F474" s="257"/>
      <c r="G474" s="249"/>
      <c r="H474" s="250">
        <v>91983</v>
      </c>
      <c r="I474" s="251">
        <f>ROUND(H474/$H$477,4)-0.0001</f>
        <v>0.81759999999999999</v>
      </c>
      <c r="J474" s="252" t="s">
        <v>242</v>
      </c>
      <c r="K474" s="226"/>
    </row>
    <row r="475" spans="1:11" ht="10.15" customHeight="1" x14ac:dyDescent="0.2">
      <c r="A475" s="248"/>
      <c r="B475" s="248"/>
      <c r="C475" s="261"/>
      <c r="D475" s="244" t="s">
        <v>245</v>
      </c>
      <c r="E475" s="281"/>
      <c r="F475" s="257"/>
      <c r="G475" s="249"/>
      <c r="H475" s="250">
        <v>1875</v>
      </c>
      <c r="I475" s="251">
        <f>ROUND(H475/$H$477,4)</f>
        <v>1.67E-2</v>
      </c>
      <c r="J475" s="253"/>
      <c r="K475" s="226"/>
    </row>
    <row r="476" spans="1:11" ht="10.15" customHeight="1" x14ac:dyDescent="0.2">
      <c r="A476" s="248"/>
      <c r="B476" s="248"/>
      <c r="C476" s="261"/>
      <c r="D476" s="244" t="s">
        <v>305</v>
      </c>
      <c r="E476" s="281"/>
      <c r="F476" s="257"/>
      <c r="G476" s="249"/>
      <c r="H476" s="250">
        <v>132</v>
      </c>
      <c r="I476" s="251">
        <f>ROUND(H476/$H$477,4)</f>
        <v>1.1999999999999999E-3</v>
      </c>
      <c r="J476" s="253"/>
      <c r="K476" s="226"/>
    </row>
    <row r="477" spans="1:11" ht="10.15" customHeight="1" x14ac:dyDescent="0.2">
      <c r="A477" s="248"/>
      <c r="B477" s="248"/>
      <c r="C477" s="261"/>
      <c r="D477" s="243" t="s">
        <v>33</v>
      </c>
      <c r="E477" s="281"/>
      <c r="F477" s="257"/>
      <c r="G477" s="249"/>
      <c r="H477" s="255">
        <f>SUM(H471:H476)</f>
        <v>112496</v>
      </c>
      <c r="I477" s="256">
        <f>SUM(I471:I476)</f>
        <v>1</v>
      </c>
      <c r="J477" s="253"/>
      <c r="K477" s="226"/>
    </row>
    <row r="478" spans="1:11" ht="10.15" customHeight="1" x14ac:dyDescent="0.2">
      <c r="A478" s="248"/>
      <c r="B478" s="248"/>
      <c r="C478" s="261"/>
      <c r="D478" s="243"/>
      <c r="E478" s="281"/>
      <c r="F478" s="257"/>
      <c r="G478" s="249"/>
      <c r="H478" s="258"/>
      <c r="I478" s="259"/>
      <c r="J478" s="253"/>
      <c r="K478" s="226"/>
    </row>
    <row r="479" spans="1:11" ht="10.15" customHeight="1" x14ac:dyDescent="0.2">
      <c r="A479" s="243" t="s">
        <v>19</v>
      </c>
      <c r="B479" s="243">
        <v>253</v>
      </c>
      <c r="C479" s="243" t="s">
        <v>236</v>
      </c>
      <c r="D479" s="244" t="s">
        <v>97</v>
      </c>
      <c r="E479" s="277" t="s">
        <v>312</v>
      </c>
      <c r="F479" s="245">
        <v>378999</v>
      </c>
      <c r="G479" s="246">
        <v>2800</v>
      </c>
      <c r="H479" s="242"/>
      <c r="I479" s="251"/>
      <c r="J479" s="253"/>
      <c r="K479" s="226"/>
    </row>
    <row r="480" spans="1:11" ht="10.15" customHeight="1" x14ac:dyDescent="0.2">
      <c r="A480" s="248"/>
      <c r="B480" s="248"/>
      <c r="C480" s="261"/>
      <c r="D480" s="244" t="s">
        <v>305</v>
      </c>
      <c r="E480" s="281"/>
      <c r="F480" s="257"/>
      <c r="G480" s="249"/>
      <c r="H480" s="250">
        <v>1495</v>
      </c>
      <c r="I480" s="251">
        <f>ROUND(H480/$H$482,4)</f>
        <v>0.67949999999999999</v>
      </c>
      <c r="J480" s="252" t="s">
        <v>305</v>
      </c>
      <c r="K480" s="226"/>
    </row>
    <row r="481" spans="1:11" ht="10.15" customHeight="1" x14ac:dyDescent="0.2">
      <c r="A481" s="248"/>
      <c r="B481" s="248"/>
      <c r="C481" s="261"/>
      <c r="D481" s="244" t="s">
        <v>287</v>
      </c>
      <c r="E481" s="281"/>
      <c r="F481" s="257"/>
      <c r="G481" s="249"/>
      <c r="H481" s="250">
        <v>705</v>
      </c>
      <c r="I481" s="251">
        <f>ROUND(H481/$H$482,4)</f>
        <v>0.32050000000000001</v>
      </c>
      <c r="J481" s="253"/>
      <c r="K481" s="226"/>
    </row>
    <row r="482" spans="1:11" ht="10.15" customHeight="1" x14ac:dyDescent="0.2">
      <c r="A482" s="248"/>
      <c r="B482" s="248"/>
      <c r="C482" s="261"/>
      <c r="D482" s="243" t="s">
        <v>33</v>
      </c>
      <c r="E482" s="281"/>
      <c r="F482" s="257"/>
      <c r="G482" s="249"/>
      <c r="H482" s="255">
        <f>SUM(H480:H481)</f>
        <v>2200</v>
      </c>
      <c r="I482" s="256">
        <f>SUM(I480:I481)</f>
        <v>1</v>
      </c>
      <c r="J482" s="253"/>
      <c r="K482" s="226"/>
    </row>
    <row r="483" spans="1:11" ht="10.15" customHeight="1" x14ac:dyDescent="0.2">
      <c r="A483" s="248"/>
      <c r="B483" s="248"/>
      <c r="C483" s="261"/>
      <c r="D483" s="243"/>
      <c r="E483" s="281"/>
      <c r="F483" s="257"/>
      <c r="G483" s="249"/>
      <c r="H483" s="258"/>
      <c r="I483" s="259"/>
      <c r="J483" s="253"/>
      <c r="K483" s="226"/>
    </row>
    <row r="484" spans="1:11" ht="10.15" customHeight="1" x14ac:dyDescent="0.2">
      <c r="A484" s="243" t="s">
        <v>19</v>
      </c>
      <c r="B484" s="243">
        <v>227</v>
      </c>
      <c r="C484" s="243" t="s">
        <v>236</v>
      </c>
      <c r="D484" s="244" t="s">
        <v>26</v>
      </c>
      <c r="E484" s="277" t="s">
        <v>313</v>
      </c>
      <c r="F484" s="245">
        <v>2999000</v>
      </c>
      <c r="G484" s="246">
        <v>25000</v>
      </c>
      <c r="H484" s="242"/>
      <c r="I484" s="251"/>
      <c r="J484" s="253"/>
      <c r="K484" s="226"/>
    </row>
    <row r="485" spans="1:11" ht="10.15" customHeight="1" x14ac:dyDescent="0.2">
      <c r="A485" s="248"/>
      <c r="B485" s="248"/>
      <c r="C485" s="261"/>
      <c r="D485" s="244" t="s">
        <v>263</v>
      </c>
      <c r="E485" s="281"/>
      <c r="F485" s="257"/>
      <c r="G485" s="249"/>
      <c r="H485" s="250">
        <v>4000</v>
      </c>
      <c r="I485" s="251">
        <f>ROUND(H485/$H$490,4)</f>
        <v>0.221</v>
      </c>
      <c r="J485" s="253" t="s">
        <v>263</v>
      </c>
      <c r="K485" s="226"/>
    </row>
    <row r="486" spans="1:11" ht="10.15" customHeight="1" x14ac:dyDescent="0.2">
      <c r="A486" s="248"/>
      <c r="B486" s="248"/>
      <c r="C486" s="261"/>
      <c r="D486" s="244" t="s">
        <v>242</v>
      </c>
      <c r="E486" s="281"/>
      <c r="F486" s="257"/>
      <c r="G486" s="249"/>
      <c r="H486" s="250">
        <v>1950</v>
      </c>
      <c r="I486" s="251">
        <f>ROUND(H486/$H$490,4)</f>
        <v>0.1077</v>
      </c>
      <c r="J486" s="253"/>
      <c r="K486" s="226"/>
    </row>
    <row r="487" spans="1:11" ht="10.15" customHeight="1" x14ac:dyDescent="0.2">
      <c r="A487" s="248"/>
      <c r="B487" s="248"/>
      <c r="C487" s="261"/>
      <c r="D487" s="244" t="s">
        <v>264</v>
      </c>
      <c r="E487" s="281"/>
      <c r="F487" s="257"/>
      <c r="G487" s="249"/>
      <c r="H487" s="250">
        <v>10850</v>
      </c>
      <c r="I487" s="251">
        <f>ROUND(H487/$H$490,4)</f>
        <v>0.59940000000000004</v>
      </c>
      <c r="J487" s="252" t="s">
        <v>264</v>
      </c>
      <c r="K487" s="226"/>
    </row>
    <row r="488" spans="1:11" ht="10.15" customHeight="1" x14ac:dyDescent="0.2">
      <c r="A488" s="248"/>
      <c r="B488" s="248"/>
      <c r="C488" s="261"/>
      <c r="D488" s="244" t="s">
        <v>244</v>
      </c>
      <c r="E488" s="281"/>
      <c r="F488" s="257"/>
      <c r="G488" s="249"/>
      <c r="H488" s="250">
        <v>1000</v>
      </c>
      <c r="I488" s="251">
        <f>ROUND(H488/$H$490,4)</f>
        <v>5.5199999999999999E-2</v>
      </c>
      <c r="J488" s="253"/>
      <c r="K488" s="226"/>
    </row>
    <row r="489" spans="1:11" ht="10.15" customHeight="1" x14ac:dyDescent="0.2">
      <c r="A489" s="248"/>
      <c r="B489" s="248"/>
      <c r="C489" s="261"/>
      <c r="D489" s="244" t="s">
        <v>295</v>
      </c>
      <c r="E489" s="281"/>
      <c r="F489" s="257"/>
      <c r="G489" s="249"/>
      <c r="H489" s="250">
        <v>300</v>
      </c>
      <c r="I489" s="251">
        <f>ROUND(H489/$H$490,4)+0.0001</f>
        <v>1.67E-2</v>
      </c>
      <c r="J489" s="253"/>
      <c r="K489" s="226"/>
    </row>
    <row r="490" spans="1:11" ht="10.15" customHeight="1" x14ac:dyDescent="0.2">
      <c r="A490" s="248"/>
      <c r="B490" s="248"/>
      <c r="C490" s="261"/>
      <c r="D490" s="243" t="s">
        <v>33</v>
      </c>
      <c r="E490" s="281"/>
      <c r="F490" s="257"/>
      <c r="G490" s="249"/>
      <c r="H490" s="255">
        <f>SUM(H485:H489)</f>
        <v>18100</v>
      </c>
      <c r="I490" s="256">
        <f>SUM(I485:I489)</f>
        <v>1</v>
      </c>
      <c r="J490" s="253"/>
      <c r="K490" s="226"/>
    </row>
    <row r="491" spans="1:11" ht="10.15" customHeight="1" x14ac:dyDescent="0.2">
      <c r="A491" s="248"/>
      <c r="B491" s="248"/>
      <c r="C491" s="261"/>
      <c r="D491" s="249"/>
      <c r="E491" s="281"/>
      <c r="F491" s="257"/>
      <c r="G491" s="249"/>
      <c r="H491" s="242"/>
      <c r="I491" s="251"/>
      <c r="J491" s="253"/>
      <c r="K491" s="226"/>
    </row>
    <row r="492" spans="1:11" ht="10.15" customHeight="1" x14ac:dyDescent="0.2">
      <c r="A492" s="261" t="s">
        <v>19</v>
      </c>
      <c r="B492" s="261">
        <v>223</v>
      </c>
      <c r="C492" s="243" t="s">
        <v>236</v>
      </c>
      <c r="D492" s="263" t="s">
        <v>68</v>
      </c>
      <c r="E492" s="336" t="s">
        <v>314</v>
      </c>
      <c r="F492" s="257">
        <v>3720500</v>
      </c>
      <c r="G492" s="249">
        <v>38500</v>
      </c>
      <c r="H492" s="258"/>
      <c r="I492" s="259"/>
      <c r="J492" s="294"/>
      <c r="K492" s="226"/>
    </row>
    <row r="493" spans="1:11" ht="10.15" customHeight="1" x14ac:dyDescent="0.2">
      <c r="A493" s="248"/>
      <c r="B493" s="248"/>
      <c r="C493" s="261"/>
      <c r="D493" s="263" t="s">
        <v>286</v>
      </c>
      <c r="E493" s="281"/>
      <c r="F493" s="257"/>
      <c r="G493" s="249"/>
      <c r="H493" s="258">
        <v>5256</v>
      </c>
      <c r="I493" s="251">
        <f>ROUND(H493/$H$498,4)</f>
        <v>0.20649999999999999</v>
      </c>
      <c r="J493" s="294"/>
      <c r="K493" s="226"/>
    </row>
    <row r="494" spans="1:11" ht="10.15" customHeight="1" x14ac:dyDescent="0.2">
      <c r="A494" s="248"/>
      <c r="B494" s="248"/>
      <c r="C494" s="261"/>
      <c r="D494" s="263" t="s">
        <v>241</v>
      </c>
      <c r="E494" s="281"/>
      <c r="F494" s="257"/>
      <c r="G494" s="249"/>
      <c r="H494" s="258">
        <v>279</v>
      </c>
      <c r="I494" s="251">
        <f>ROUND(H494/$H$498,4)</f>
        <v>1.0999999999999999E-2</v>
      </c>
      <c r="J494" s="294"/>
      <c r="K494" s="226"/>
    </row>
    <row r="495" spans="1:11" ht="6" customHeight="1" x14ac:dyDescent="0.2">
      <c r="A495" s="248"/>
      <c r="B495" s="248"/>
      <c r="C495" s="261"/>
      <c r="D495" s="263" t="s">
        <v>242</v>
      </c>
      <c r="E495" s="281"/>
      <c r="F495" s="257"/>
      <c r="G495" s="249"/>
      <c r="H495" s="258">
        <v>10193</v>
      </c>
      <c r="I495" s="251">
        <f>ROUND(H495/$H$498,4)</f>
        <v>0.40060000000000001</v>
      </c>
      <c r="J495" s="294" t="s">
        <v>242</v>
      </c>
      <c r="K495" s="226"/>
    </row>
    <row r="496" spans="1:11" ht="10.15" customHeight="1" x14ac:dyDescent="0.2">
      <c r="A496" s="248"/>
      <c r="B496" s="248"/>
      <c r="C496" s="261"/>
      <c r="D496" s="263" t="s">
        <v>264</v>
      </c>
      <c r="E496" s="281"/>
      <c r="F496" s="257"/>
      <c r="G496" s="249"/>
      <c r="H496" s="258">
        <v>9247</v>
      </c>
      <c r="I496" s="251">
        <f>ROUND(H496/$H$498,4)</f>
        <v>0.3634</v>
      </c>
      <c r="J496" s="294" t="s">
        <v>264</v>
      </c>
      <c r="K496" s="226"/>
    </row>
    <row r="497" spans="1:11" ht="10.15" customHeight="1" x14ac:dyDescent="0.2">
      <c r="A497" s="248"/>
      <c r="B497" s="248"/>
      <c r="C497" s="261"/>
      <c r="D497" s="244" t="s">
        <v>287</v>
      </c>
      <c r="E497" s="281"/>
      <c r="F497" s="257"/>
      <c r="G497" s="249"/>
      <c r="H497" s="258">
        <v>472</v>
      </c>
      <c r="I497" s="251">
        <f>ROUND(H497/$H$498,4)</f>
        <v>1.8499999999999999E-2</v>
      </c>
      <c r="J497" s="294"/>
      <c r="K497" s="226"/>
    </row>
    <row r="498" spans="1:11" ht="10.15" customHeight="1" x14ac:dyDescent="0.2">
      <c r="A498" s="248"/>
      <c r="B498" s="248"/>
      <c r="C498" s="261"/>
      <c r="D498" s="243" t="s">
        <v>33</v>
      </c>
      <c r="E498" s="281"/>
      <c r="F498" s="257"/>
      <c r="G498" s="249"/>
      <c r="H498" s="255">
        <f>SUM(H493:H497)</f>
        <v>25447</v>
      </c>
      <c r="I498" s="256">
        <f>SUM(I493:I497)</f>
        <v>1</v>
      </c>
      <c r="J498" s="294"/>
      <c r="K498" s="226"/>
    </row>
    <row r="499" spans="1:11" ht="10.15" customHeight="1" x14ac:dyDescent="0.2">
      <c r="A499" s="248"/>
      <c r="B499" s="248"/>
      <c r="C499" s="261"/>
      <c r="D499" s="249"/>
      <c r="E499" s="281"/>
      <c r="F499" s="257"/>
      <c r="G499" s="249"/>
      <c r="H499" s="242"/>
      <c r="I499" s="251"/>
      <c r="J499" s="253"/>
      <c r="K499" s="226"/>
    </row>
    <row r="500" spans="1:11" ht="10.15" customHeight="1" x14ac:dyDescent="0.2">
      <c r="A500" s="261" t="s">
        <v>19</v>
      </c>
      <c r="B500" s="261">
        <v>292</v>
      </c>
      <c r="C500" s="243" t="s">
        <v>236</v>
      </c>
      <c r="D500" s="249" t="s">
        <v>72</v>
      </c>
      <c r="E500" s="336" t="s">
        <v>315</v>
      </c>
      <c r="F500" s="257">
        <v>2933000</v>
      </c>
      <c r="G500" s="249">
        <v>24300</v>
      </c>
      <c r="H500" s="242"/>
      <c r="I500" s="251"/>
      <c r="J500" s="253"/>
      <c r="K500" s="226"/>
    </row>
    <row r="501" spans="1:11" ht="10.15" customHeight="1" x14ac:dyDescent="0.2">
      <c r="A501" s="248"/>
      <c r="B501" s="248"/>
      <c r="C501" s="261"/>
      <c r="D501" s="263" t="s">
        <v>242</v>
      </c>
      <c r="E501" s="281"/>
      <c r="F501" s="257"/>
      <c r="G501" s="249"/>
      <c r="H501" s="242">
        <v>9800</v>
      </c>
      <c r="I501" s="251">
        <f>ROUND(H501/$H$505,4)</f>
        <v>0.60489999999999999</v>
      </c>
      <c r="J501" s="253" t="s">
        <v>242</v>
      </c>
      <c r="K501" s="226"/>
    </row>
    <row r="502" spans="1:11" ht="10.15" customHeight="1" x14ac:dyDescent="0.2">
      <c r="A502" s="248"/>
      <c r="B502" s="248"/>
      <c r="C502" s="261"/>
      <c r="D502" s="244" t="s">
        <v>244</v>
      </c>
      <c r="E502" s="281"/>
      <c r="F502" s="257"/>
      <c r="G502" s="249"/>
      <c r="H502" s="242">
        <v>200</v>
      </c>
      <c r="I502" s="251">
        <f>ROUND(H502/$H$505,4)+0.0001</f>
        <v>1.24E-2</v>
      </c>
      <c r="J502" s="253"/>
      <c r="K502" s="226"/>
    </row>
    <row r="503" spans="1:11" ht="10.15" customHeight="1" x14ac:dyDescent="0.2">
      <c r="A503" s="248"/>
      <c r="B503" s="248"/>
      <c r="C503" s="261"/>
      <c r="D503" s="254" t="s">
        <v>246</v>
      </c>
      <c r="E503" s="281"/>
      <c r="F503" s="257"/>
      <c r="G503" s="249"/>
      <c r="H503" s="242">
        <v>5200</v>
      </c>
      <c r="I503" s="251">
        <f>ROUND(H503/$H$505,4)</f>
        <v>0.32100000000000001</v>
      </c>
      <c r="J503" s="253" t="s">
        <v>246</v>
      </c>
      <c r="K503" s="226"/>
    </row>
    <row r="504" spans="1:11" ht="10.15" customHeight="1" x14ac:dyDescent="0.2">
      <c r="A504" s="248"/>
      <c r="B504" s="248"/>
      <c r="C504" s="261"/>
      <c r="D504" s="244" t="s">
        <v>287</v>
      </c>
      <c r="E504" s="281"/>
      <c r="F504" s="257"/>
      <c r="G504" s="249"/>
      <c r="H504" s="242">
        <v>1000</v>
      </c>
      <c r="I504" s="251">
        <f>ROUND(H504/$H$505,4)</f>
        <v>6.1699999999999998E-2</v>
      </c>
      <c r="J504" s="253"/>
      <c r="K504" s="226"/>
    </row>
    <row r="505" spans="1:11" ht="10.15" customHeight="1" x14ac:dyDescent="0.2">
      <c r="A505" s="248"/>
      <c r="B505" s="248"/>
      <c r="C505" s="261"/>
      <c r="D505" s="243" t="s">
        <v>33</v>
      </c>
      <c r="E505" s="281"/>
      <c r="F505" s="257"/>
      <c r="G505" s="249"/>
      <c r="H505" s="265">
        <f>SUM(H501:H504)</f>
        <v>16200</v>
      </c>
      <c r="I505" s="256">
        <f>SUM(I501:I504)</f>
        <v>0.99999999999999989</v>
      </c>
      <c r="J505" s="253"/>
      <c r="K505" s="226"/>
    </row>
    <row r="506" spans="1:11" ht="10.15" customHeight="1" x14ac:dyDescent="0.2">
      <c r="A506" s="248"/>
      <c r="B506" s="248"/>
      <c r="C506" s="261"/>
      <c r="D506" s="249"/>
      <c r="E506" s="281"/>
      <c r="F506" s="257"/>
      <c r="G506" s="249"/>
      <c r="H506" s="242"/>
      <c r="I506" s="251"/>
      <c r="J506" s="253"/>
      <c r="K506" s="226"/>
    </row>
    <row r="507" spans="1:11" ht="10.15" customHeight="1" x14ac:dyDescent="0.2">
      <c r="A507" s="261" t="s">
        <v>19</v>
      </c>
      <c r="B507" s="264">
        <v>222</v>
      </c>
      <c r="C507" s="243" t="s">
        <v>236</v>
      </c>
      <c r="D507" s="249" t="s">
        <v>125</v>
      </c>
      <c r="E507" s="336">
        <v>36039</v>
      </c>
      <c r="F507" s="257">
        <v>7886000</v>
      </c>
      <c r="G507" s="249">
        <v>55100</v>
      </c>
      <c r="H507" s="242"/>
      <c r="I507" s="251"/>
      <c r="J507" s="242"/>
      <c r="K507" s="226"/>
    </row>
    <row r="508" spans="1:11" ht="10.15" customHeight="1" x14ac:dyDescent="0.2">
      <c r="A508" s="249"/>
      <c r="B508" s="249"/>
      <c r="C508" s="284"/>
      <c r="D508" s="244" t="s">
        <v>286</v>
      </c>
      <c r="E508" s="281"/>
      <c r="F508" s="257"/>
      <c r="G508" s="249"/>
      <c r="H508" s="242">
        <v>890</v>
      </c>
      <c r="I508" s="251">
        <f>H508/H512</f>
        <v>2.5924847072531315E-2</v>
      </c>
      <c r="J508" s="252"/>
      <c r="K508" s="226"/>
    </row>
    <row r="509" spans="1:11" ht="10.15" customHeight="1" x14ac:dyDescent="0.2">
      <c r="A509" s="249"/>
      <c r="B509" s="249"/>
      <c r="C509" s="284"/>
      <c r="D509" s="244" t="s">
        <v>264</v>
      </c>
      <c r="E509" s="281"/>
      <c r="F509" s="257"/>
      <c r="G509" s="249"/>
      <c r="H509" s="242">
        <v>6100</v>
      </c>
      <c r="I509" s="251">
        <f>H509/H512</f>
        <v>0.17768715409263036</v>
      </c>
      <c r="J509" s="252" t="s">
        <v>264</v>
      </c>
      <c r="K509" s="226"/>
    </row>
    <row r="510" spans="1:11" ht="10.15" customHeight="1" x14ac:dyDescent="0.2">
      <c r="A510" s="249"/>
      <c r="B510" s="249"/>
      <c r="C510" s="284"/>
      <c r="D510" s="244" t="s">
        <v>290</v>
      </c>
      <c r="E510" s="281"/>
      <c r="F510" s="257"/>
      <c r="G510" s="249"/>
      <c r="H510" s="242">
        <v>22815</v>
      </c>
      <c r="I510" s="251">
        <f>H510/H512</f>
        <v>0.66457908534809207</v>
      </c>
      <c r="J510" s="252" t="s">
        <v>290</v>
      </c>
      <c r="K510" s="226"/>
    </row>
    <row r="511" spans="1:11" ht="10.15" customHeight="1" x14ac:dyDescent="0.2">
      <c r="A511" s="249"/>
      <c r="B511" s="249"/>
      <c r="C511" s="284"/>
      <c r="D511" s="244" t="s">
        <v>287</v>
      </c>
      <c r="E511" s="281"/>
      <c r="F511" s="257"/>
      <c r="G511" s="249"/>
      <c r="H511" s="242">
        <v>4525</v>
      </c>
      <c r="I511" s="251">
        <f>H511/H512</f>
        <v>0.13180891348674628</v>
      </c>
      <c r="J511" s="252"/>
      <c r="K511" s="226"/>
    </row>
    <row r="512" spans="1:11" ht="10.15" customHeight="1" x14ac:dyDescent="0.2">
      <c r="A512" s="249"/>
      <c r="B512" s="249"/>
      <c r="C512" s="284"/>
      <c r="D512" s="243" t="s">
        <v>33</v>
      </c>
      <c r="E512" s="281"/>
      <c r="F512" s="257"/>
      <c r="G512" s="249"/>
      <c r="H512" s="265">
        <f>SUM(H508:H511)</f>
        <v>34330</v>
      </c>
      <c r="I512" s="256">
        <f>SUM(I508:I511)</f>
        <v>1</v>
      </c>
      <c r="J512" s="242"/>
      <c r="K512" s="226"/>
    </row>
    <row r="513" spans="1:11" ht="10.15" customHeight="1" x14ac:dyDescent="0.2">
      <c r="A513" s="249"/>
      <c r="B513" s="249"/>
      <c r="C513" s="284"/>
      <c r="D513" s="243"/>
      <c r="E513" s="281"/>
      <c r="F513" s="257"/>
      <c r="G513" s="249"/>
      <c r="H513" s="249"/>
      <c r="I513" s="262"/>
      <c r="J513" s="242"/>
      <c r="K513" s="226"/>
    </row>
    <row r="514" spans="1:11" ht="10.15" customHeight="1" x14ac:dyDescent="0.2">
      <c r="A514" s="261" t="s">
        <v>19</v>
      </c>
      <c r="B514" s="264">
        <v>204</v>
      </c>
      <c r="C514" s="243" t="s">
        <v>291</v>
      </c>
      <c r="D514" s="249" t="s">
        <v>126</v>
      </c>
      <c r="E514" s="336">
        <v>33573</v>
      </c>
      <c r="F514" s="257">
        <v>25245452</v>
      </c>
      <c r="G514" s="249">
        <v>248841</v>
      </c>
      <c r="H514" s="242"/>
      <c r="I514" s="251"/>
      <c r="J514" s="242"/>
      <c r="K514" s="226"/>
    </row>
    <row r="515" spans="1:11" ht="10.15" customHeight="1" x14ac:dyDescent="0.2">
      <c r="A515" s="249"/>
      <c r="B515" s="249"/>
      <c r="C515" s="284"/>
      <c r="D515" s="244" t="s">
        <v>263</v>
      </c>
      <c r="E515" s="281"/>
      <c r="F515" s="257"/>
      <c r="G515" s="249"/>
      <c r="H515" s="242">
        <v>1320</v>
      </c>
      <c r="I515" s="251">
        <f>H515/H522</f>
        <v>9.1384896568912528E-3</v>
      </c>
      <c r="J515" s="252"/>
      <c r="K515" s="226"/>
    </row>
    <row r="516" spans="1:11" ht="10.15" customHeight="1" x14ac:dyDescent="0.2">
      <c r="A516" s="249"/>
      <c r="B516" s="249"/>
      <c r="C516" s="284"/>
      <c r="D516" s="244" t="s">
        <v>240</v>
      </c>
      <c r="E516" s="281"/>
      <c r="F516" s="257"/>
      <c r="G516" s="249"/>
      <c r="H516" s="242">
        <v>12958</v>
      </c>
      <c r="I516" s="251">
        <f>H516/H522</f>
        <v>8.9709506798482455E-2</v>
      </c>
      <c r="J516" s="252"/>
      <c r="K516" s="226"/>
    </row>
    <row r="517" spans="1:11" ht="10.15" customHeight="1" x14ac:dyDescent="0.2">
      <c r="A517" s="249"/>
      <c r="B517" s="249"/>
      <c r="C517" s="284"/>
      <c r="D517" s="244" t="s">
        <v>241</v>
      </c>
      <c r="E517" s="281"/>
      <c r="F517" s="257"/>
      <c r="G517" s="249"/>
      <c r="H517" s="242">
        <v>2124</v>
      </c>
      <c r="I517" s="251">
        <f>H517/H522</f>
        <v>1.4704660629725015E-2</v>
      </c>
      <c r="J517" s="242"/>
      <c r="K517" s="226"/>
    </row>
    <row r="518" spans="1:11" ht="10.15" customHeight="1" x14ac:dyDescent="0.2">
      <c r="A518" s="249"/>
      <c r="B518" s="249"/>
      <c r="C518" s="284"/>
      <c r="D518" s="244" t="s">
        <v>286</v>
      </c>
      <c r="E518" s="281"/>
      <c r="F518" s="257"/>
      <c r="G518" s="249"/>
      <c r="H518" s="242">
        <v>3123</v>
      </c>
      <c r="I518" s="251">
        <f>H518/H522</f>
        <v>2.1620835756417711E-2</v>
      </c>
      <c r="J518" s="252"/>
      <c r="K518" s="226"/>
    </row>
    <row r="519" spans="1:11" ht="12.2" customHeight="1" x14ac:dyDescent="0.2">
      <c r="A519" s="249"/>
      <c r="B519" s="249"/>
      <c r="C519" s="284"/>
      <c r="D519" s="244" t="s">
        <v>316</v>
      </c>
      <c r="E519" s="281"/>
      <c r="F519" s="257"/>
      <c r="G519" s="249"/>
      <c r="H519" s="242">
        <v>372</v>
      </c>
      <c r="I519" s="251">
        <f>H519/H522</f>
        <v>2.5753925396693527E-3</v>
      </c>
      <c r="J519" s="252"/>
      <c r="K519" s="226"/>
    </row>
    <row r="520" spans="1:11" ht="10.15" customHeight="1" x14ac:dyDescent="0.2">
      <c r="A520" s="249"/>
      <c r="B520" s="249"/>
      <c r="C520" s="284"/>
      <c r="D520" s="244" t="s">
        <v>290</v>
      </c>
      <c r="E520" s="281"/>
      <c r="F520" s="257"/>
      <c r="G520" s="249"/>
      <c r="H520" s="242">
        <v>104701</v>
      </c>
      <c r="I520" s="251">
        <f>H520/H522</f>
        <v>0.72485530724709923</v>
      </c>
      <c r="J520" s="252" t="s">
        <v>290</v>
      </c>
      <c r="K520" s="226"/>
    </row>
    <row r="521" spans="1:11" ht="10.15" customHeight="1" x14ac:dyDescent="0.2">
      <c r="A521" s="249"/>
      <c r="B521" s="249"/>
      <c r="C521" s="284"/>
      <c r="D521" s="244" t="s">
        <v>287</v>
      </c>
      <c r="E521" s="281"/>
      <c r="F521" s="257"/>
      <c r="G521" s="249"/>
      <c r="H521" s="242">
        <v>19846</v>
      </c>
      <c r="I521" s="251">
        <f>H521/H522</f>
        <v>0.137395807371715</v>
      </c>
      <c r="J521" s="252"/>
      <c r="K521" s="226"/>
    </row>
    <row r="522" spans="1:11" ht="10.15" customHeight="1" x14ac:dyDescent="0.2">
      <c r="A522" s="249"/>
      <c r="B522" s="249"/>
      <c r="C522" s="284"/>
      <c r="D522" s="243" t="s">
        <v>33</v>
      </c>
      <c r="E522" s="281"/>
      <c r="F522" s="257"/>
      <c r="G522" s="249"/>
      <c r="H522" s="265">
        <f>SUM(H515:H521)</f>
        <v>144444</v>
      </c>
      <c r="I522" s="256">
        <f>SUM(I515:I521)</f>
        <v>1</v>
      </c>
      <c r="J522" s="242"/>
      <c r="K522" s="226"/>
    </row>
    <row r="523" spans="1:11" ht="10.15" customHeight="1" x14ac:dyDescent="0.2">
      <c r="A523" s="261" t="s">
        <v>19</v>
      </c>
      <c r="B523" s="264">
        <v>204</v>
      </c>
      <c r="C523" s="243" t="s">
        <v>291</v>
      </c>
      <c r="D523" s="249" t="s">
        <v>127</v>
      </c>
      <c r="E523" s="336">
        <v>34455</v>
      </c>
      <c r="F523" s="257">
        <v>25989685</v>
      </c>
      <c r="G523" s="249">
        <v>243276</v>
      </c>
      <c r="H523" s="242"/>
      <c r="I523" s="251"/>
      <c r="J523" s="242"/>
      <c r="K523" s="226"/>
    </row>
    <row r="524" spans="1:11" ht="10.15" customHeight="1" x14ac:dyDescent="0.2">
      <c r="A524" s="249"/>
      <c r="B524" s="249"/>
      <c r="C524" s="284"/>
      <c r="D524" s="244" t="s">
        <v>263</v>
      </c>
      <c r="E524" s="281"/>
      <c r="F524" s="257"/>
      <c r="G524" s="249"/>
      <c r="H524" s="242">
        <v>4914</v>
      </c>
      <c r="I524" s="251">
        <f>H524/H533</f>
        <v>3.4179592404535018E-2</v>
      </c>
      <c r="J524" s="252"/>
      <c r="K524" s="226"/>
    </row>
    <row r="525" spans="1:11" ht="10.15" customHeight="1" x14ac:dyDescent="0.2">
      <c r="A525" s="249"/>
      <c r="B525" s="249"/>
      <c r="C525" s="284"/>
      <c r="D525" s="244" t="s">
        <v>240</v>
      </c>
      <c r="E525" s="281"/>
      <c r="F525" s="257"/>
      <c r="G525" s="249"/>
      <c r="H525" s="242">
        <v>5861</v>
      </c>
      <c r="I525" s="251">
        <f>H525/H533</f>
        <v>4.0766502051888434E-2</v>
      </c>
      <c r="J525" s="252"/>
      <c r="K525" s="226"/>
    </row>
    <row r="526" spans="1:11" ht="10.15" customHeight="1" x14ac:dyDescent="0.2">
      <c r="A526" s="249"/>
      <c r="B526" s="249"/>
      <c r="C526" s="284"/>
      <c r="D526" s="244" t="s">
        <v>241</v>
      </c>
      <c r="E526" s="281"/>
      <c r="F526" s="257"/>
      <c r="G526" s="249"/>
      <c r="H526" s="242">
        <v>1591</v>
      </c>
      <c r="I526" s="251">
        <f>H526/H533</f>
        <v>1.1066286429714127E-2</v>
      </c>
      <c r="J526" s="252"/>
      <c r="K526" s="226"/>
    </row>
    <row r="527" spans="1:11" ht="10.15" customHeight="1" x14ac:dyDescent="0.2">
      <c r="A527" s="249"/>
      <c r="B527" s="249"/>
      <c r="C527" s="284"/>
      <c r="D527" s="244" t="s">
        <v>286</v>
      </c>
      <c r="E527" s="281"/>
      <c r="F527" s="257"/>
      <c r="G527" s="249"/>
      <c r="H527" s="242">
        <v>195</v>
      </c>
      <c r="I527" s="251">
        <f>H527/H533</f>
        <v>1.3563330319259928E-3</v>
      </c>
      <c r="J527" s="252"/>
      <c r="K527" s="226"/>
    </row>
    <row r="528" spans="1:11" ht="10.15" customHeight="1" x14ac:dyDescent="0.2">
      <c r="A528" s="249"/>
      <c r="B528" s="249"/>
      <c r="C528" s="284"/>
      <c r="D528" s="244" t="s">
        <v>264</v>
      </c>
      <c r="E528" s="281"/>
      <c r="F528" s="257"/>
      <c r="G528" s="249"/>
      <c r="H528" s="242">
        <v>710</v>
      </c>
      <c r="I528" s="251">
        <f>H528/H533</f>
        <v>4.9384433470125895E-3</v>
      </c>
      <c r="J528" s="252"/>
      <c r="K528" s="226"/>
    </row>
    <row r="529" spans="1:11" ht="10.15" customHeight="1" x14ac:dyDescent="0.2">
      <c r="A529" s="249"/>
      <c r="B529" s="249"/>
      <c r="C529" s="284"/>
      <c r="D529" s="244" t="s">
        <v>316</v>
      </c>
      <c r="E529" s="281"/>
      <c r="F529" s="257"/>
      <c r="G529" s="249"/>
      <c r="H529" s="242">
        <v>5715</v>
      </c>
      <c r="I529" s="251">
        <f>H529/H533</f>
        <v>3.9750991166446405E-2</v>
      </c>
      <c r="J529" s="252"/>
      <c r="K529" s="226"/>
    </row>
    <row r="530" spans="1:11" ht="10.15" customHeight="1" x14ac:dyDescent="0.2">
      <c r="A530" s="249"/>
      <c r="B530" s="249"/>
      <c r="C530" s="284"/>
      <c r="D530" s="244" t="s">
        <v>290</v>
      </c>
      <c r="E530" s="281"/>
      <c r="F530" s="257"/>
      <c r="G530" s="249"/>
      <c r="H530" s="242">
        <v>85982</v>
      </c>
      <c r="I530" s="251">
        <f>H530/H533</f>
        <v>0.59805244487723452</v>
      </c>
      <c r="J530" s="252" t="s">
        <v>290</v>
      </c>
      <c r="K530" s="226"/>
    </row>
    <row r="531" spans="1:11" ht="10.15" customHeight="1" x14ac:dyDescent="0.2">
      <c r="A531" s="249"/>
      <c r="B531" s="249"/>
      <c r="C531" s="284"/>
      <c r="D531" s="254" t="s">
        <v>246</v>
      </c>
      <c r="E531" s="281"/>
      <c r="F531" s="257"/>
      <c r="G531" s="249"/>
      <c r="H531" s="242">
        <v>4764</v>
      </c>
      <c r="I531" s="251">
        <f>H531/H533</f>
        <v>3.3136259303053486E-2</v>
      </c>
      <c r="J531" s="252"/>
      <c r="K531" s="226"/>
    </row>
    <row r="532" spans="1:11" ht="10.15" customHeight="1" x14ac:dyDescent="0.2">
      <c r="A532" s="249"/>
      <c r="B532" s="249"/>
      <c r="C532" s="284"/>
      <c r="D532" s="244" t="s">
        <v>287</v>
      </c>
      <c r="E532" s="281"/>
      <c r="F532" s="257"/>
      <c r="G532" s="249"/>
      <c r="H532" s="242">
        <v>34038</v>
      </c>
      <c r="I532" s="251">
        <f>H532/H533</f>
        <v>0.23675314738818948</v>
      </c>
      <c r="J532" s="252"/>
      <c r="K532" s="226"/>
    </row>
    <row r="533" spans="1:11" ht="10.15" customHeight="1" x14ac:dyDescent="0.2">
      <c r="A533" s="249"/>
      <c r="B533" s="249"/>
      <c r="C533" s="284"/>
      <c r="D533" s="243" t="s">
        <v>33</v>
      </c>
      <c r="E533" s="281"/>
      <c r="F533" s="257"/>
      <c r="G533" s="249"/>
      <c r="H533" s="265">
        <f>SUM(H524:H532)</f>
        <v>143770</v>
      </c>
      <c r="I533" s="256">
        <f>SUM(I524:I532)</f>
        <v>1</v>
      </c>
      <c r="J533" s="242"/>
      <c r="K533" s="226"/>
    </row>
    <row r="534" spans="1:11" ht="10.15" customHeight="1" x14ac:dyDescent="0.2">
      <c r="A534" s="249"/>
      <c r="B534" s="249"/>
      <c r="C534" s="284"/>
      <c r="D534" s="243"/>
      <c r="E534" s="281"/>
      <c r="F534" s="257"/>
      <c r="G534" s="249"/>
      <c r="H534" s="249"/>
      <c r="I534" s="262"/>
      <c r="J534" s="242"/>
      <c r="K534" s="226"/>
    </row>
    <row r="535" spans="1:11" ht="10.15" customHeight="1" x14ac:dyDescent="0.2">
      <c r="A535" s="261" t="s">
        <v>19</v>
      </c>
      <c r="B535" s="264">
        <v>244</v>
      </c>
      <c r="C535" s="243" t="s">
        <v>291</v>
      </c>
      <c r="D535" s="249" t="s">
        <v>428</v>
      </c>
      <c r="E535" s="336">
        <v>36800</v>
      </c>
      <c r="F535" s="257">
        <v>3523425</v>
      </c>
      <c r="G535" s="249">
        <v>24765</v>
      </c>
      <c r="H535" s="242"/>
      <c r="I535" s="251"/>
      <c r="J535" s="242"/>
      <c r="K535" s="226"/>
    </row>
    <row r="536" spans="1:11" ht="10.15" customHeight="1" x14ac:dyDescent="0.2">
      <c r="A536" s="249"/>
      <c r="B536" s="249"/>
      <c r="C536" s="284"/>
      <c r="D536" s="244" t="s">
        <v>292</v>
      </c>
      <c r="E536" s="281"/>
      <c r="F536" s="257"/>
      <c r="G536" s="249"/>
      <c r="H536" s="242">
        <v>4940</v>
      </c>
      <c r="I536" s="251">
        <f>H536/H539</f>
        <v>0.26466648807929277</v>
      </c>
      <c r="J536" s="252"/>
      <c r="K536" s="226"/>
    </row>
    <row r="537" spans="1:11" ht="10.15" customHeight="1" x14ac:dyDescent="0.2">
      <c r="A537" s="249"/>
      <c r="B537" s="249"/>
      <c r="C537" s="284"/>
      <c r="D537" s="244" t="s">
        <v>290</v>
      </c>
      <c r="E537" s="281"/>
      <c r="F537" s="257"/>
      <c r="G537" s="249"/>
      <c r="H537" s="242">
        <v>2360</v>
      </c>
      <c r="I537" s="251">
        <f>H537/H539</f>
        <v>0.12643986070184837</v>
      </c>
      <c r="J537" s="252"/>
      <c r="K537" s="226"/>
    </row>
    <row r="538" spans="1:11" ht="10.15" customHeight="1" x14ac:dyDescent="0.2">
      <c r="A538" s="249"/>
      <c r="B538" s="249"/>
      <c r="C538" s="284"/>
      <c r="D538" s="244" t="s">
        <v>287</v>
      </c>
      <c r="E538" s="281"/>
      <c r="F538" s="257"/>
      <c r="G538" s="249"/>
      <c r="H538" s="242">
        <v>11365</v>
      </c>
      <c r="I538" s="251">
        <f>H538/H539</f>
        <v>0.60889365121885886</v>
      </c>
      <c r="J538" s="252" t="s">
        <v>287</v>
      </c>
      <c r="K538" s="226"/>
    </row>
    <row r="539" spans="1:11" ht="10.15" customHeight="1" x14ac:dyDescent="0.2">
      <c r="A539" s="249"/>
      <c r="B539" s="249"/>
      <c r="C539" s="284"/>
      <c r="D539" s="243" t="s">
        <v>33</v>
      </c>
      <c r="E539" s="281"/>
      <c r="F539" s="257"/>
      <c r="G539" s="249"/>
      <c r="H539" s="265">
        <f>SUM(H536:H538)</f>
        <v>18665</v>
      </c>
      <c r="I539" s="256">
        <f>SUM(I536:I538)</f>
        <v>1</v>
      </c>
      <c r="J539" s="242"/>
      <c r="K539" s="226"/>
    </row>
    <row r="540" spans="1:11" ht="10.15" customHeight="1" x14ac:dyDescent="0.2">
      <c r="A540" s="249"/>
      <c r="B540" s="249"/>
      <c r="C540" s="284"/>
      <c r="D540" s="243"/>
      <c r="E540" s="281"/>
      <c r="F540" s="257"/>
      <c r="G540" s="249"/>
      <c r="H540" s="249"/>
      <c r="I540" s="262"/>
      <c r="J540" s="242"/>
      <c r="K540" s="226"/>
    </row>
    <row r="541" spans="1:11" ht="9.75" customHeight="1" x14ac:dyDescent="0.2">
      <c r="A541" s="261" t="s">
        <v>19</v>
      </c>
      <c r="B541" s="264">
        <v>201</v>
      </c>
      <c r="C541" s="243" t="s">
        <v>291</v>
      </c>
      <c r="D541" s="249" t="s">
        <v>460</v>
      </c>
      <c r="E541" s="336">
        <v>37490</v>
      </c>
      <c r="F541" s="257">
        <v>6619544</v>
      </c>
      <c r="G541" s="249">
        <v>44862</v>
      </c>
      <c r="H541" s="242"/>
      <c r="I541" s="251"/>
      <c r="J541" s="242"/>
      <c r="K541" s="226"/>
    </row>
    <row r="542" spans="1:11" ht="10.15" customHeight="1" x14ac:dyDescent="0.2">
      <c r="A542" s="249"/>
      <c r="B542" s="249"/>
      <c r="C542" s="284"/>
      <c r="D542" s="244" t="s">
        <v>264</v>
      </c>
      <c r="E542" s="281"/>
      <c r="F542" s="257"/>
      <c r="G542" s="249"/>
      <c r="H542" s="242">
        <v>4000</v>
      </c>
      <c r="I542" s="251">
        <f>H542/H547</f>
        <v>0.15866719555731854</v>
      </c>
      <c r="J542" s="252"/>
      <c r="K542" s="226"/>
    </row>
    <row r="543" spans="1:11" ht="10.15" customHeight="1" x14ac:dyDescent="0.2">
      <c r="A543" s="249"/>
      <c r="B543" s="249"/>
      <c r="C543" s="284"/>
      <c r="D543" s="244" t="s">
        <v>295</v>
      </c>
      <c r="E543" s="281"/>
      <c r="F543" s="257"/>
      <c r="G543" s="249"/>
      <c r="H543" s="242">
        <v>1500</v>
      </c>
      <c r="I543" s="251">
        <f>H543/H547</f>
        <v>5.9500198333994447E-2</v>
      </c>
      <c r="J543" s="252"/>
      <c r="K543" s="226"/>
    </row>
    <row r="544" spans="1:11" ht="10.15" customHeight="1" x14ac:dyDescent="0.2">
      <c r="A544" s="249"/>
      <c r="B544" s="249"/>
      <c r="C544" s="284"/>
      <c r="D544" s="244" t="s">
        <v>290</v>
      </c>
      <c r="E544" s="281"/>
      <c r="F544" s="257"/>
      <c r="G544" s="249"/>
      <c r="H544" s="242">
        <v>10870</v>
      </c>
      <c r="I544" s="251">
        <f>H544/H547</f>
        <v>0.43117810392701311</v>
      </c>
      <c r="J544" s="252" t="s">
        <v>290</v>
      </c>
      <c r="K544" s="226"/>
    </row>
    <row r="545" spans="1:11" ht="10.15" customHeight="1" x14ac:dyDescent="0.2">
      <c r="A545" s="249"/>
      <c r="B545" s="249"/>
      <c r="C545" s="284"/>
      <c r="D545" s="254" t="s">
        <v>246</v>
      </c>
      <c r="E545" s="281"/>
      <c r="F545" s="257"/>
      <c r="G545" s="249"/>
      <c r="H545" s="242">
        <v>4490</v>
      </c>
      <c r="I545" s="251">
        <f>H545/H547</f>
        <v>0.17810392701309005</v>
      </c>
      <c r="J545" s="252"/>
      <c r="K545" s="226"/>
    </row>
    <row r="546" spans="1:11" ht="10.15" customHeight="1" x14ac:dyDescent="0.2">
      <c r="A546" s="249"/>
      <c r="B546" s="249"/>
      <c r="C546" s="284"/>
      <c r="D546" s="244" t="s">
        <v>287</v>
      </c>
      <c r="E546" s="281"/>
      <c r="F546" s="257"/>
      <c r="G546" s="249"/>
      <c r="H546" s="249">
        <v>4350</v>
      </c>
      <c r="I546" s="262">
        <f>H546/H547</f>
        <v>0.17255057516858391</v>
      </c>
      <c r="J546" s="266"/>
      <c r="K546" s="226"/>
    </row>
    <row r="547" spans="1:11" ht="10.15" customHeight="1" x14ac:dyDescent="0.2">
      <c r="A547" s="249"/>
      <c r="B547" s="249"/>
      <c r="C547" s="284"/>
      <c r="D547" s="243" t="s">
        <v>33</v>
      </c>
      <c r="E547" s="281"/>
      <c r="F547" s="257"/>
      <c r="G547" s="249"/>
      <c r="H547" s="265">
        <f>SUM(H542:H546)</f>
        <v>25210</v>
      </c>
      <c r="I547" s="256">
        <f>SUM(I542:I546)</f>
        <v>1</v>
      </c>
      <c r="J547" s="249"/>
      <c r="K547" s="226"/>
    </row>
    <row r="548" spans="1:11" ht="10.15" customHeight="1" x14ac:dyDescent="0.2">
      <c r="A548" s="249"/>
      <c r="B548" s="249"/>
      <c r="C548" s="284"/>
      <c r="D548" s="243"/>
      <c r="E548" s="281"/>
      <c r="F548" s="257"/>
      <c r="G548" s="249"/>
      <c r="H548" s="249"/>
      <c r="I548" s="262"/>
      <c r="J548" s="249"/>
      <c r="K548" s="226"/>
    </row>
    <row r="549" spans="1:11" ht="10.15" customHeight="1" x14ac:dyDescent="0.2">
      <c r="A549" s="261" t="s">
        <v>19</v>
      </c>
      <c r="B549" s="264">
        <v>237</v>
      </c>
      <c r="C549" s="243" t="s">
        <v>291</v>
      </c>
      <c r="D549" s="249" t="s">
        <v>28</v>
      </c>
      <c r="E549" s="336">
        <v>37348</v>
      </c>
      <c r="F549" s="257">
        <v>20551024</v>
      </c>
      <c r="G549" s="249">
        <v>158553</v>
      </c>
      <c r="H549" s="249"/>
      <c r="I549" s="262"/>
      <c r="J549" s="249"/>
      <c r="K549" s="226"/>
    </row>
    <row r="550" spans="1:11" ht="10.15" customHeight="1" x14ac:dyDescent="0.2">
      <c r="A550" s="249"/>
      <c r="B550" s="249"/>
      <c r="C550" s="284"/>
      <c r="D550" s="244" t="s">
        <v>263</v>
      </c>
      <c r="E550" s="281"/>
      <c r="F550" s="257"/>
      <c r="G550" s="249"/>
      <c r="H550" s="249">
        <v>7830</v>
      </c>
      <c r="I550" s="262">
        <f>H550/H557</f>
        <v>6.0996985206478303E-2</v>
      </c>
      <c r="J550" s="266"/>
      <c r="K550" s="226"/>
    </row>
    <row r="551" spans="1:11" ht="10.15" customHeight="1" x14ac:dyDescent="0.2">
      <c r="A551" s="249"/>
      <c r="B551" s="249"/>
      <c r="C551" s="284"/>
      <c r="D551" s="244" t="s">
        <v>240</v>
      </c>
      <c r="E551" s="281"/>
      <c r="F551" s="257"/>
      <c r="G551" s="249"/>
      <c r="H551" s="242">
        <v>29249</v>
      </c>
      <c r="I551" s="251">
        <f>H551/H557</f>
        <v>0.22785451089454456</v>
      </c>
      <c r="J551" s="252" t="s">
        <v>240</v>
      </c>
      <c r="K551" s="226"/>
    </row>
    <row r="552" spans="1:11" ht="10.15" customHeight="1" x14ac:dyDescent="0.2">
      <c r="A552" s="249"/>
      <c r="B552" s="249"/>
      <c r="C552" s="284"/>
      <c r="D552" s="244" t="s">
        <v>286</v>
      </c>
      <c r="E552" s="281"/>
      <c r="F552" s="257"/>
      <c r="G552" s="249"/>
      <c r="H552" s="242">
        <v>1460</v>
      </c>
      <c r="I552" s="251">
        <f>H552/H557</f>
        <v>1.1373639642587269E-2</v>
      </c>
      <c r="J552" s="252"/>
      <c r="K552" s="226"/>
    </row>
    <row r="553" spans="1:11" ht="10.15" customHeight="1" x14ac:dyDescent="0.2">
      <c r="A553" s="249"/>
      <c r="B553" s="249"/>
      <c r="C553" s="284"/>
      <c r="D553" s="244" t="s">
        <v>316</v>
      </c>
      <c r="E553" s="281"/>
      <c r="F553" s="257"/>
      <c r="G553" s="249"/>
      <c r="H553" s="242">
        <v>20672</v>
      </c>
      <c r="I553" s="251">
        <f>H553/H557</f>
        <v>0.16103827307641372</v>
      </c>
      <c r="J553" s="252"/>
      <c r="K553" s="226"/>
    </row>
    <row r="554" spans="1:11" ht="10.15" customHeight="1" x14ac:dyDescent="0.2">
      <c r="A554" s="249"/>
      <c r="B554" s="249"/>
      <c r="C554" s="284"/>
      <c r="D554" s="244" t="s">
        <v>290</v>
      </c>
      <c r="E554" s="281"/>
      <c r="F554" s="257"/>
      <c r="G554" s="249"/>
      <c r="H554" s="242">
        <v>47142</v>
      </c>
      <c r="I554" s="251">
        <f>H554/H557</f>
        <v>0.36724391782934868</v>
      </c>
      <c r="J554" s="252" t="s">
        <v>290</v>
      </c>
      <c r="K554" s="226"/>
    </row>
    <row r="555" spans="1:11" ht="10.15" customHeight="1" x14ac:dyDescent="0.2">
      <c r="A555" s="249"/>
      <c r="B555" s="249"/>
      <c r="C555" s="284"/>
      <c r="D555" s="254" t="s">
        <v>246</v>
      </c>
      <c r="E555" s="281"/>
      <c r="F555" s="257"/>
      <c r="G555" s="249"/>
      <c r="H555" s="242">
        <v>4070</v>
      </c>
      <c r="I555" s="251">
        <f>H555/H557</f>
        <v>3.17059680447467E-2</v>
      </c>
      <c r="J555" s="252"/>
      <c r="K555" s="226"/>
    </row>
    <row r="556" spans="1:11" ht="10.15" customHeight="1" x14ac:dyDescent="0.2">
      <c r="A556" s="249"/>
      <c r="B556" s="249"/>
      <c r="C556" s="284"/>
      <c r="D556" s="244" t="s">
        <v>287</v>
      </c>
      <c r="E556" s="281"/>
      <c r="F556" s="257"/>
      <c r="G556" s="249"/>
      <c r="H556" s="249">
        <v>17944</v>
      </c>
      <c r="I556" s="262">
        <f>H556/H557</f>
        <v>0.1397867053058808</v>
      </c>
      <c r="J556" s="266"/>
      <c r="K556" s="226"/>
    </row>
    <row r="557" spans="1:11" ht="10.15" customHeight="1" x14ac:dyDescent="0.2">
      <c r="A557" s="249"/>
      <c r="B557" s="249"/>
      <c r="C557" s="284"/>
      <c r="D557" s="243" t="s">
        <v>33</v>
      </c>
      <c r="E557" s="281"/>
      <c r="F557" s="257"/>
      <c r="G557" s="249"/>
      <c r="H557" s="265">
        <f>SUM(H550:H556)</f>
        <v>128367</v>
      </c>
      <c r="I557" s="256">
        <f>SUM(I550:I556)</f>
        <v>1</v>
      </c>
      <c r="J557" s="249"/>
      <c r="K557" s="226"/>
    </row>
    <row r="558" spans="1:11" ht="10.15" customHeight="1" x14ac:dyDescent="0.2">
      <c r="A558" s="249"/>
      <c r="B558" s="249"/>
      <c r="C558" s="284"/>
      <c r="D558" s="243"/>
      <c r="E558" s="281"/>
      <c r="F558" s="257"/>
      <c r="G558" s="249"/>
      <c r="H558" s="249"/>
      <c r="I558" s="262"/>
      <c r="J558" s="249"/>
      <c r="K558" s="226"/>
    </row>
    <row r="559" spans="1:11" ht="10.15" customHeight="1" x14ac:dyDescent="0.2">
      <c r="A559" s="243" t="s">
        <v>19</v>
      </c>
      <c r="B559" s="243">
        <v>299</v>
      </c>
      <c r="C559" s="243" t="s">
        <v>291</v>
      </c>
      <c r="D559" s="244" t="s">
        <v>461</v>
      </c>
      <c r="E559" s="277">
        <v>37683</v>
      </c>
      <c r="F559" s="245">
        <v>6508400</v>
      </c>
      <c r="G559" s="246">
        <v>31200</v>
      </c>
      <c r="H559" s="242"/>
      <c r="I559" s="251"/>
      <c r="J559" s="253"/>
      <c r="K559" s="226"/>
    </row>
    <row r="560" spans="1:11" ht="10.15" customHeight="1" x14ac:dyDescent="0.2">
      <c r="A560" s="243"/>
      <c r="B560" s="243"/>
      <c r="C560" s="243"/>
      <c r="D560" s="244" t="s">
        <v>263</v>
      </c>
      <c r="E560" s="281"/>
      <c r="F560" s="257"/>
      <c r="G560" s="249"/>
      <c r="H560" s="249">
        <v>2800</v>
      </c>
      <c r="I560" s="262">
        <f>H560/$H$565</f>
        <v>0.12389380530973451</v>
      </c>
      <c r="J560" s="253"/>
      <c r="K560" s="226"/>
    </row>
    <row r="561" spans="1:11" ht="10.15" customHeight="1" x14ac:dyDescent="0.2">
      <c r="A561" s="243"/>
      <c r="B561" s="243"/>
      <c r="C561" s="243"/>
      <c r="D561" s="244" t="s">
        <v>286</v>
      </c>
      <c r="E561" s="281"/>
      <c r="F561" s="257"/>
      <c r="G561" s="249"/>
      <c r="H561" s="242">
        <v>14400</v>
      </c>
      <c r="I561" s="262">
        <f>H561/$H$565</f>
        <v>0.63716814159292035</v>
      </c>
      <c r="J561" s="266" t="s">
        <v>286</v>
      </c>
      <c r="K561" s="226"/>
    </row>
    <row r="562" spans="1:11" ht="10.15" customHeight="1" x14ac:dyDescent="0.2">
      <c r="A562" s="243"/>
      <c r="B562" s="243"/>
      <c r="C562" s="243"/>
      <c r="D562" s="244" t="s">
        <v>244</v>
      </c>
      <c r="E562" s="281"/>
      <c r="F562" s="257"/>
      <c r="G562" s="249"/>
      <c r="H562" s="242">
        <v>300</v>
      </c>
      <c r="I562" s="262">
        <f>H562/$H$565</f>
        <v>1.3274336283185841E-2</v>
      </c>
      <c r="J562" s="253"/>
      <c r="K562" s="226"/>
    </row>
    <row r="563" spans="1:11" ht="10.15" customHeight="1" x14ac:dyDescent="0.2">
      <c r="A563" s="243"/>
      <c r="B563" s="243"/>
      <c r="C563" s="243"/>
      <c r="D563" s="244" t="s">
        <v>290</v>
      </c>
      <c r="E563" s="281"/>
      <c r="F563" s="257"/>
      <c r="G563" s="249"/>
      <c r="H563" s="242">
        <v>3100</v>
      </c>
      <c r="I563" s="262">
        <f>H563/$H$565</f>
        <v>0.13716814159292035</v>
      </c>
      <c r="J563" s="253"/>
      <c r="K563" s="226"/>
    </row>
    <row r="564" spans="1:11" ht="10.15" customHeight="1" x14ac:dyDescent="0.2">
      <c r="A564" s="248"/>
      <c r="B564" s="248"/>
      <c r="C564" s="261"/>
      <c r="D564" s="244" t="s">
        <v>287</v>
      </c>
      <c r="E564" s="281"/>
      <c r="F564" s="257"/>
      <c r="G564" s="249"/>
      <c r="H564" s="246">
        <v>2000</v>
      </c>
      <c r="I564" s="262">
        <f>H564/$H$565</f>
        <v>8.8495575221238937E-2</v>
      </c>
      <c r="J564" s="266"/>
      <c r="K564" s="226"/>
    </row>
    <row r="565" spans="1:11" ht="10.15" customHeight="1" x14ac:dyDescent="0.2">
      <c r="A565" s="248"/>
      <c r="B565" s="248"/>
      <c r="C565" s="261"/>
      <c r="D565" s="243" t="s">
        <v>33</v>
      </c>
      <c r="E565" s="281"/>
      <c r="F565" s="257"/>
      <c r="G565" s="249"/>
      <c r="H565" s="255">
        <f>SUM(H560:H564)</f>
        <v>22600</v>
      </c>
      <c r="I565" s="256">
        <f>SUM(I560:I564)</f>
        <v>1</v>
      </c>
      <c r="J565" s="248"/>
      <c r="K565" s="226"/>
    </row>
    <row r="566" spans="1:11" ht="10.15" customHeight="1" x14ac:dyDescent="0.2">
      <c r="A566" s="248"/>
      <c r="B566" s="248"/>
      <c r="C566" s="261"/>
      <c r="D566" s="243"/>
      <c r="E566" s="281"/>
      <c r="F566" s="257"/>
      <c r="G566" s="249"/>
      <c r="H566" s="246"/>
      <c r="I566" s="262"/>
      <c r="J566" s="248"/>
      <c r="K566" s="226"/>
    </row>
    <row r="567" spans="1:11" ht="10.15" customHeight="1" x14ac:dyDescent="0.2">
      <c r="A567" s="261" t="s">
        <v>19</v>
      </c>
      <c r="B567" s="264">
        <v>216</v>
      </c>
      <c r="C567" s="243" t="s">
        <v>291</v>
      </c>
      <c r="D567" s="249" t="s">
        <v>474</v>
      </c>
      <c r="E567" s="281">
        <v>37744</v>
      </c>
      <c r="F567" s="257">
        <v>52735328</v>
      </c>
      <c r="G567" s="249">
        <v>299092</v>
      </c>
      <c r="H567" s="249"/>
      <c r="I567" s="262"/>
      <c r="J567" s="249"/>
      <c r="K567" s="226"/>
    </row>
    <row r="568" spans="1:11" ht="10.15" customHeight="1" x14ac:dyDescent="0.2">
      <c r="A568" s="249"/>
      <c r="B568" s="249"/>
      <c r="C568" s="284"/>
      <c r="D568" s="244" t="s">
        <v>263</v>
      </c>
      <c r="E568" s="281"/>
      <c r="F568" s="257"/>
      <c r="G568" s="249"/>
      <c r="H568" s="249">
        <v>10000</v>
      </c>
      <c r="I568" s="262">
        <f>H568/$H$577</f>
        <v>5.2175183395769639E-2</v>
      </c>
      <c r="J568" s="266"/>
      <c r="K568" s="226"/>
    </row>
    <row r="569" spans="1:11" ht="10.15" customHeight="1" x14ac:dyDescent="0.2">
      <c r="A569" s="249"/>
      <c r="B569" s="249"/>
      <c r="C569" s="284"/>
      <c r="D569" s="244" t="s">
        <v>240</v>
      </c>
      <c r="E569" s="281"/>
      <c r="F569" s="257"/>
      <c r="G569" s="249"/>
      <c r="H569" s="242">
        <v>10000</v>
      </c>
      <c r="I569" s="262">
        <f t="shared" ref="I569:I576" si="8">H569/$H$577</f>
        <v>5.2175183395769639E-2</v>
      </c>
      <c r="J569" s="252"/>
      <c r="K569" s="226"/>
    </row>
    <row r="570" spans="1:11" ht="10.15" customHeight="1" x14ac:dyDescent="0.2">
      <c r="A570" s="249"/>
      <c r="B570" s="249"/>
      <c r="C570" s="284"/>
      <c r="D570" s="244" t="s">
        <v>241</v>
      </c>
      <c r="E570" s="281"/>
      <c r="F570" s="257"/>
      <c r="G570" s="249"/>
      <c r="H570" s="242">
        <v>63000</v>
      </c>
      <c r="I570" s="262">
        <f t="shared" si="8"/>
        <v>0.32870365539334873</v>
      </c>
      <c r="J570" s="252" t="s">
        <v>241</v>
      </c>
      <c r="K570" s="226"/>
    </row>
    <row r="571" spans="1:11" ht="10.15" customHeight="1" x14ac:dyDescent="0.2">
      <c r="A571" s="249"/>
      <c r="B571" s="249"/>
      <c r="C571" s="284"/>
      <c r="D571" s="244" t="s">
        <v>286</v>
      </c>
      <c r="E571" s="281"/>
      <c r="F571" s="257"/>
      <c r="G571" s="249"/>
      <c r="H571" s="242">
        <v>20000</v>
      </c>
      <c r="I571" s="262">
        <f t="shared" si="8"/>
        <v>0.10435036679153928</v>
      </c>
      <c r="J571" s="252"/>
      <c r="K571" s="226"/>
    </row>
    <row r="572" spans="1:11" ht="10.15" customHeight="1" x14ac:dyDescent="0.2">
      <c r="A572" s="249"/>
      <c r="B572" s="249"/>
      <c r="C572" s="284"/>
      <c r="D572" s="244" t="s">
        <v>244</v>
      </c>
      <c r="E572" s="281"/>
      <c r="F572" s="257"/>
      <c r="G572" s="249"/>
      <c r="H572" s="242">
        <v>32000</v>
      </c>
      <c r="I572" s="262">
        <f t="shared" si="8"/>
        <v>0.16696058686646284</v>
      </c>
      <c r="J572" s="252"/>
      <c r="K572" s="226"/>
    </row>
    <row r="573" spans="1:11" ht="10.15" customHeight="1" x14ac:dyDescent="0.2">
      <c r="A573" s="249"/>
      <c r="B573" s="249"/>
      <c r="C573" s="284"/>
      <c r="D573" s="244" t="s">
        <v>475</v>
      </c>
      <c r="E573" s="281"/>
      <c r="F573" s="257"/>
      <c r="G573" s="249"/>
      <c r="H573" s="242">
        <v>15419</v>
      </c>
      <c r="I573" s="262">
        <f t="shared" si="8"/>
        <v>8.0448915277937197E-2</v>
      </c>
      <c r="J573" s="252"/>
      <c r="K573" s="226"/>
    </row>
    <row r="574" spans="1:11" ht="10.15" customHeight="1" x14ac:dyDescent="0.2">
      <c r="A574" s="249"/>
      <c r="B574" s="249"/>
      <c r="C574" s="284"/>
      <c r="D574" s="244" t="s">
        <v>290</v>
      </c>
      <c r="E574" s="281"/>
      <c r="F574" s="257"/>
      <c r="G574" s="249"/>
      <c r="H574" s="242">
        <v>38890</v>
      </c>
      <c r="I574" s="262">
        <f t="shared" si="8"/>
        <v>0.20290928822614812</v>
      </c>
      <c r="J574" s="252" t="s">
        <v>290</v>
      </c>
      <c r="K574" s="226"/>
    </row>
    <row r="575" spans="1:11" ht="10.15" customHeight="1" x14ac:dyDescent="0.2">
      <c r="A575" s="249"/>
      <c r="B575" s="249"/>
      <c r="C575" s="284"/>
      <c r="D575" s="254" t="s">
        <v>246</v>
      </c>
      <c r="E575" s="281"/>
      <c r="F575" s="257"/>
      <c r="G575" s="249"/>
      <c r="H575" s="242">
        <v>353</v>
      </c>
      <c r="I575" s="262">
        <f t="shared" si="8"/>
        <v>1.8417839738706682E-3</v>
      </c>
      <c r="J575" s="252"/>
      <c r="K575" s="226"/>
    </row>
    <row r="576" spans="1:11" ht="10.15" customHeight="1" x14ac:dyDescent="0.2">
      <c r="A576" s="249"/>
      <c r="B576" s="249"/>
      <c r="C576" s="284"/>
      <c r="D576" s="244" t="s">
        <v>287</v>
      </c>
      <c r="E576" s="281"/>
      <c r="F576" s="257"/>
      <c r="G576" s="249"/>
      <c r="H576" s="249">
        <v>2000</v>
      </c>
      <c r="I576" s="262">
        <f t="shared" si="8"/>
        <v>1.0435036679153928E-2</v>
      </c>
      <c r="J576" s="266"/>
      <c r="K576" s="226"/>
    </row>
    <row r="577" spans="1:11" ht="10.15" customHeight="1" x14ac:dyDescent="0.2">
      <c r="A577" s="249"/>
      <c r="B577" s="249"/>
      <c r="C577" s="284"/>
      <c r="D577" s="243" t="s">
        <v>33</v>
      </c>
      <c r="E577" s="281"/>
      <c r="F577" s="257"/>
      <c r="G577" s="249"/>
      <c r="H577" s="265">
        <f>SUM(H568:H576)</f>
        <v>191662</v>
      </c>
      <c r="I577" s="256">
        <f>SUM(I568:I576)</f>
        <v>1</v>
      </c>
      <c r="J577" s="249"/>
      <c r="K577" s="226"/>
    </row>
    <row r="578" spans="1:11" ht="10.15" customHeight="1" x14ac:dyDescent="0.2">
      <c r="A578" s="248"/>
      <c r="B578" s="248"/>
      <c r="C578" s="261"/>
      <c r="D578" s="243"/>
      <c r="E578" s="281"/>
      <c r="F578" s="257"/>
      <c r="G578" s="249"/>
      <c r="H578" s="246"/>
      <c r="I578" s="262"/>
      <c r="J578" s="248"/>
      <c r="K578" s="226"/>
    </row>
    <row r="579" spans="1:11" ht="10.15" customHeight="1" x14ac:dyDescent="0.2">
      <c r="A579" s="243" t="s">
        <v>19</v>
      </c>
      <c r="B579" s="243">
        <v>217</v>
      </c>
      <c r="C579" s="243" t="s">
        <v>291</v>
      </c>
      <c r="D579" s="244" t="s">
        <v>476</v>
      </c>
      <c r="E579" s="336">
        <v>37778</v>
      </c>
      <c r="F579" s="245">
        <v>4804136</v>
      </c>
      <c r="G579" s="246">
        <v>18922</v>
      </c>
      <c r="H579" s="242"/>
      <c r="I579" s="251"/>
      <c r="J579" s="253"/>
      <c r="K579" s="226"/>
    </row>
    <row r="580" spans="1:11" ht="10.15" customHeight="1" x14ac:dyDescent="0.2">
      <c r="A580" s="248"/>
      <c r="B580" s="248"/>
      <c r="C580" s="261"/>
      <c r="D580" s="244" t="s">
        <v>244</v>
      </c>
      <c r="E580" s="281"/>
      <c r="F580" s="257"/>
      <c r="G580" s="249"/>
      <c r="H580" s="250">
        <v>6200</v>
      </c>
      <c r="I580" s="251">
        <f>ROUND(H580/$H$582,4)</f>
        <v>0.47110000000000002</v>
      </c>
      <c r="J580" s="252" t="s">
        <v>244</v>
      </c>
      <c r="K580" s="226"/>
    </row>
    <row r="581" spans="1:11" ht="10.15" customHeight="1" x14ac:dyDescent="0.2">
      <c r="A581" s="248"/>
      <c r="B581" s="248"/>
      <c r="C581" s="261"/>
      <c r="D581" s="244" t="s">
        <v>290</v>
      </c>
      <c r="E581" s="281"/>
      <c r="F581" s="257"/>
      <c r="G581" s="249"/>
      <c r="H581" s="250">
        <v>6960</v>
      </c>
      <c r="I581" s="251">
        <f>ROUND(H581/$H$582,4)</f>
        <v>0.52890000000000004</v>
      </c>
      <c r="J581" s="252" t="s">
        <v>290</v>
      </c>
      <c r="K581" s="226"/>
    </row>
    <row r="582" spans="1:11" ht="10.15" customHeight="1" x14ac:dyDescent="0.2">
      <c r="A582" s="248"/>
      <c r="B582" s="248"/>
      <c r="C582" s="261"/>
      <c r="D582" s="243" t="s">
        <v>33</v>
      </c>
      <c r="E582" s="281"/>
      <c r="F582" s="257"/>
      <c r="G582" s="249"/>
      <c r="H582" s="255">
        <f>SUM(H580:H581)</f>
        <v>13160</v>
      </c>
      <c r="I582" s="256">
        <f>SUM(I580:I581)</f>
        <v>1</v>
      </c>
      <c r="J582" s="253"/>
      <c r="K582" s="226"/>
    </row>
    <row r="583" spans="1:11" ht="10.15" customHeight="1" x14ac:dyDescent="0.2">
      <c r="A583" s="248"/>
      <c r="B583" s="248"/>
      <c r="C583" s="261"/>
      <c r="D583" s="243"/>
      <c r="E583" s="281"/>
      <c r="F583" s="257"/>
      <c r="G583" s="249"/>
      <c r="H583" s="246"/>
      <c r="I583" s="262"/>
      <c r="J583" s="253"/>
      <c r="K583" s="226"/>
    </row>
    <row r="584" spans="1:11" ht="10.15" customHeight="1" x14ac:dyDescent="0.2">
      <c r="A584" s="261" t="s">
        <v>19</v>
      </c>
      <c r="B584" s="264">
        <v>207</v>
      </c>
      <c r="C584" s="243" t="s">
        <v>291</v>
      </c>
      <c r="D584" s="249" t="s">
        <v>491</v>
      </c>
      <c r="E584" s="281">
        <v>38261</v>
      </c>
      <c r="F584" s="257">
        <v>39566774</v>
      </c>
      <c r="G584" s="249">
        <v>184678</v>
      </c>
      <c r="H584" s="249"/>
      <c r="I584" s="262"/>
      <c r="J584" s="249"/>
      <c r="K584" s="226"/>
    </row>
    <row r="585" spans="1:11" ht="10.15" customHeight="1" x14ac:dyDescent="0.2">
      <c r="A585" s="249"/>
      <c r="B585" s="249"/>
      <c r="C585" s="284"/>
      <c r="D585" s="244" t="s">
        <v>263</v>
      </c>
      <c r="E585" s="281"/>
      <c r="F585" s="257"/>
      <c r="G585" s="249"/>
      <c r="H585" s="249">
        <v>6260</v>
      </c>
      <c r="I585" s="262">
        <f>H585/$H$592</f>
        <v>6.3623058785267098E-2</v>
      </c>
      <c r="J585" s="266"/>
      <c r="K585" s="226"/>
    </row>
    <row r="586" spans="1:11" ht="10.15" customHeight="1" x14ac:dyDescent="0.2">
      <c r="A586" s="249"/>
      <c r="B586" s="249"/>
      <c r="C586" s="284"/>
      <c r="D586" s="244" t="s">
        <v>240</v>
      </c>
      <c r="E586" s="281"/>
      <c r="F586" s="257"/>
      <c r="G586" s="249"/>
      <c r="H586" s="242">
        <v>11720</v>
      </c>
      <c r="I586" s="262">
        <f t="shared" ref="I586:I591" si="9">H586/$H$592</f>
        <v>0.11911537523375884</v>
      </c>
      <c r="J586" s="252"/>
      <c r="K586" s="226"/>
    </row>
    <row r="587" spans="1:11" ht="10.15" customHeight="1" x14ac:dyDescent="0.2">
      <c r="A587" s="249"/>
      <c r="B587" s="249"/>
      <c r="C587" s="284"/>
      <c r="D587" s="244" t="s">
        <v>241</v>
      </c>
      <c r="E587" s="281"/>
      <c r="F587" s="257"/>
      <c r="G587" s="249"/>
      <c r="H587" s="242">
        <v>45798</v>
      </c>
      <c r="I587" s="262">
        <f t="shared" si="9"/>
        <v>0.46546467192454671</v>
      </c>
      <c r="J587" s="252" t="s">
        <v>241</v>
      </c>
      <c r="K587" s="226"/>
    </row>
    <row r="588" spans="1:11" ht="10.15" customHeight="1" x14ac:dyDescent="0.2">
      <c r="A588" s="249"/>
      <c r="B588" s="249"/>
      <c r="C588" s="284"/>
      <c r="D588" s="244" t="s">
        <v>264</v>
      </c>
      <c r="E588" s="281"/>
      <c r="F588" s="257"/>
      <c r="G588" s="249"/>
      <c r="H588" s="242">
        <v>4542</v>
      </c>
      <c r="I588" s="262">
        <f t="shared" si="9"/>
        <v>4.6162289617042038E-2</v>
      </c>
      <c r="J588" s="252"/>
      <c r="K588" s="226"/>
    </row>
    <row r="589" spans="1:11" ht="10.15" customHeight="1" x14ac:dyDescent="0.2">
      <c r="A589" s="249"/>
      <c r="B589" s="249"/>
      <c r="C589" s="284"/>
      <c r="D589" s="244" t="s">
        <v>475</v>
      </c>
      <c r="E589" s="281"/>
      <c r="F589" s="257"/>
      <c r="G589" s="249"/>
      <c r="H589" s="242">
        <v>858</v>
      </c>
      <c r="I589" s="262">
        <f t="shared" si="9"/>
        <v>8.7202211561915599E-3</v>
      </c>
      <c r="J589" s="252"/>
      <c r="K589" s="226"/>
    </row>
    <row r="590" spans="1:11" ht="10.15" customHeight="1" x14ac:dyDescent="0.2">
      <c r="A590" s="249"/>
      <c r="B590" s="249"/>
      <c r="C590" s="284"/>
      <c r="D590" s="244" t="s">
        <v>290</v>
      </c>
      <c r="E590" s="281"/>
      <c r="F590" s="257"/>
      <c r="G590" s="249"/>
      <c r="H590" s="242">
        <v>24416</v>
      </c>
      <c r="I590" s="262">
        <f t="shared" si="9"/>
        <v>0.24815025611838362</v>
      </c>
      <c r="J590" s="252"/>
      <c r="K590" s="226"/>
    </row>
    <row r="591" spans="1:11" ht="10.15" customHeight="1" x14ac:dyDescent="0.2">
      <c r="A591" s="249"/>
      <c r="B591" s="249"/>
      <c r="C591" s="284"/>
      <c r="D591" s="254" t="s">
        <v>246</v>
      </c>
      <c r="E591" s="281"/>
      <c r="F591" s="257"/>
      <c r="G591" s="249"/>
      <c r="H591" s="242">
        <v>4798</v>
      </c>
      <c r="I591" s="262">
        <f t="shared" si="9"/>
        <v>4.8764127164810149E-2</v>
      </c>
      <c r="J591" s="252"/>
      <c r="K591" s="226"/>
    </row>
    <row r="592" spans="1:11" ht="10.15" customHeight="1" x14ac:dyDescent="0.2">
      <c r="A592" s="249"/>
      <c r="B592" s="249"/>
      <c r="C592" s="284"/>
      <c r="D592" s="243" t="s">
        <v>33</v>
      </c>
      <c r="E592" s="281"/>
      <c r="F592" s="257"/>
      <c r="G592" s="249"/>
      <c r="H592" s="265">
        <f>SUM(H585:H591)</f>
        <v>98392</v>
      </c>
      <c r="I592" s="256">
        <f>SUM(I585:I591)</f>
        <v>1</v>
      </c>
      <c r="J592" s="249"/>
      <c r="K592" s="226"/>
    </row>
    <row r="593" spans="1:11" ht="10.15" customHeight="1" x14ac:dyDescent="0.2">
      <c r="A593" s="248"/>
      <c r="B593" s="248"/>
      <c r="C593" s="261"/>
      <c r="D593" s="243"/>
      <c r="E593" s="281"/>
      <c r="F593" s="257"/>
      <c r="G593" s="249"/>
      <c r="H593" s="246"/>
      <c r="I593" s="262"/>
      <c r="J593" s="253"/>
      <c r="K593" s="226"/>
    </row>
    <row r="594" spans="1:11" ht="10.15" customHeight="1" x14ac:dyDescent="0.2">
      <c r="A594" s="261" t="s">
        <v>19</v>
      </c>
      <c r="B594" s="264">
        <v>272</v>
      </c>
      <c r="C594" s="243" t="s">
        <v>291</v>
      </c>
      <c r="D594" s="249" t="s">
        <v>492</v>
      </c>
      <c r="E594" s="281">
        <v>38076</v>
      </c>
      <c r="F594" s="257">
        <v>8826863</v>
      </c>
      <c r="G594" s="249">
        <v>39481</v>
      </c>
      <c r="H594" s="249"/>
      <c r="I594" s="262"/>
      <c r="J594" s="249"/>
      <c r="K594" s="226"/>
    </row>
    <row r="595" spans="1:11" ht="10.15" customHeight="1" x14ac:dyDescent="0.2">
      <c r="A595" s="249"/>
      <c r="B595" s="249"/>
      <c r="C595" s="284"/>
      <c r="D595" s="244" t="s">
        <v>286</v>
      </c>
      <c r="E595" s="281"/>
      <c r="F595" s="257"/>
      <c r="G595" s="249"/>
      <c r="H595" s="249">
        <v>4575</v>
      </c>
      <c r="I595" s="262">
        <f>H595/$H$600</f>
        <v>0.16310160427807488</v>
      </c>
      <c r="J595" s="266"/>
      <c r="K595" s="226"/>
    </row>
    <row r="596" spans="1:11" ht="10.15" customHeight="1" x14ac:dyDescent="0.2">
      <c r="A596" s="249"/>
      <c r="B596" s="249"/>
      <c r="C596" s="284"/>
      <c r="D596" s="244" t="s">
        <v>264</v>
      </c>
      <c r="E596" s="281"/>
      <c r="F596" s="257"/>
      <c r="G596" s="249"/>
      <c r="H596" s="242">
        <v>10100</v>
      </c>
      <c r="I596" s="262">
        <f>H596/$H$600</f>
        <v>0.36007130124777181</v>
      </c>
      <c r="J596" s="266" t="s">
        <v>264</v>
      </c>
      <c r="K596" s="226"/>
    </row>
    <row r="597" spans="1:11" ht="10.15" customHeight="1" x14ac:dyDescent="0.2">
      <c r="A597" s="249"/>
      <c r="B597" s="249"/>
      <c r="C597" s="284"/>
      <c r="D597" s="244" t="s">
        <v>290</v>
      </c>
      <c r="E597" s="281"/>
      <c r="F597" s="257"/>
      <c r="G597" s="249"/>
      <c r="H597" s="242">
        <v>576</v>
      </c>
      <c r="I597" s="262">
        <f>H597/$H$600</f>
        <v>2.053475935828877E-2</v>
      </c>
      <c r="J597" s="252"/>
      <c r="K597" s="226"/>
    </row>
    <row r="598" spans="1:11" ht="10.15" customHeight="1" x14ac:dyDescent="0.2">
      <c r="A598" s="249"/>
      <c r="B598" s="249"/>
      <c r="C598" s="284"/>
      <c r="D598" s="254" t="s">
        <v>246</v>
      </c>
      <c r="E598" s="281"/>
      <c r="F598" s="257"/>
      <c r="G598" s="249"/>
      <c r="H598" s="242">
        <v>4270</v>
      </c>
      <c r="I598" s="262">
        <f>H598/$H$600</f>
        <v>0.15222816399286987</v>
      </c>
      <c r="J598" s="252"/>
      <c r="K598" s="226"/>
    </row>
    <row r="599" spans="1:11" ht="10.15" customHeight="1" x14ac:dyDescent="0.2">
      <c r="A599" s="249"/>
      <c r="B599" s="249"/>
      <c r="C599" s="284"/>
      <c r="D599" s="244" t="s">
        <v>287</v>
      </c>
      <c r="E599" s="281"/>
      <c r="F599" s="257"/>
      <c r="G599" s="249"/>
      <c r="H599" s="242">
        <v>8529</v>
      </c>
      <c r="I599" s="262">
        <f>H599/$H$600</f>
        <v>0.30406417112299466</v>
      </c>
      <c r="J599" s="252"/>
      <c r="K599" s="226"/>
    </row>
    <row r="600" spans="1:11" ht="10.15" customHeight="1" x14ac:dyDescent="0.2">
      <c r="A600" s="249"/>
      <c r="B600" s="249"/>
      <c r="C600" s="284"/>
      <c r="D600" s="243" t="s">
        <v>33</v>
      </c>
      <c r="E600" s="281"/>
      <c r="F600" s="257"/>
      <c r="G600" s="249"/>
      <c r="H600" s="265">
        <f>SUM(H595:H599)</f>
        <v>28050</v>
      </c>
      <c r="I600" s="256">
        <f>SUM(I595:I599)</f>
        <v>1</v>
      </c>
      <c r="J600" s="249"/>
      <c r="K600" s="226"/>
    </row>
    <row r="601" spans="1:11" ht="10.15" customHeight="1" x14ac:dyDescent="0.2">
      <c r="A601" s="248"/>
      <c r="B601" s="248"/>
      <c r="C601" s="261"/>
      <c r="D601" s="243"/>
      <c r="E601" s="281"/>
      <c r="F601" s="257"/>
      <c r="G601" s="249"/>
      <c r="H601" s="246"/>
      <c r="I601" s="262"/>
      <c r="J601" s="253"/>
      <c r="K601" s="226"/>
    </row>
    <row r="602" spans="1:11" ht="10.15" customHeight="1" x14ac:dyDescent="0.2">
      <c r="A602" s="261" t="s">
        <v>19</v>
      </c>
      <c r="B602" s="264">
        <v>282</v>
      </c>
      <c r="C602" s="243" t="s">
        <v>291</v>
      </c>
      <c r="D602" s="249" t="s">
        <v>493</v>
      </c>
      <c r="E602" s="281">
        <v>38076</v>
      </c>
      <c r="F602" s="257">
        <v>8440392</v>
      </c>
      <c r="G602" s="249">
        <v>37695</v>
      </c>
      <c r="H602" s="249"/>
      <c r="I602" s="262"/>
      <c r="J602" s="249"/>
      <c r="K602" s="226"/>
    </row>
    <row r="603" spans="1:11" ht="10.15" customHeight="1" x14ac:dyDescent="0.2">
      <c r="A603" s="249"/>
      <c r="B603" s="249"/>
      <c r="C603" s="284"/>
      <c r="D603" s="244" t="s">
        <v>264</v>
      </c>
      <c r="E603" s="281"/>
      <c r="F603" s="257"/>
      <c r="G603" s="249"/>
      <c r="H603" s="242">
        <v>12239</v>
      </c>
      <c r="I603" s="262">
        <f>H603/$H$606</f>
        <v>0.42226745790781123</v>
      </c>
      <c r="J603" s="266" t="s">
        <v>264</v>
      </c>
      <c r="K603" s="226"/>
    </row>
    <row r="604" spans="1:11" ht="10.15" customHeight="1" x14ac:dyDescent="0.2">
      <c r="A604" s="249"/>
      <c r="B604" s="249"/>
      <c r="C604" s="284"/>
      <c r="D604" s="244" t="s">
        <v>475</v>
      </c>
      <c r="E604" s="281"/>
      <c r="F604" s="257"/>
      <c r="G604" s="249"/>
      <c r="H604" s="242">
        <v>4800</v>
      </c>
      <c r="I604" s="262">
        <f>H604/$H$606</f>
        <v>0.16560861164780569</v>
      </c>
      <c r="J604" s="252"/>
      <c r="K604" s="226"/>
    </row>
    <row r="605" spans="1:11" ht="10.15" customHeight="1" x14ac:dyDescent="0.2">
      <c r="A605" s="249"/>
      <c r="B605" s="249"/>
      <c r="C605" s="284"/>
      <c r="D605" s="254" t="s">
        <v>246</v>
      </c>
      <c r="E605" s="281"/>
      <c r="F605" s="257"/>
      <c r="G605" s="249"/>
      <c r="H605" s="242">
        <v>11945</v>
      </c>
      <c r="I605" s="262">
        <f>H605/$H$606</f>
        <v>0.41212393044438311</v>
      </c>
      <c r="J605" s="266" t="s">
        <v>475</v>
      </c>
      <c r="K605" s="226"/>
    </row>
    <row r="606" spans="1:11" ht="10.15" customHeight="1" x14ac:dyDescent="0.2">
      <c r="A606" s="249"/>
      <c r="B606" s="249"/>
      <c r="C606" s="284"/>
      <c r="D606" s="243" t="s">
        <v>33</v>
      </c>
      <c r="E606" s="281"/>
      <c r="F606" s="257"/>
      <c r="G606" s="249"/>
      <c r="H606" s="265">
        <f>SUM(H603:H605)</f>
        <v>28984</v>
      </c>
      <c r="I606" s="256">
        <f>SUM(I603:I605)</f>
        <v>1</v>
      </c>
      <c r="J606" s="249"/>
      <c r="K606" s="226"/>
    </row>
    <row r="607" spans="1:11" ht="10.15" customHeight="1" x14ac:dyDescent="0.2">
      <c r="A607" s="249"/>
      <c r="B607" s="249"/>
      <c r="C607" s="284"/>
      <c r="D607" s="243"/>
      <c r="E607" s="281"/>
      <c r="F607" s="257"/>
      <c r="G607" s="249"/>
      <c r="H607" s="249"/>
      <c r="I607" s="262"/>
      <c r="J607" s="249"/>
      <c r="K607" s="226"/>
    </row>
    <row r="608" spans="1:11" ht="10.15" customHeight="1" x14ac:dyDescent="0.2">
      <c r="A608" s="261" t="s">
        <v>19</v>
      </c>
      <c r="B608" s="264">
        <v>236</v>
      </c>
      <c r="C608" s="243" t="s">
        <v>291</v>
      </c>
      <c r="D608" s="249" t="s">
        <v>516</v>
      </c>
      <c r="E608" s="281">
        <v>38597</v>
      </c>
      <c r="F608" s="257">
        <v>54697493</v>
      </c>
      <c r="G608" s="249">
        <v>143880</v>
      </c>
      <c r="H608" s="249"/>
      <c r="I608" s="262"/>
      <c r="J608" s="249"/>
      <c r="K608" s="226"/>
    </row>
    <row r="609" spans="1:11" ht="10.15" customHeight="1" x14ac:dyDescent="0.2">
      <c r="A609" s="249"/>
      <c r="B609" s="249"/>
      <c r="C609" s="284"/>
      <c r="D609" s="244" t="s">
        <v>241</v>
      </c>
      <c r="E609" s="281"/>
      <c r="F609" s="257"/>
      <c r="G609" s="249"/>
      <c r="H609" s="267">
        <v>68962</v>
      </c>
      <c r="I609" s="262">
        <f>H609/$H$613</f>
        <v>0.71895329441201006</v>
      </c>
      <c r="J609" s="252" t="s">
        <v>241</v>
      </c>
      <c r="K609" s="226"/>
    </row>
    <row r="610" spans="1:11" ht="10.15" customHeight="1" x14ac:dyDescent="0.2">
      <c r="A610" s="249"/>
      <c r="B610" s="249"/>
      <c r="C610" s="284"/>
      <c r="D610" s="244" t="s">
        <v>264</v>
      </c>
      <c r="E610" s="281"/>
      <c r="F610" s="257"/>
      <c r="G610" s="249"/>
      <c r="H610" s="267">
        <v>6195</v>
      </c>
      <c r="I610" s="262">
        <f>H610/$H$613</f>
        <v>6.4585070892410348E-2</v>
      </c>
      <c r="J610" s="252"/>
      <c r="K610" s="226"/>
    </row>
    <row r="611" spans="1:11" ht="10.15" customHeight="1" x14ac:dyDescent="0.2">
      <c r="A611" s="249"/>
      <c r="B611" s="249"/>
      <c r="C611" s="284"/>
      <c r="D611" s="244" t="s">
        <v>290</v>
      </c>
      <c r="E611" s="281"/>
      <c r="F611" s="257"/>
      <c r="G611" s="249"/>
      <c r="H611" s="267">
        <v>16787</v>
      </c>
      <c r="I611" s="262">
        <f>H611/$H$613</f>
        <v>0.17501042535446204</v>
      </c>
      <c r="J611" s="252"/>
      <c r="K611" s="226"/>
    </row>
    <row r="612" spans="1:11" ht="10.15" customHeight="1" x14ac:dyDescent="0.2">
      <c r="A612" s="249"/>
      <c r="B612" s="249"/>
      <c r="C612" s="284"/>
      <c r="D612" s="254" t="s">
        <v>246</v>
      </c>
      <c r="E612" s="281"/>
      <c r="F612" s="257"/>
      <c r="G612" s="249"/>
      <c r="H612" s="267">
        <v>3976</v>
      </c>
      <c r="I612" s="262">
        <f>H612/$H$613</f>
        <v>4.1451209341117595E-2</v>
      </c>
      <c r="J612" s="252"/>
      <c r="K612" s="226"/>
    </row>
    <row r="613" spans="1:11" ht="10.15" customHeight="1" x14ac:dyDescent="0.2">
      <c r="A613" s="249"/>
      <c r="B613" s="249"/>
      <c r="C613" s="284"/>
      <c r="D613" s="243" t="s">
        <v>33</v>
      </c>
      <c r="E613" s="281"/>
      <c r="F613" s="257"/>
      <c r="G613" s="249"/>
      <c r="H613" s="273">
        <f>SUM(H609:H612)</f>
        <v>95920</v>
      </c>
      <c r="I613" s="256">
        <f>SUM(I609:I612)</f>
        <v>1.0000000000000002</v>
      </c>
      <c r="J613" s="249"/>
      <c r="K613" s="226"/>
    </row>
    <row r="614" spans="1:11" ht="10.15" customHeight="1" x14ac:dyDescent="0.2">
      <c r="A614" s="249"/>
      <c r="B614" s="249"/>
      <c r="C614" s="284"/>
      <c r="D614" s="243"/>
      <c r="E614" s="281"/>
      <c r="F614" s="257"/>
      <c r="G614" s="249"/>
      <c r="H614" s="272"/>
      <c r="I614" s="262"/>
      <c r="J614" s="249"/>
      <c r="K614" s="226"/>
    </row>
    <row r="615" spans="1:11" ht="10.15" customHeight="1" x14ac:dyDescent="0.2">
      <c r="A615" s="261" t="s">
        <v>19</v>
      </c>
      <c r="B615" s="264">
        <v>280</v>
      </c>
      <c r="C615" s="243" t="s">
        <v>291</v>
      </c>
      <c r="D615" s="58" t="s">
        <v>532</v>
      </c>
      <c r="E615" s="281">
        <v>38596</v>
      </c>
      <c r="F615" s="295">
        <v>16951052</v>
      </c>
      <c r="G615" s="249">
        <v>88712</v>
      </c>
      <c r="H615" s="249"/>
      <c r="I615" s="262"/>
      <c r="J615" s="249"/>
      <c r="K615" s="226"/>
    </row>
    <row r="616" spans="1:11" ht="10.15" customHeight="1" x14ac:dyDescent="0.2">
      <c r="A616" s="249"/>
      <c r="B616" s="249"/>
      <c r="C616" s="284"/>
      <c r="D616" s="244" t="s">
        <v>263</v>
      </c>
      <c r="E616" s="281"/>
      <c r="F616" s="257"/>
      <c r="G616" s="249"/>
      <c r="H616" s="267">
        <v>32925</v>
      </c>
      <c r="I616" s="262">
        <f>H616/$H$620</f>
        <v>0.6188677117401602</v>
      </c>
      <c r="J616" s="252" t="s">
        <v>263</v>
      </c>
      <c r="K616" s="226"/>
    </row>
    <row r="617" spans="1:11" ht="10.15" customHeight="1" x14ac:dyDescent="0.2">
      <c r="A617" s="249"/>
      <c r="B617" s="249"/>
      <c r="C617" s="284"/>
      <c r="D617" s="244" t="s">
        <v>264</v>
      </c>
      <c r="E617" s="281"/>
      <c r="F617" s="257"/>
      <c r="G617" s="249"/>
      <c r="H617" s="267">
        <v>15652</v>
      </c>
      <c r="I617" s="262">
        <f>H617/$H$620</f>
        <v>0.29419946618548176</v>
      </c>
      <c r="J617" s="252"/>
      <c r="K617" s="226"/>
    </row>
    <row r="618" spans="1:11" ht="10.15" customHeight="1" x14ac:dyDescent="0.2">
      <c r="A618" s="249"/>
      <c r="B618" s="249"/>
      <c r="C618" s="284"/>
      <c r="D618" s="244" t="s">
        <v>475</v>
      </c>
      <c r="E618" s="281"/>
      <c r="F618" s="257"/>
      <c r="G618" s="249"/>
      <c r="H618" s="267">
        <v>411</v>
      </c>
      <c r="I618" s="262">
        <f>H618/$H$620</f>
        <v>7.7252734859591743E-3</v>
      </c>
      <c r="J618" s="252"/>
      <c r="K618" s="226"/>
    </row>
    <row r="619" spans="1:11" ht="10.15" customHeight="1" x14ac:dyDescent="0.2">
      <c r="A619" s="249"/>
      <c r="B619" s="249"/>
      <c r="C619" s="284"/>
      <c r="D619" s="244" t="s">
        <v>290</v>
      </c>
      <c r="E619" s="281"/>
      <c r="F619" s="257"/>
      <c r="G619" s="249"/>
      <c r="H619" s="267">
        <v>4214</v>
      </c>
      <c r="I619" s="262">
        <f>H619/$H$620</f>
        <v>7.9207548588398929E-2</v>
      </c>
      <c r="J619" s="252"/>
      <c r="K619" s="226"/>
    </row>
    <row r="620" spans="1:11" ht="10.15" customHeight="1" x14ac:dyDescent="0.2">
      <c r="A620" s="249"/>
      <c r="B620" s="249"/>
      <c r="C620" s="284"/>
      <c r="D620" s="243" t="s">
        <v>33</v>
      </c>
      <c r="E620" s="281"/>
      <c r="F620" s="257"/>
      <c r="G620" s="249"/>
      <c r="H620" s="265">
        <f>SUM(H616:H619)</f>
        <v>53202</v>
      </c>
      <c r="I620" s="256">
        <f>SUM(I616:I619)</f>
        <v>1</v>
      </c>
      <c r="J620" s="249"/>
      <c r="K620" s="226"/>
    </row>
    <row r="621" spans="1:11" ht="10.15" customHeight="1" x14ac:dyDescent="0.2">
      <c r="A621" s="249"/>
      <c r="B621" s="249"/>
      <c r="C621" s="284"/>
      <c r="D621" s="243"/>
      <c r="E621" s="281"/>
      <c r="F621" s="257"/>
      <c r="G621" s="249"/>
      <c r="H621" s="272"/>
      <c r="I621" s="262"/>
      <c r="J621" s="249"/>
      <c r="K621" s="226"/>
    </row>
    <row r="622" spans="1:11" ht="10.15" customHeight="1" x14ac:dyDescent="0.2">
      <c r="A622" s="261" t="s">
        <v>19</v>
      </c>
      <c r="B622" s="264">
        <v>207</v>
      </c>
      <c r="C622" s="243" t="s">
        <v>291</v>
      </c>
      <c r="D622" s="249" t="s">
        <v>539</v>
      </c>
      <c r="E622" s="281">
        <v>39052</v>
      </c>
      <c r="F622" s="257">
        <v>27434757</v>
      </c>
      <c r="G622" s="249">
        <v>101183</v>
      </c>
      <c r="H622" s="249"/>
      <c r="I622" s="262"/>
      <c r="J622" s="249"/>
      <c r="K622" s="226"/>
    </row>
    <row r="623" spans="1:11" ht="10.15" customHeight="1" x14ac:dyDescent="0.2">
      <c r="A623" s="249"/>
      <c r="B623" s="249"/>
      <c r="C623" s="284"/>
      <c r="D623" s="244" t="s">
        <v>240</v>
      </c>
      <c r="E623" s="281"/>
      <c r="F623" s="257"/>
      <c r="G623" s="249"/>
      <c r="H623" s="242">
        <v>9988</v>
      </c>
      <c r="I623" s="262">
        <f>H623/$H$627</f>
        <v>0.18275969332674608</v>
      </c>
      <c r="J623" s="252"/>
      <c r="K623" s="226"/>
    </row>
    <row r="624" spans="1:11" ht="10.15" customHeight="1" x14ac:dyDescent="0.2">
      <c r="A624" s="249"/>
      <c r="B624" s="249"/>
      <c r="C624" s="284"/>
      <c r="D624" s="244" t="s">
        <v>241</v>
      </c>
      <c r="E624" s="281"/>
      <c r="F624" s="257"/>
      <c r="G624" s="249"/>
      <c r="H624" s="242">
        <v>25622</v>
      </c>
      <c r="I624" s="262">
        <f>H624/$H$627</f>
        <v>0.46882948161973248</v>
      </c>
      <c r="J624" s="252" t="s">
        <v>241</v>
      </c>
      <c r="K624" s="226"/>
    </row>
    <row r="625" spans="1:11" ht="10.15" customHeight="1" x14ac:dyDescent="0.2">
      <c r="A625" s="249"/>
      <c r="B625" s="249"/>
      <c r="C625" s="284"/>
      <c r="D625" s="244" t="s">
        <v>290</v>
      </c>
      <c r="E625" s="281"/>
      <c r="F625" s="257"/>
      <c r="G625" s="249"/>
      <c r="H625" s="242">
        <v>13001</v>
      </c>
      <c r="I625" s="262">
        <f>H625/$H$627</f>
        <v>0.23789134691039504</v>
      </c>
      <c r="J625" s="252"/>
      <c r="K625" s="226"/>
    </row>
    <row r="626" spans="1:11" ht="10.15" customHeight="1" x14ac:dyDescent="0.2">
      <c r="A626" s="249"/>
      <c r="B626" s="249"/>
      <c r="C626" s="284"/>
      <c r="D626" s="254" t="s">
        <v>246</v>
      </c>
      <c r="E626" s="281"/>
      <c r="F626" s="257"/>
      <c r="G626" s="249"/>
      <c r="H626" s="242">
        <v>6040</v>
      </c>
      <c r="I626" s="262">
        <f>H626/$H$627</f>
        <v>0.11051947814312639</v>
      </c>
      <c r="J626" s="252"/>
      <c r="K626" s="226"/>
    </row>
    <row r="627" spans="1:11" ht="10.15" customHeight="1" x14ac:dyDescent="0.2">
      <c r="A627" s="249"/>
      <c r="B627" s="249"/>
      <c r="C627" s="284"/>
      <c r="D627" s="243" t="s">
        <v>33</v>
      </c>
      <c r="E627" s="281"/>
      <c r="F627" s="257"/>
      <c r="G627" s="249"/>
      <c r="H627" s="265">
        <f>SUM(H623:H626)</f>
        <v>54651</v>
      </c>
      <c r="I627" s="256">
        <f>SUM(I623:I626)</f>
        <v>1</v>
      </c>
      <c r="J627" s="249"/>
      <c r="K627" s="226"/>
    </row>
    <row r="628" spans="1:11" ht="10.15" customHeight="1" x14ac:dyDescent="0.2">
      <c r="A628" s="249"/>
      <c r="B628" s="249"/>
      <c r="C628" s="284"/>
      <c r="D628" s="243"/>
      <c r="E628" s="281"/>
      <c r="F628" s="257"/>
      <c r="G628" s="249"/>
      <c r="H628" s="272"/>
      <c r="I628" s="262"/>
      <c r="J628" s="249"/>
      <c r="K628" s="226"/>
    </row>
    <row r="629" spans="1:11" ht="10.15" customHeight="1" x14ac:dyDescent="0.2">
      <c r="A629" s="261" t="s">
        <v>19</v>
      </c>
      <c r="B629" s="264">
        <v>257</v>
      </c>
      <c r="C629" s="243" t="s">
        <v>291</v>
      </c>
      <c r="D629" s="249" t="s">
        <v>540</v>
      </c>
      <c r="E629" s="281">
        <v>39052</v>
      </c>
      <c r="F629" s="257">
        <v>47158114</v>
      </c>
      <c r="G629" s="249">
        <v>180126</v>
      </c>
      <c r="H629" s="249"/>
      <c r="I629" s="262"/>
      <c r="J629" s="249"/>
      <c r="K629" s="226"/>
    </row>
    <row r="630" spans="1:11" ht="10.15" customHeight="1" x14ac:dyDescent="0.2">
      <c r="A630" s="249"/>
      <c r="B630" s="249"/>
      <c r="C630" s="284"/>
      <c r="D630" s="244" t="s">
        <v>240</v>
      </c>
      <c r="E630" s="281"/>
      <c r="F630" s="257"/>
      <c r="G630" s="249"/>
      <c r="H630" s="242">
        <v>14589</v>
      </c>
      <c r="I630" s="262">
        <f>H630/$H$635</f>
        <v>0.16186439737715103</v>
      </c>
      <c r="J630" s="252"/>
      <c r="K630" s="226"/>
    </row>
    <row r="631" spans="1:11" ht="10.15" customHeight="1" x14ac:dyDescent="0.2">
      <c r="A631" s="249"/>
      <c r="B631" s="249"/>
      <c r="C631" s="284"/>
      <c r="D631" s="244" t="s">
        <v>241</v>
      </c>
      <c r="E631" s="281"/>
      <c r="F631" s="257"/>
      <c r="G631" s="249"/>
      <c r="H631" s="242">
        <v>47872</v>
      </c>
      <c r="I631" s="262">
        <f>H631/$H$635</f>
        <v>0.53113801022955476</v>
      </c>
      <c r="J631" s="252" t="s">
        <v>241</v>
      </c>
      <c r="K631" s="226"/>
    </row>
    <row r="632" spans="1:11" ht="10.15" customHeight="1" x14ac:dyDescent="0.2">
      <c r="A632" s="249"/>
      <c r="B632" s="249"/>
      <c r="C632" s="284"/>
      <c r="D632" s="244" t="s">
        <v>264</v>
      </c>
      <c r="E632" s="281"/>
      <c r="F632" s="257"/>
      <c r="G632" s="249"/>
      <c r="H632" s="242">
        <v>2828</v>
      </c>
      <c r="I632" s="262">
        <f>H632/$H$635</f>
        <v>3.1376551907778681E-2</v>
      </c>
      <c r="J632" s="252"/>
      <c r="K632" s="226"/>
    </row>
    <row r="633" spans="1:11" ht="10.15" customHeight="1" x14ac:dyDescent="0.2">
      <c r="A633" s="249"/>
      <c r="B633" s="249"/>
      <c r="C633" s="284"/>
      <c r="D633" s="244" t="s">
        <v>290</v>
      </c>
      <c r="E633" s="281"/>
      <c r="F633" s="257"/>
      <c r="G633" s="249"/>
      <c r="H633" s="242">
        <v>22187</v>
      </c>
      <c r="I633" s="262">
        <f>H633/$H$635</f>
        <v>0.24616391696530607</v>
      </c>
      <c r="J633" s="252"/>
      <c r="K633" s="226"/>
    </row>
    <row r="634" spans="1:11" ht="10.15" customHeight="1" x14ac:dyDescent="0.2">
      <c r="A634" s="249"/>
      <c r="B634" s="249"/>
      <c r="C634" s="284"/>
      <c r="D634" s="254" t="s">
        <v>246</v>
      </c>
      <c r="E634" s="281"/>
      <c r="F634" s="257"/>
      <c r="G634" s="249"/>
      <c r="H634" s="242">
        <v>2655</v>
      </c>
      <c r="I634" s="262">
        <f>H634/$H$635</f>
        <v>2.9457123520209474E-2</v>
      </c>
      <c r="J634" s="252"/>
      <c r="K634" s="226"/>
    </row>
    <row r="635" spans="1:11" ht="10.15" customHeight="1" x14ac:dyDescent="0.2">
      <c r="A635" s="249"/>
      <c r="B635" s="249"/>
      <c r="C635" s="284"/>
      <c r="D635" s="243" t="s">
        <v>33</v>
      </c>
      <c r="E635" s="281"/>
      <c r="F635" s="257"/>
      <c r="G635" s="249"/>
      <c r="H635" s="265">
        <f>SUM(H630:H634)</f>
        <v>90131</v>
      </c>
      <c r="I635" s="256">
        <f>SUM(I630:I634)</f>
        <v>1</v>
      </c>
      <c r="J635" s="249"/>
      <c r="K635" s="226"/>
    </row>
    <row r="636" spans="1:11" ht="10.15" customHeight="1" x14ac:dyDescent="0.2">
      <c r="A636" s="249"/>
      <c r="B636" s="249"/>
      <c r="C636" s="284"/>
      <c r="D636" s="243"/>
      <c r="E636" s="281"/>
      <c r="F636" s="257"/>
      <c r="G636" s="249"/>
      <c r="H636" s="272"/>
      <c r="I636" s="262"/>
      <c r="J636" s="249"/>
      <c r="K636" s="226"/>
    </row>
    <row r="637" spans="1:11" ht="10.15" customHeight="1" x14ac:dyDescent="0.2">
      <c r="A637" s="261" t="s">
        <v>19</v>
      </c>
      <c r="B637" s="264">
        <v>296</v>
      </c>
      <c r="C637" s="243" t="s">
        <v>291</v>
      </c>
      <c r="D637" s="249" t="s">
        <v>541</v>
      </c>
      <c r="E637" s="281">
        <v>39052</v>
      </c>
      <c r="F637" s="257">
        <v>23815183</v>
      </c>
      <c r="G637" s="296">
        <v>226.52433584126771</v>
      </c>
      <c r="H637" s="249"/>
      <c r="I637" s="262"/>
      <c r="J637" s="249"/>
      <c r="K637" s="226"/>
    </row>
    <row r="638" spans="1:11" ht="10.15" customHeight="1" x14ac:dyDescent="0.2">
      <c r="A638" s="249"/>
      <c r="B638" s="249"/>
      <c r="C638" s="284"/>
      <c r="D638" s="244" t="s">
        <v>263</v>
      </c>
      <c r="E638" s="281"/>
      <c r="F638" s="257"/>
      <c r="G638" s="249"/>
      <c r="H638" s="249">
        <v>20297</v>
      </c>
      <c r="I638" s="262">
        <f>H638/$H$645</f>
        <v>0.33077474658583489</v>
      </c>
      <c r="J638" s="253" t="s">
        <v>263</v>
      </c>
      <c r="K638" s="226"/>
    </row>
    <row r="639" spans="1:11" ht="10.15" customHeight="1" x14ac:dyDescent="0.2">
      <c r="A639" s="249"/>
      <c r="B639" s="249"/>
      <c r="C639" s="284"/>
      <c r="D639" s="244" t="s">
        <v>240</v>
      </c>
      <c r="E639" s="281"/>
      <c r="F639" s="257"/>
      <c r="G639" s="249"/>
      <c r="H639" s="242">
        <v>1960</v>
      </c>
      <c r="I639" s="262">
        <f t="shared" ref="I639:I644" si="10">H639/$H$645</f>
        <v>3.1941592516541183E-2</v>
      </c>
      <c r="J639" s="252"/>
      <c r="K639" s="226"/>
    </row>
    <row r="640" spans="1:11" ht="10.15" customHeight="1" x14ac:dyDescent="0.2">
      <c r="A640" s="249"/>
      <c r="B640" s="249"/>
      <c r="C640" s="284"/>
      <c r="D640" s="244" t="s">
        <v>241</v>
      </c>
      <c r="E640" s="281"/>
      <c r="F640" s="257"/>
      <c r="G640" s="249"/>
      <c r="H640" s="242">
        <v>9035</v>
      </c>
      <c r="I640" s="262">
        <f t="shared" si="10"/>
        <v>0.14724096346272939</v>
      </c>
      <c r="J640" s="252"/>
      <c r="K640" s="226"/>
    </row>
    <row r="641" spans="1:11" ht="10.15" customHeight="1" x14ac:dyDescent="0.2">
      <c r="A641" s="249"/>
      <c r="B641" s="249"/>
      <c r="C641" s="284"/>
      <c r="D641" s="244" t="s">
        <v>286</v>
      </c>
      <c r="E641" s="281"/>
      <c r="F641" s="257"/>
      <c r="G641" s="249"/>
      <c r="H641" s="242">
        <v>1555</v>
      </c>
      <c r="I641" s="262">
        <f t="shared" si="10"/>
        <v>2.5341416511847722E-2</v>
      </c>
      <c r="J641" s="252"/>
      <c r="K641" s="226"/>
    </row>
    <row r="642" spans="1:11" ht="10.15" customHeight="1" x14ac:dyDescent="0.2">
      <c r="A642" s="249"/>
      <c r="B642" s="249"/>
      <c r="C642" s="284"/>
      <c r="D642" s="244" t="s">
        <v>244</v>
      </c>
      <c r="E642" s="281"/>
      <c r="F642" s="257"/>
      <c r="G642" s="249"/>
      <c r="H642" s="242">
        <v>4604</v>
      </c>
      <c r="I642" s="262">
        <f t="shared" si="10"/>
        <v>7.5030148952120207E-2</v>
      </c>
      <c r="J642" s="252"/>
      <c r="K642" s="226"/>
    </row>
    <row r="643" spans="1:11" ht="10.15" customHeight="1" x14ac:dyDescent="0.2">
      <c r="A643" s="249"/>
      <c r="B643" s="249"/>
      <c r="C643" s="284"/>
      <c r="D643" s="244" t="s">
        <v>264</v>
      </c>
      <c r="E643" s="281"/>
      <c r="F643" s="257"/>
      <c r="G643" s="249"/>
      <c r="H643" s="242">
        <v>6594</v>
      </c>
      <c r="I643" s="262">
        <f t="shared" si="10"/>
        <v>0.10746064339493498</v>
      </c>
      <c r="J643" s="252"/>
      <c r="K643" s="226"/>
    </row>
    <row r="644" spans="1:11" ht="10.15" customHeight="1" x14ac:dyDescent="0.2">
      <c r="A644" s="249"/>
      <c r="B644" s="249"/>
      <c r="C644" s="284"/>
      <c r="D644" s="244" t="s">
        <v>290</v>
      </c>
      <c r="E644" s="281"/>
      <c r="F644" s="257"/>
      <c r="G644" s="249"/>
      <c r="H644" s="242">
        <v>17317</v>
      </c>
      <c r="I644" s="262">
        <f t="shared" si="10"/>
        <v>0.28221048857599168</v>
      </c>
      <c r="J644" s="252" t="s">
        <v>290</v>
      </c>
      <c r="K644" s="226"/>
    </row>
    <row r="645" spans="1:11" ht="10.15" customHeight="1" x14ac:dyDescent="0.2">
      <c r="A645" s="249"/>
      <c r="B645" s="249"/>
      <c r="C645" s="284"/>
      <c r="D645" s="243" t="s">
        <v>33</v>
      </c>
      <c r="E645" s="281"/>
      <c r="F645" s="257"/>
      <c r="G645" s="249"/>
      <c r="H645" s="265">
        <f>SUM(H638:H644)</f>
        <v>61362</v>
      </c>
      <c r="I645" s="256">
        <f>SUM(I638:I644)</f>
        <v>1</v>
      </c>
      <c r="J645" s="249"/>
      <c r="K645" s="226"/>
    </row>
    <row r="646" spans="1:11" ht="10.15" customHeight="1" x14ac:dyDescent="0.2">
      <c r="A646" s="249"/>
      <c r="B646" s="249"/>
      <c r="C646" s="284"/>
      <c r="D646" s="243"/>
      <c r="E646" s="281"/>
      <c r="F646" s="257"/>
      <c r="G646" s="249"/>
      <c r="H646" s="272"/>
      <c r="I646" s="262"/>
      <c r="J646" s="249"/>
      <c r="K646" s="226"/>
    </row>
    <row r="647" spans="1:11" ht="10.15" customHeight="1" x14ac:dyDescent="0.2">
      <c r="A647" s="261" t="s">
        <v>19</v>
      </c>
      <c r="B647" s="264">
        <v>288</v>
      </c>
      <c r="C647" s="243" t="s">
        <v>291</v>
      </c>
      <c r="D647" s="249" t="s">
        <v>542</v>
      </c>
      <c r="E647" s="281">
        <v>38718</v>
      </c>
      <c r="F647" s="257">
        <v>6606630</v>
      </c>
      <c r="G647" s="296">
        <f>6606630/18195</f>
        <v>363.10140148392418</v>
      </c>
      <c r="H647" s="249"/>
      <c r="I647" s="262"/>
      <c r="J647" s="249"/>
      <c r="K647" s="226"/>
    </row>
    <row r="648" spans="1:11" ht="10.15" customHeight="1" x14ac:dyDescent="0.2">
      <c r="A648" s="249"/>
      <c r="B648" s="249"/>
      <c r="C648" s="284"/>
      <c r="D648" s="244" t="s">
        <v>316</v>
      </c>
      <c r="E648" s="281"/>
      <c r="F648" s="257"/>
      <c r="G648" s="249"/>
      <c r="H648" s="242">
        <v>1113</v>
      </c>
      <c r="I648" s="262">
        <f>H648/$H$651</f>
        <v>7.9642218246869415E-2</v>
      </c>
      <c r="J648" s="252"/>
      <c r="K648" s="226"/>
    </row>
    <row r="649" spans="1:11" ht="10.15" customHeight="1" x14ac:dyDescent="0.2">
      <c r="A649" s="249"/>
      <c r="B649" s="249"/>
      <c r="C649" s="284"/>
      <c r="D649" s="244" t="s">
        <v>290</v>
      </c>
      <c r="E649" s="281"/>
      <c r="F649" s="257"/>
      <c r="G649" s="249"/>
      <c r="H649" s="242">
        <v>5107</v>
      </c>
      <c r="I649" s="262">
        <f>H649/$H$651</f>
        <v>0.36543828264758499</v>
      </c>
      <c r="J649" s="252"/>
      <c r="K649" s="226"/>
    </row>
    <row r="650" spans="1:11" ht="10.15" customHeight="1" x14ac:dyDescent="0.2">
      <c r="A650" s="249"/>
      <c r="B650" s="249"/>
      <c r="C650" s="284"/>
      <c r="D650" s="254" t="s">
        <v>246</v>
      </c>
      <c r="E650" s="281"/>
      <c r="F650" s="257"/>
      <c r="G650" s="249"/>
      <c r="H650" s="242">
        <v>7755</v>
      </c>
      <c r="I650" s="262">
        <f>H650/$H$651</f>
        <v>0.55491949910554561</v>
      </c>
      <c r="J650" s="252" t="s">
        <v>543</v>
      </c>
      <c r="K650" s="226"/>
    </row>
    <row r="651" spans="1:11" ht="10.15" customHeight="1" x14ac:dyDescent="0.2">
      <c r="A651" s="249"/>
      <c r="B651" s="249"/>
      <c r="C651" s="284"/>
      <c r="D651" s="243" t="s">
        <v>33</v>
      </c>
      <c r="E651" s="281"/>
      <c r="F651" s="257"/>
      <c r="G651" s="249"/>
      <c r="H651" s="265">
        <f>SUM(H648:H650)</f>
        <v>13975</v>
      </c>
      <c r="I651" s="256">
        <f>SUM(I648:I650)</f>
        <v>1</v>
      </c>
      <c r="J651" s="249"/>
      <c r="K651" s="226"/>
    </row>
    <row r="652" spans="1:11" ht="10.15" customHeight="1" x14ac:dyDescent="0.2">
      <c r="A652" s="249"/>
      <c r="B652" s="249"/>
      <c r="C652" s="284"/>
      <c r="D652" s="243"/>
      <c r="E652" s="281"/>
      <c r="F652" s="257"/>
      <c r="G652" s="249"/>
      <c r="H652" s="272"/>
      <c r="I652" s="262"/>
      <c r="J652" s="249"/>
      <c r="K652" s="226"/>
    </row>
    <row r="653" spans="1:11" ht="10.15" customHeight="1" x14ac:dyDescent="0.2">
      <c r="A653" s="261" t="s">
        <v>19</v>
      </c>
      <c r="B653" s="264">
        <v>274</v>
      </c>
      <c r="C653" s="243" t="s">
        <v>291</v>
      </c>
      <c r="D653" s="249" t="s">
        <v>548</v>
      </c>
      <c r="E653" s="281">
        <v>39234</v>
      </c>
      <c r="F653" s="257">
        <v>14730822</v>
      </c>
      <c r="G653" s="297">
        <v>46245</v>
      </c>
      <c r="H653" s="249"/>
      <c r="I653" s="262"/>
      <c r="J653" s="249"/>
      <c r="K653" s="226"/>
    </row>
    <row r="654" spans="1:11" ht="10.15" customHeight="1" x14ac:dyDescent="0.2">
      <c r="A654" s="249"/>
      <c r="B654" s="249"/>
      <c r="C654" s="284"/>
      <c r="D654" s="244" t="s">
        <v>241</v>
      </c>
      <c r="E654" s="281"/>
      <c r="F654" s="257"/>
      <c r="G654" s="249"/>
      <c r="H654" s="242">
        <v>19572</v>
      </c>
      <c r="I654" s="262">
        <f>H654/$H$657</f>
        <v>0.62267752608806315</v>
      </c>
      <c r="J654" s="252" t="s">
        <v>241</v>
      </c>
      <c r="K654" s="226"/>
    </row>
    <row r="655" spans="1:11" ht="10.15" customHeight="1" x14ac:dyDescent="0.2">
      <c r="A655" s="249"/>
      <c r="B655" s="249"/>
      <c r="C655" s="284"/>
      <c r="D655" s="244" t="s">
        <v>264</v>
      </c>
      <c r="E655" s="281"/>
      <c r="F655" s="257"/>
      <c r="G655" s="249"/>
      <c r="H655" s="242">
        <v>4418</v>
      </c>
      <c r="I655" s="262">
        <f>H655/$H$657</f>
        <v>0.14055739373886486</v>
      </c>
      <c r="J655" s="252"/>
      <c r="K655" s="226"/>
    </row>
    <row r="656" spans="1:11" ht="10.15" customHeight="1" x14ac:dyDescent="0.2">
      <c r="A656" s="249"/>
      <c r="B656" s="249"/>
      <c r="C656" s="284"/>
      <c r="D656" s="244" t="s">
        <v>290</v>
      </c>
      <c r="E656" s="281"/>
      <c r="F656" s="257"/>
      <c r="G656" s="249"/>
      <c r="H656" s="242">
        <v>7442</v>
      </c>
      <c r="I656" s="262">
        <f>H656/$H$657</f>
        <v>0.23676508017307202</v>
      </c>
      <c r="J656" s="252"/>
      <c r="K656" s="226"/>
    </row>
    <row r="657" spans="1:68" ht="10.15" customHeight="1" x14ac:dyDescent="0.2">
      <c r="A657" s="249"/>
      <c r="B657" s="249"/>
      <c r="C657" s="284"/>
      <c r="D657" s="243" t="s">
        <v>33</v>
      </c>
      <c r="E657" s="281"/>
      <c r="F657" s="257"/>
      <c r="G657" s="249"/>
      <c r="H657" s="265">
        <f>SUM(H654:H656)</f>
        <v>31432</v>
      </c>
      <c r="I657" s="256">
        <f>SUM(I654:I656)</f>
        <v>1</v>
      </c>
      <c r="J657" s="249"/>
      <c r="K657" s="226"/>
    </row>
    <row r="658" spans="1:68" ht="10.15" customHeight="1" x14ac:dyDescent="0.2">
      <c r="A658" s="249"/>
      <c r="B658" s="249"/>
      <c r="C658" s="284"/>
      <c r="D658" s="243"/>
      <c r="E658" s="281"/>
      <c r="F658" s="257"/>
      <c r="G658" s="249"/>
      <c r="H658" s="272"/>
      <c r="I658" s="262"/>
      <c r="J658" s="249"/>
      <c r="K658" s="226"/>
    </row>
    <row r="659" spans="1:68" ht="10.15" customHeight="1" x14ac:dyDescent="0.2">
      <c r="A659" s="261" t="s">
        <v>19</v>
      </c>
      <c r="B659" s="264">
        <v>284</v>
      </c>
      <c r="C659" s="243" t="s">
        <v>291</v>
      </c>
      <c r="D659" s="249" t="s">
        <v>549</v>
      </c>
      <c r="E659" s="281">
        <v>39173</v>
      </c>
      <c r="F659" s="257">
        <v>10928770</v>
      </c>
      <c r="G659" s="297">
        <v>47756</v>
      </c>
      <c r="H659" s="249"/>
      <c r="I659" s="262"/>
      <c r="J659" s="249"/>
      <c r="K659" s="226"/>
    </row>
    <row r="660" spans="1:68" ht="10.15" customHeight="1" x14ac:dyDescent="0.2">
      <c r="A660" s="249"/>
      <c r="B660" s="249"/>
      <c r="C660" s="284"/>
      <c r="D660" s="244" t="s">
        <v>263</v>
      </c>
      <c r="E660" s="281"/>
      <c r="F660" s="257"/>
      <c r="G660" s="249"/>
      <c r="H660" s="242">
        <v>950</v>
      </c>
      <c r="I660" s="262">
        <f>H660/$H$664</f>
        <v>3.5708915952488346E-2</v>
      </c>
      <c r="J660" s="252"/>
      <c r="K660" s="226"/>
    </row>
    <row r="661" spans="1:68" ht="10.15" customHeight="1" x14ac:dyDescent="0.2">
      <c r="A661" s="249"/>
      <c r="B661" s="249"/>
      <c r="C661" s="284"/>
      <c r="D661" s="244" t="s">
        <v>286</v>
      </c>
      <c r="E661" s="281"/>
      <c r="F661" s="257"/>
      <c r="G661" s="249"/>
      <c r="H661" s="242">
        <v>2900</v>
      </c>
      <c r="I661" s="262">
        <f>H661/$H$664</f>
        <v>0.10900616448654338</v>
      </c>
      <c r="J661" s="252"/>
      <c r="K661" s="226"/>
    </row>
    <row r="662" spans="1:68" ht="10.15" customHeight="1" x14ac:dyDescent="0.2">
      <c r="A662" s="249"/>
      <c r="B662" s="249"/>
      <c r="C662" s="284"/>
      <c r="D662" s="244" t="s">
        <v>290</v>
      </c>
      <c r="E662" s="281"/>
      <c r="F662" s="257"/>
      <c r="G662" s="249"/>
      <c r="H662" s="242">
        <v>15324</v>
      </c>
      <c r="I662" s="262">
        <f>H662/$H$664</f>
        <v>0.57600360847992782</v>
      </c>
      <c r="J662" s="252" t="s">
        <v>290</v>
      </c>
      <c r="K662" s="226"/>
    </row>
    <row r="663" spans="1:68" ht="10.15" customHeight="1" x14ac:dyDescent="0.2">
      <c r="A663" s="249"/>
      <c r="B663" s="249"/>
      <c r="C663" s="284"/>
      <c r="D663" s="244" t="s">
        <v>480</v>
      </c>
      <c r="E663" s="281"/>
      <c r="F663" s="257"/>
      <c r="G663" s="249"/>
      <c r="H663" s="242">
        <v>7430</v>
      </c>
      <c r="I663" s="262">
        <f>H663/$H$664</f>
        <v>0.27928131108104043</v>
      </c>
      <c r="J663" s="252"/>
      <c r="K663" s="226"/>
    </row>
    <row r="664" spans="1:68" ht="10.15" customHeight="1" x14ac:dyDescent="0.2">
      <c r="A664" s="249"/>
      <c r="B664" s="249"/>
      <c r="C664" s="284"/>
      <c r="D664" s="243" t="s">
        <v>33</v>
      </c>
      <c r="E664" s="281"/>
      <c r="F664" s="257"/>
      <c r="G664" s="249"/>
      <c r="H664" s="265">
        <f>SUM(H660:H663)</f>
        <v>26604</v>
      </c>
      <c r="I664" s="298">
        <f>SUM(I660:I663)</f>
        <v>1</v>
      </c>
      <c r="J664" s="249"/>
      <c r="K664" s="226"/>
    </row>
    <row r="665" spans="1:68" ht="10.15" customHeight="1" x14ac:dyDescent="0.2">
      <c r="A665" s="249"/>
      <c r="B665" s="249"/>
      <c r="C665" s="284"/>
      <c r="D665" s="243"/>
      <c r="E665" s="281"/>
      <c r="F665" s="257"/>
      <c r="G665" s="249"/>
      <c r="H665" s="249"/>
      <c r="I665" s="299"/>
      <c r="J665" s="249"/>
      <c r="K665" s="226"/>
    </row>
    <row r="666" spans="1:68" ht="10.15" customHeight="1" x14ac:dyDescent="0.2">
      <c r="A666" s="261" t="s">
        <v>19</v>
      </c>
      <c r="B666" s="264" t="s">
        <v>566</v>
      </c>
      <c r="C666" s="243" t="s">
        <v>291</v>
      </c>
      <c r="D666" s="249" t="s">
        <v>567</v>
      </c>
      <c r="E666" s="281">
        <v>39722</v>
      </c>
      <c r="F666" s="257">
        <v>9698771</v>
      </c>
      <c r="G666" s="297">
        <v>42755</v>
      </c>
      <c r="H666" s="249"/>
      <c r="I666" s="299"/>
      <c r="J666" s="249"/>
      <c r="K666" s="226"/>
    </row>
    <row r="667" spans="1:68" ht="10.15" customHeight="1" x14ac:dyDescent="0.2">
      <c r="A667" s="249"/>
      <c r="B667" s="249"/>
      <c r="C667" s="284"/>
      <c r="D667" s="244" t="s">
        <v>240</v>
      </c>
      <c r="E667" s="281"/>
      <c r="F667" s="257"/>
      <c r="G667" s="249"/>
      <c r="H667" s="249">
        <v>4290</v>
      </c>
      <c r="I667" s="262">
        <f>H667/$H$670</f>
        <v>0.18393860138061141</v>
      </c>
      <c r="J667" s="249"/>
      <c r="K667" s="226"/>
    </row>
    <row r="668" spans="1:68" s="8" customFormat="1" ht="10.15" customHeight="1" x14ac:dyDescent="0.2">
      <c r="A668" s="249"/>
      <c r="B668" s="249"/>
      <c r="C668" s="284"/>
      <c r="D668" s="244" t="s">
        <v>264</v>
      </c>
      <c r="E668" s="281"/>
      <c r="F668" s="257"/>
      <c r="G668" s="249"/>
      <c r="H668" s="249">
        <v>4724</v>
      </c>
      <c r="I668" s="262">
        <f>H668/$H$670</f>
        <v>0.20254684217296232</v>
      </c>
      <c r="J668" s="249"/>
      <c r="K668" s="137"/>
      <c r="L668" s="9"/>
      <c r="M668" s="9"/>
      <c r="N668" s="9"/>
      <c r="O668" s="9"/>
      <c r="P668" s="9"/>
      <c r="Q668" s="9"/>
      <c r="R668" s="9"/>
      <c r="S668" s="9"/>
      <c r="T668" s="9"/>
      <c r="U668" s="9"/>
      <c r="V668" s="9"/>
      <c r="W668" s="9"/>
      <c r="X668" s="9"/>
      <c r="Y668" s="9"/>
      <c r="Z668" s="9"/>
      <c r="AA668" s="9"/>
      <c r="AB668" s="9"/>
      <c r="AC668" s="9"/>
      <c r="AD668" s="9"/>
      <c r="AE668" s="9"/>
      <c r="AF668" s="9"/>
      <c r="AG668" s="9"/>
      <c r="AH668" s="9"/>
      <c r="AI668" s="9"/>
      <c r="AJ668" s="9"/>
      <c r="AK668" s="9"/>
      <c r="AL668" s="9"/>
      <c r="AM668" s="9"/>
      <c r="AN668" s="9"/>
      <c r="AO668" s="9"/>
      <c r="AP668" s="9"/>
      <c r="AQ668" s="9"/>
      <c r="AR668" s="9"/>
      <c r="AS668" s="9"/>
      <c r="AT668" s="9"/>
      <c r="AU668" s="9"/>
      <c r="AV668" s="9"/>
      <c r="AW668" s="9"/>
      <c r="AX668" s="9"/>
      <c r="AY668" s="9"/>
      <c r="AZ668" s="9"/>
      <c r="BA668" s="9"/>
      <c r="BB668" s="9"/>
      <c r="BC668" s="9"/>
      <c r="BD668" s="9"/>
      <c r="BE668" s="9"/>
      <c r="BF668" s="9"/>
      <c r="BG668" s="9"/>
      <c r="BH668" s="9"/>
      <c r="BI668" s="9"/>
      <c r="BJ668" s="9"/>
      <c r="BK668" s="9"/>
      <c r="BL668" s="9"/>
      <c r="BM668" s="9"/>
      <c r="BN668" s="9"/>
      <c r="BO668" s="9"/>
      <c r="BP668" s="9"/>
    </row>
    <row r="669" spans="1:68" s="8" customFormat="1" ht="10.15" customHeight="1" x14ac:dyDescent="0.2">
      <c r="A669" s="249"/>
      <c r="B669" s="249"/>
      <c r="C669" s="284"/>
      <c r="D669" s="244" t="s">
        <v>290</v>
      </c>
      <c r="E669" s="281"/>
      <c r="F669" s="257"/>
      <c r="G669" s="249"/>
      <c r="H669" s="249">
        <v>14309</v>
      </c>
      <c r="I669" s="262">
        <f>H669/$H$670</f>
        <v>0.61351455644642627</v>
      </c>
      <c r="J669" s="252" t="s">
        <v>290</v>
      </c>
      <c r="K669" s="137"/>
      <c r="L669" s="9"/>
      <c r="M669" s="9"/>
      <c r="N669" s="9"/>
      <c r="O669" s="9"/>
      <c r="P669" s="9"/>
      <c r="Q669" s="9"/>
      <c r="R669" s="9"/>
      <c r="S669" s="9"/>
      <c r="T669" s="9"/>
      <c r="U669" s="9"/>
      <c r="V669" s="9"/>
      <c r="W669" s="9"/>
      <c r="X669" s="9"/>
      <c r="Y669" s="9"/>
      <c r="Z669" s="9"/>
      <c r="AA669" s="9"/>
      <c r="AB669" s="9"/>
      <c r="AC669" s="9"/>
      <c r="AD669" s="9"/>
      <c r="AE669" s="9"/>
      <c r="AF669" s="9"/>
      <c r="AG669" s="9"/>
      <c r="AH669" s="9"/>
      <c r="AI669" s="9"/>
      <c r="AJ669" s="9"/>
      <c r="AK669" s="9"/>
      <c r="AL669" s="9"/>
      <c r="AM669" s="9"/>
      <c r="AN669" s="9"/>
      <c r="AO669" s="9"/>
      <c r="AP669" s="9"/>
      <c r="AQ669" s="9"/>
      <c r="AR669" s="9"/>
      <c r="AS669" s="9"/>
      <c r="AT669" s="9"/>
      <c r="AU669" s="9"/>
      <c r="AV669" s="9"/>
      <c r="AW669" s="9"/>
      <c r="AX669" s="9"/>
      <c r="AY669" s="9"/>
      <c r="AZ669" s="9"/>
      <c r="BA669" s="9"/>
      <c r="BB669" s="9"/>
      <c r="BC669" s="9"/>
      <c r="BD669" s="9"/>
      <c r="BE669" s="9"/>
      <c r="BF669" s="9"/>
      <c r="BG669" s="9"/>
      <c r="BH669" s="9"/>
      <c r="BI669" s="9"/>
      <c r="BJ669" s="9"/>
      <c r="BK669" s="9"/>
      <c r="BL669" s="9"/>
      <c r="BM669" s="9"/>
      <c r="BN669" s="9"/>
      <c r="BO669" s="9"/>
      <c r="BP669" s="9"/>
    </row>
    <row r="670" spans="1:68" s="8" customFormat="1" ht="10.15" customHeight="1" x14ac:dyDescent="0.2">
      <c r="A670" s="249"/>
      <c r="B670" s="249"/>
      <c r="C670" s="284"/>
      <c r="D670" s="243" t="s">
        <v>33</v>
      </c>
      <c r="E670" s="281"/>
      <c r="F670" s="257"/>
      <c r="G670" s="249"/>
      <c r="H670" s="265">
        <f>SUM(H667:H669)</f>
        <v>23323</v>
      </c>
      <c r="I670" s="298">
        <f>SUM(I667:I669)</f>
        <v>1</v>
      </c>
      <c r="J670" s="249"/>
      <c r="K670" s="137"/>
      <c r="L670" s="9"/>
      <c r="M670" s="9"/>
      <c r="N670" s="9"/>
      <c r="O670" s="9"/>
      <c r="P670" s="9"/>
      <c r="Q670" s="9"/>
      <c r="R670" s="9"/>
      <c r="S670" s="9"/>
      <c r="T670" s="9"/>
      <c r="U670" s="9"/>
      <c r="V670" s="9"/>
      <c r="W670" s="9"/>
      <c r="X670" s="9"/>
      <c r="Y670" s="9"/>
      <c r="Z670" s="9"/>
      <c r="AA670" s="9"/>
      <c r="AB670" s="9"/>
      <c r="AC670" s="9"/>
      <c r="AD670" s="9"/>
      <c r="AE670" s="9"/>
      <c r="AF670" s="9"/>
      <c r="AG670" s="9"/>
      <c r="AH670" s="9"/>
      <c r="AI670" s="9"/>
      <c r="AJ670" s="9"/>
      <c r="AK670" s="9"/>
      <c r="AL670" s="9"/>
      <c r="AM670" s="9"/>
      <c r="AN670" s="9"/>
      <c r="AO670" s="9"/>
      <c r="AP670" s="9"/>
      <c r="AQ670" s="9"/>
      <c r="AR670" s="9"/>
      <c r="AS670" s="9"/>
      <c r="AT670" s="9"/>
      <c r="AU670" s="9"/>
      <c r="AV670" s="9"/>
      <c r="AW670" s="9"/>
      <c r="AX670" s="9"/>
      <c r="AY670" s="9"/>
      <c r="AZ670" s="9"/>
      <c r="BA670" s="9"/>
      <c r="BB670" s="9"/>
      <c r="BC670" s="9"/>
      <c r="BD670" s="9"/>
      <c r="BE670" s="9"/>
      <c r="BF670" s="9"/>
      <c r="BG670" s="9"/>
      <c r="BH670" s="9"/>
      <c r="BI670" s="9"/>
      <c r="BJ670" s="9"/>
      <c r="BK670" s="9"/>
      <c r="BL670" s="9"/>
      <c r="BM670" s="9"/>
      <c r="BN670" s="9"/>
      <c r="BO670" s="9"/>
      <c r="BP670" s="9"/>
    </row>
    <row r="671" spans="1:68" s="8" customFormat="1" ht="10.15" customHeight="1" x14ac:dyDescent="0.2">
      <c r="A671" s="249"/>
      <c r="B671" s="249"/>
      <c r="C671" s="284"/>
      <c r="D671" s="243"/>
      <c r="E671" s="281"/>
      <c r="F671" s="257"/>
      <c r="G671" s="249"/>
      <c r="H671" s="249"/>
      <c r="I671" s="299"/>
      <c r="J671" s="249"/>
      <c r="K671" s="137"/>
      <c r="L671" s="9"/>
      <c r="M671" s="9"/>
      <c r="N671" s="9"/>
      <c r="O671" s="9"/>
      <c r="P671" s="9"/>
      <c r="Q671" s="9"/>
      <c r="R671" s="9"/>
      <c r="S671" s="9"/>
      <c r="T671" s="9"/>
      <c r="U671" s="9"/>
      <c r="V671" s="9"/>
      <c r="W671" s="9"/>
      <c r="X671" s="9"/>
      <c r="Y671" s="9"/>
      <c r="Z671" s="9"/>
      <c r="AA671" s="9"/>
      <c r="AB671" s="9"/>
      <c r="AC671" s="9"/>
      <c r="AD671" s="9"/>
      <c r="AE671" s="9"/>
      <c r="AF671" s="9"/>
      <c r="AG671" s="9"/>
      <c r="AH671" s="9"/>
      <c r="AI671" s="9"/>
      <c r="AJ671" s="9"/>
      <c r="AK671" s="9"/>
      <c r="AL671" s="9"/>
      <c r="AM671" s="9"/>
      <c r="AN671" s="9"/>
      <c r="AO671" s="9"/>
      <c r="AP671" s="9"/>
      <c r="AQ671" s="9"/>
      <c r="AR671" s="9"/>
      <c r="AS671" s="9"/>
      <c r="AT671" s="9"/>
      <c r="AU671" s="9"/>
      <c r="AV671" s="9"/>
      <c r="AW671" s="9"/>
      <c r="AX671" s="9"/>
      <c r="AY671" s="9"/>
      <c r="AZ671" s="9"/>
      <c r="BA671" s="9"/>
      <c r="BB671" s="9"/>
      <c r="BC671" s="9"/>
      <c r="BD671" s="9"/>
      <c r="BE671" s="9"/>
      <c r="BF671" s="9"/>
      <c r="BG671" s="9"/>
      <c r="BH671" s="9"/>
      <c r="BI671" s="9"/>
      <c r="BJ671" s="9"/>
      <c r="BK671" s="9"/>
      <c r="BL671" s="9"/>
      <c r="BM671" s="9"/>
      <c r="BN671" s="9"/>
      <c r="BO671" s="9"/>
      <c r="BP671" s="9"/>
    </row>
    <row r="672" spans="1:68" s="8" customFormat="1" ht="10.15" customHeight="1" x14ac:dyDescent="0.2">
      <c r="A672" s="261" t="s">
        <v>19</v>
      </c>
      <c r="B672" s="249"/>
      <c r="C672" s="261" t="s">
        <v>291</v>
      </c>
      <c r="D672" s="244" t="s">
        <v>607</v>
      </c>
      <c r="E672" s="281">
        <v>40210</v>
      </c>
      <c r="F672" s="257">
        <v>4897677</v>
      </c>
      <c r="G672" s="249">
        <v>24220</v>
      </c>
      <c r="H672" s="249"/>
      <c r="I672" s="299"/>
      <c r="J672" s="249"/>
      <c r="K672" s="137"/>
      <c r="L672" s="9"/>
      <c r="M672" s="9"/>
      <c r="N672" s="9"/>
      <c r="O672" s="9"/>
      <c r="P672" s="9"/>
      <c r="Q672" s="9"/>
      <c r="R672" s="9"/>
      <c r="S672" s="9"/>
      <c r="T672" s="9"/>
      <c r="U672" s="9"/>
      <c r="V672" s="9"/>
      <c r="W672" s="9"/>
      <c r="X672" s="9"/>
      <c r="Y672" s="9"/>
      <c r="Z672" s="9"/>
      <c r="AA672" s="9"/>
      <c r="AB672" s="9"/>
      <c r="AC672" s="9"/>
      <c r="AD672" s="9"/>
      <c r="AE672" s="9"/>
      <c r="AF672" s="9"/>
      <c r="AG672" s="9"/>
      <c r="AH672" s="9"/>
      <c r="AI672" s="9"/>
      <c r="AJ672" s="9"/>
      <c r="AK672" s="9"/>
      <c r="AL672" s="9"/>
      <c r="AM672" s="9"/>
      <c r="AN672" s="9"/>
      <c r="AO672" s="9"/>
      <c r="AP672" s="9"/>
      <c r="AQ672" s="9"/>
      <c r="AR672" s="9"/>
      <c r="AS672" s="9"/>
      <c r="AT672" s="9"/>
      <c r="AU672" s="9"/>
      <c r="AV672" s="9"/>
      <c r="AW672" s="9"/>
      <c r="AX672" s="9"/>
      <c r="AY672" s="9"/>
      <c r="AZ672" s="9"/>
      <c r="BA672" s="9"/>
      <c r="BB672" s="9"/>
      <c r="BC672" s="9"/>
      <c r="BD672" s="9"/>
      <c r="BE672" s="9"/>
      <c r="BF672" s="9"/>
      <c r="BG672" s="9"/>
      <c r="BH672" s="9"/>
      <c r="BI672" s="9"/>
      <c r="BJ672" s="9"/>
      <c r="BK672" s="9"/>
      <c r="BL672" s="9"/>
      <c r="BM672" s="9"/>
      <c r="BN672" s="9"/>
      <c r="BO672" s="9"/>
      <c r="BP672" s="9"/>
    </row>
    <row r="673" spans="1:68" ht="10.15" customHeight="1" x14ac:dyDescent="0.2">
      <c r="A673" s="249"/>
      <c r="B673" s="249"/>
      <c r="C673" s="284"/>
      <c r="D673" s="263" t="s">
        <v>597</v>
      </c>
      <c r="E673" s="281"/>
      <c r="F673" s="257"/>
      <c r="G673" s="249"/>
      <c r="H673" s="249">
        <v>200</v>
      </c>
      <c r="I673" s="262">
        <f>H673/$H$676</f>
        <v>1.0554089709762533E-2</v>
      </c>
      <c r="J673" s="249"/>
      <c r="K673" s="226"/>
    </row>
    <row r="674" spans="1:68" s="8" customFormat="1" ht="10.15" customHeight="1" x14ac:dyDescent="0.2">
      <c r="A674" s="249"/>
      <c r="B674" s="249"/>
      <c r="C674" s="284"/>
      <c r="D674" s="263" t="s">
        <v>599</v>
      </c>
      <c r="E674" s="281"/>
      <c r="F674" s="257"/>
      <c r="G674" s="249"/>
      <c r="H674" s="249">
        <v>8972</v>
      </c>
      <c r="I674" s="262">
        <f>H674/$H$676</f>
        <v>0.47345646437994721</v>
      </c>
      <c r="J674" s="300" t="s">
        <v>42</v>
      </c>
      <c r="K674" s="137"/>
      <c r="L674" s="9"/>
      <c r="M674" s="9"/>
      <c r="N674" s="9"/>
      <c r="O674" s="9"/>
      <c r="P674" s="9"/>
      <c r="Q674" s="9"/>
      <c r="R674" s="9"/>
      <c r="S674" s="9"/>
      <c r="T674" s="9"/>
      <c r="U674" s="9"/>
      <c r="V674" s="9"/>
      <c r="W674" s="9"/>
      <c r="X674" s="9"/>
      <c r="Y674" s="9"/>
      <c r="Z674" s="9"/>
      <c r="AA674" s="9"/>
      <c r="AB674" s="9"/>
      <c r="AC674" s="9"/>
      <c r="AD674" s="9"/>
      <c r="AE674" s="9"/>
      <c r="AF674" s="9"/>
      <c r="AG674" s="9"/>
      <c r="AH674" s="9"/>
      <c r="AI674" s="9"/>
      <c r="AJ674" s="9"/>
      <c r="AK674" s="9"/>
      <c r="AL674" s="9"/>
      <c r="AM674" s="9"/>
      <c r="AN674" s="9"/>
      <c r="AO674" s="9"/>
      <c r="AP674" s="9"/>
      <c r="AQ674" s="9"/>
      <c r="AR674" s="9"/>
      <c r="AS674" s="9"/>
      <c r="AT674" s="9"/>
      <c r="AU674" s="9"/>
      <c r="AV674" s="9"/>
      <c r="AW674" s="9"/>
      <c r="AX674" s="9"/>
      <c r="AY674" s="9"/>
      <c r="AZ674" s="9"/>
      <c r="BA674" s="9"/>
      <c r="BB674" s="9"/>
      <c r="BC674" s="9"/>
      <c r="BD674" s="9"/>
      <c r="BE674" s="9"/>
      <c r="BF674" s="9"/>
      <c r="BG674" s="9"/>
      <c r="BH674" s="9"/>
      <c r="BI674" s="9"/>
      <c r="BJ674" s="9"/>
      <c r="BK674" s="9"/>
      <c r="BL674" s="9"/>
      <c r="BM674" s="9"/>
      <c r="BN674" s="9"/>
      <c r="BO674" s="9"/>
      <c r="BP674" s="9"/>
    </row>
    <row r="675" spans="1:68" s="8" customFormat="1" ht="10.15" customHeight="1" x14ac:dyDescent="0.2">
      <c r="A675" s="249"/>
      <c r="B675" s="249"/>
      <c r="C675" s="284"/>
      <c r="D675" s="263" t="s">
        <v>600</v>
      </c>
      <c r="E675" s="281"/>
      <c r="F675" s="257"/>
      <c r="G675" s="249"/>
      <c r="H675" s="249">
        <v>9778</v>
      </c>
      <c r="I675" s="262">
        <f>H675/$H$676</f>
        <v>0.51598944591029028</v>
      </c>
      <c r="J675" s="300" t="s">
        <v>75</v>
      </c>
      <c r="K675" s="137"/>
      <c r="L675" s="9"/>
      <c r="M675" s="9"/>
      <c r="N675" s="9"/>
      <c r="O675" s="9"/>
      <c r="P675" s="9"/>
      <c r="Q675" s="9"/>
      <c r="R675" s="9"/>
      <c r="S675" s="9"/>
      <c r="T675" s="9"/>
      <c r="U675" s="9"/>
      <c r="V675" s="9"/>
      <c r="W675" s="9"/>
      <c r="X675" s="9"/>
      <c r="Y675" s="9"/>
      <c r="Z675" s="9"/>
      <c r="AA675" s="9"/>
      <c r="AB675" s="9"/>
      <c r="AC675" s="9"/>
      <c r="AD675" s="9"/>
      <c r="AE675" s="9"/>
      <c r="AF675" s="9"/>
      <c r="AG675" s="9"/>
      <c r="AH675" s="9"/>
      <c r="AI675" s="9"/>
      <c r="AJ675" s="9"/>
      <c r="AK675" s="9"/>
      <c r="AL675" s="9"/>
      <c r="AM675" s="9"/>
      <c r="AN675" s="9"/>
      <c r="AO675" s="9"/>
      <c r="AP675" s="9"/>
      <c r="AQ675" s="9"/>
      <c r="AR675" s="9"/>
      <c r="AS675" s="9"/>
      <c r="AT675" s="9"/>
      <c r="AU675" s="9"/>
      <c r="AV675" s="9"/>
      <c r="AW675" s="9"/>
      <c r="AX675" s="9"/>
      <c r="AY675" s="9"/>
      <c r="AZ675" s="9"/>
      <c r="BA675" s="9"/>
      <c r="BB675" s="9"/>
      <c r="BC675" s="9"/>
      <c r="BD675" s="9"/>
      <c r="BE675" s="9"/>
      <c r="BF675" s="9"/>
      <c r="BG675" s="9"/>
      <c r="BH675" s="9"/>
      <c r="BI675" s="9"/>
      <c r="BJ675" s="9"/>
      <c r="BK675" s="9"/>
      <c r="BL675" s="9"/>
      <c r="BM675" s="9"/>
      <c r="BN675" s="9"/>
      <c r="BO675" s="9"/>
      <c r="BP675" s="9"/>
    </row>
    <row r="676" spans="1:68" s="8" customFormat="1" ht="10.15" customHeight="1" x14ac:dyDescent="0.2">
      <c r="A676" s="249"/>
      <c r="B676" s="249"/>
      <c r="C676" s="284"/>
      <c r="D676" s="243" t="s">
        <v>33</v>
      </c>
      <c r="E676" s="281"/>
      <c r="F676" s="257"/>
      <c r="G676" s="249"/>
      <c r="H676" s="282">
        <f>SUM(H673:H675)</f>
        <v>18950</v>
      </c>
      <c r="I676" s="301">
        <f>SUM(I673:I675)</f>
        <v>1</v>
      </c>
      <c r="J676" s="249"/>
      <c r="K676" s="137"/>
      <c r="L676" s="9"/>
      <c r="M676" s="9"/>
      <c r="N676" s="9"/>
      <c r="O676" s="9"/>
      <c r="P676" s="9"/>
      <c r="Q676" s="9"/>
      <c r="R676" s="9"/>
      <c r="S676" s="9"/>
      <c r="T676" s="9"/>
      <c r="U676" s="9"/>
      <c r="V676" s="9"/>
      <c r="W676" s="9"/>
      <c r="X676" s="9"/>
      <c r="Y676" s="9"/>
      <c r="Z676" s="9"/>
      <c r="AA676" s="9"/>
      <c r="AB676" s="9"/>
      <c r="AC676" s="9"/>
      <c r="AD676" s="9"/>
      <c r="AE676" s="9"/>
      <c r="AF676" s="9"/>
      <c r="AG676" s="9"/>
      <c r="AH676" s="9"/>
      <c r="AI676" s="9"/>
      <c r="AJ676" s="9"/>
      <c r="AK676" s="9"/>
      <c r="AL676" s="9"/>
      <c r="AM676" s="9"/>
      <c r="AN676" s="9"/>
      <c r="AO676" s="9"/>
      <c r="AP676" s="9"/>
      <c r="AQ676" s="9"/>
      <c r="AR676" s="9"/>
      <c r="AS676" s="9"/>
      <c r="AT676" s="9"/>
      <c r="AU676" s="9"/>
      <c r="AV676" s="9"/>
      <c r="AW676" s="9"/>
      <c r="AX676" s="9"/>
      <c r="AY676" s="9"/>
      <c r="AZ676" s="9"/>
      <c r="BA676" s="9"/>
      <c r="BB676" s="9"/>
      <c r="BC676" s="9"/>
      <c r="BD676" s="9"/>
      <c r="BE676" s="9"/>
      <c r="BF676" s="9"/>
      <c r="BG676" s="9"/>
      <c r="BH676" s="9"/>
      <c r="BI676" s="9"/>
      <c r="BJ676" s="9"/>
      <c r="BK676" s="9"/>
      <c r="BL676" s="9"/>
      <c r="BM676" s="9"/>
      <c r="BN676" s="9"/>
      <c r="BO676" s="9"/>
      <c r="BP676" s="9"/>
    </row>
    <row r="677" spans="1:68" s="8" customFormat="1" ht="10.15" customHeight="1" x14ac:dyDescent="0.2">
      <c r="A677" s="249"/>
      <c r="B677" s="249"/>
      <c r="C677" s="284"/>
      <c r="D677" s="243"/>
      <c r="E677" s="281"/>
      <c r="F677" s="257"/>
      <c r="G677" s="249"/>
      <c r="H677" s="249"/>
      <c r="I677" s="299"/>
      <c r="J677" s="249"/>
      <c r="K677" s="137"/>
      <c r="L677" s="9"/>
      <c r="M677" s="9"/>
      <c r="N677" s="9"/>
      <c r="O677" s="9"/>
      <c r="P677" s="9"/>
      <c r="Q677" s="9"/>
      <c r="R677" s="9"/>
      <c r="S677" s="9"/>
      <c r="T677" s="9"/>
      <c r="U677" s="9"/>
      <c r="V677" s="9"/>
      <c r="W677" s="9"/>
      <c r="X677" s="9"/>
      <c r="Y677" s="9"/>
      <c r="Z677" s="9"/>
      <c r="AA677" s="9"/>
      <c r="AB677" s="9"/>
      <c r="AC677" s="9"/>
      <c r="AD677" s="9"/>
      <c r="AE677" s="9"/>
      <c r="AF677" s="9"/>
      <c r="AG677" s="9"/>
      <c r="AH677" s="9"/>
      <c r="AI677" s="9"/>
      <c r="AJ677" s="9"/>
      <c r="AK677" s="9"/>
      <c r="AL677" s="9"/>
      <c r="AM677" s="9"/>
      <c r="AN677" s="9"/>
      <c r="AO677" s="9"/>
      <c r="AP677" s="9"/>
      <c r="AQ677" s="9"/>
      <c r="AR677" s="9"/>
      <c r="AS677" s="9"/>
      <c r="AT677" s="9"/>
      <c r="AU677" s="9"/>
      <c r="AV677" s="9"/>
      <c r="AW677" s="9"/>
      <c r="AX677" s="9"/>
      <c r="AY677" s="9"/>
      <c r="AZ677" s="9"/>
      <c r="BA677" s="9"/>
      <c r="BB677" s="9"/>
      <c r="BC677" s="9"/>
      <c r="BD677" s="9"/>
      <c r="BE677" s="9"/>
      <c r="BF677" s="9"/>
      <c r="BG677" s="9"/>
      <c r="BH677" s="9"/>
      <c r="BI677" s="9"/>
      <c r="BJ677" s="9"/>
      <c r="BK677" s="9"/>
      <c r="BL677" s="9"/>
      <c r="BM677" s="9"/>
      <c r="BN677" s="9"/>
      <c r="BO677" s="9"/>
      <c r="BP677" s="9"/>
    </row>
    <row r="678" spans="1:68" s="8" customFormat="1" ht="10.15" customHeight="1" x14ac:dyDescent="0.2">
      <c r="A678" s="261" t="s">
        <v>19</v>
      </c>
      <c r="B678" s="284"/>
      <c r="C678" s="261" t="s">
        <v>291</v>
      </c>
      <c r="D678" s="244" t="s">
        <v>608</v>
      </c>
      <c r="E678" s="281">
        <v>40330</v>
      </c>
      <c r="F678" s="257">
        <v>24880488</v>
      </c>
      <c r="G678" s="249">
        <v>60337</v>
      </c>
      <c r="H678" s="249"/>
      <c r="I678" s="299"/>
      <c r="J678" s="249"/>
      <c r="K678" s="137"/>
      <c r="L678" s="9"/>
      <c r="M678" s="9"/>
      <c r="N678" s="9"/>
      <c r="O678" s="9"/>
      <c r="P678" s="9"/>
      <c r="Q678" s="9"/>
      <c r="R678" s="9"/>
      <c r="S678" s="9"/>
      <c r="T678" s="9"/>
      <c r="U678" s="9"/>
      <c r="V678" s="9"/>
      <c r="W678" s="9"/>
      <c r="X678" s="9"/>
      <c r="Y678" s="9"/>
      <c r="Z678" s="9"/>
      <c r="AA678" s="9"/>
      <c r="AB678" s="9"/>
      <c r="AC678" s="9"/>
      <c r="AD678" s="9"/>
      <c r="AE678" s="9"/>
      <c r="AF678" s="9"/>
      <c r="AG678" s="9"/>
      <c r="AH678" s="9"/>
      <c r="AI678" s="9"/>
      <c r="AJ678" s="9"/>
      <c r="AK678" s="9"/>
      <c r="AL678" s="9"/>
      <c r="AM678" s="9"/>
      <c r="AN678" s="9"/>
      <c r="AO678" s="9"/>
      <c r="AP678" s="9"/>
      <c r="AQ678" s="9"/>
      <c r="AR678" s="9"/>
      <c r="AS678" s="9"/>
      <c r="AT678" s="9"/>
      <c r="AU678" s="9"/>
      <c r="AV678" s="9"/>
      <c r="AW678" s="9"/>
      <c r="AX678" s="9"/>
      <c r="AY678" s="9"/>
      <c r="AZ678" s="9"/>
      <c r="BA678" s="9"/>
      <c r="BB678" s="9"/>
      <c r="BC678" s="9"/>
      <c r="BD678" s="9"/>
      <c r="BE678" s="9"/>
      <c r="BF678" s="9"/>
      <c r="BG678" s="9"/>
      <c r="BH678" s="9"/>
      <c r="BI678" s="9"/>
      <c r="BJ678" s="9"/>
      <c r="BK678" s="9"/>
      <c r="BL678" s="9"/>
      <c r="BM678" s="9"/>
      <c r="BN678" s="9"/>
      <c r="BO678" s="9"/>
      <c r="BP678" s="9"/>
    </row>
    <row r="679" spans="1:68" s="8" customFormat="1" ht="10.15" customHeight="1" x14ac:dyDescent="0.2">
      <c r="A679" s="249"/>
      <c r="B679" s="249"/>
      <c r="C679" s="284"/>
      <c r="D679" s="263" t="s">
        <v>597</v>
      </c>
      <c r="E679" s="281"/>
      <c r="F679" s="257"/>
      <c r="G679" s="249"/>
      <c r="H679" s="249">
        <v>2878</v>
      </c>
      <c r="I679" s="299">
        <f t="shared" ref="I679:I684" si="11">H679/$H$685</f>
        <v>7.6075176442599979E-2</v>
      </c>
      <c r="J679" s="249"/>
      <c r="K679" s="137"/>
      <c r="L679" s="9"/>
      <c r="M679" s="9"/>
      <c r="N679" s="9"/>
      <c r="O679" s="9"/>
      <c r="P679" s="9"/>
      <c r="Q679" s="9"/>
      <c r="R679" s="9"/>
      <c r="S679" s="9"/>
      <c r="T679" s="9"/>
      <c r="U679" s="9"/>
      <c r="V679" s="9"/>
      <c r="W679" s="9"/>
      <c r="X679" s="9"/>
      <c r="Y679" s="9"/>
      <c r="Z679" s="9"/>
      <c r="AA679" s="9"/>
      <c r="AB679" s="9"/>
      <c r="AC679" s="9"/>
      <c r="AD679" s="9"/>
      <c r="AE679" s="9"/>
      <c r="AF679" s="9"/>
      <c r="AG679" s="9"/>
      <c r="AH679" s="9"/>
      <c r="AI679" s="9"/>
      <c r="AJ679" s="9"/>
      <c r="AK679" s="9"/>
      <c r="AL679" s="9"/>
      <c r="AM679" s="9"/>
      <c r="AN679" s="9"/>
      <c r="AO679" s="9"/>
      <c r="AP679" s="9"/>
      <c r="AQ679" s="9"/>
      <c r="AR679" s="9"/>
      <c r="AS679" s="9"/>
      <c r="AT679" s="9"/>
      <c r="AU679" s="9"/>
      <c r="AV679" s="9"/>
      <c r="AW679" s="9"/>
      <c r="AX679" s="9"/>
      <c r="AY679" s="9"/>
      <c r="AZ679" s="9"/>
      <c r="BA679" s="9"/>
      <c r="BB679" s="9"/>
      <c r="BC679" s="9"/>
      <c r="BD679" s="9"/>
      <c r="BE679" s="9"/>
      <c r="BF679" s="9"/>
      <c r="BG679" s="9"/>
      <c r="BH679" s="9"/>
      <c r="BI679" s="9"/>
      <c r="BJ679" s="9"/>
      <c r="BK679" s="9"/>
      <c r="BL679" s="9"/>
      <c r="BM679" s="9"/>
      <c r="BN679" s="9"/>
      <c r="BO679" s="9"/>
      <c r="BP679" s="9"/>
    </row>
    <row r="680" spans="1:68" s="8" customFormat="1" ht="10.15" customHeight="1" x14ac:dyDescent="0.2">
      <c r="A680" s="249"/>
      <c r="B680" s="249"/>
      <c r="C680" s="284"/>
      <c r="D680" s="263" t="s">
        <v>609</v>
      </c>
      <c r="E680" s="281"/>
      <c r="F680" s="257"/>
      <c r="G680" s="249"/>
      <c r="H680" s="249">
        <v>23534</v>
      </c>
      <c r="I680" s="299">
        <f t="shared" si="11"/>
        <v>0.62208241918003748</v>
      </c>
      <c r="J680" s="248" t="s">
        <v>109</v>
      </c>
      <c r="K680" s="137"/>
      <c r="L680" s="9"/>
      <c r="M680" s="9"/>
      <c r="N680" s="9"/>
      <c r="O680" s="9"/>
      <c r="P680" s="9"/>
      <c r="Q680" s="9"/>
      <c r="R680" s="9"/>
      <c r="S680" s="9"/>
      <c r="T680" s="9"/>
      <c r="U680" s="9"/>
      <c r="V680" s="9"/>
      <c r="W680" s="9"/>
      <c r="X680" s="9"/>
      <c r="Y680" s="9"/>
      <c r="Z680" s="9"/>
      <c r="AA680" s="9"/>
      <c r="AB680" s="9"/>
      <c r="AC680" s="9"/>
      <c r="AD680" s="9"/>
      <c r="AE680" s="9"/>
      <c r="AF680" s="9"/>
      <c r="AG680" s="9"/>
      <c r="AH680" s="9"/>
      <c r="AI680" s="9"/>
      <c r="AJ680" s="9"/>
      <c r="AK680" s="9"/>
      <c r="AL680" s="9"/>
      <c r="AM680" s="9"/>
      <c r="AN680" s="9"/>
      <c r="AO680" s="9"/>
      <c r="AP680" s="9"/>
      <c r="AQ680" s="9"/>
      <c r="AR680" s="9"/>
      <c r="AS680" s="9"/>
      <c r="AT680" s="9"/>
      <c r="AU680" s="9"/>
      <c r="AV680" s="9"/>
      <c r="AW680" s="9"/>
      <c r="AX680" s="9"/>
      <c r="AY680" s="9"/>
      <c r="AZ680" s="9"/>
      <c r="BA680" s="9"/>
      <c r="BB680" s="9"/>
      <c r="BC680" s="9"/>
      <c r="BD680" s="9"/>
      <c r="BE680" s="9"/>
      <c r="BF680" s="9"/>
      <c r="BG680" s="9"/>
      <c r="BH680" s="9"/>
      <c r="BI680" s="9"/>
      <c r="BJ680" s="9"/>
      <c r="BK680" s="9"/>
      <c r="BL680" s="9"/>
      <c r="BM680" s="9"/>
      <c r="BN680" s="9"/>
      <c r="BO680" s="9"/>
      <c r="BP680" s="9"/>
    </row>
    <row r="681" spans="1:68" ht="10.15" customHeight="1" x14ac:dyDescent="0.2">
      <c r="A681" s="249"/>
      <c r="B681" s="249"/>
      <c r="C681" s="284"/>
      <c r="D681" s="263" t="s">
        <v>610</v>
      </c>
      <c r="E681" s="281"/>
      <c r="F681" s="257"/>
      <c r="G681" s="249"/>
      <c r="H681" s="249">
        <v>0</v>
      </c>
      <c r="I681" s="299">
        <f t="shared" si="11"/>
        <v>0</v>
      </c>
      <c r="J681" s="248"/>
      <c r="K681" s="226"/>
    </row>
    <row r="682" spans="1:68" ht="10.15" customHeight="1" x14ac:dyDescent="0.2">
      <c r="A682" s="249"/>
      <c r="B682" s="249"/>
      <c r="C682" s="284"/>
      <c r="D682" s="263" t="s">
        <v>605</v>
      </c>
      <c r="E682" s="281"/>
      <c r="F682" s="257"/>
      <c r="G682" s="249"/>
      <c r="H682" s="249">
        <v>10664</v>
      </c>
      <c r="I682" s="299">
        <f t="shared" si="11"/>
        <v>0.28188522640162827</v>
      </c>
      <c r="J682" s="248"/>
      <c r="K682" s="226"/>
    </row>
    <row r="683" spans="1:68" s="8" customFormat="1" ht="10.15" customHeight="1" x14ac:dyDescent="0.2">
      <c r="A683" s="249"/>
      <c r="B683" s="249"/>
      <c r="C683" s="284"/>
      <c r="D683" s="263" t="s">
        <v>611</v>
      </c>
      <c r="E683" s="281"/>
      <c r="F683" s="257"/>
      <c r="G683" s="249"/>
      <c r="H683" s="249">
        <v>0</v>
      </c>
      <c r="I683" s="299">
        <f t="shared" si="11"/>
        <v>0</v>
      </c>
      <c r="J683" s="249"/>
      <c r="K683" s="137"/>
      <c r="L683" s="9"/>
      <c r="M683" s="9"/>
      <c r="N683" s="9"/>
      <c r="O683" s="9"/>
      <c r="P683" s="9"/>
      <c r="Q683" s="9"/>
      <c r="R683" s="9"/>
      <c r="S683" s="9"/>
      <c r="T683" s="9"/>
      <c r="U683" s="9"/>
      <c r="V683" s="9"/>
      <c r="W683" s="9"/>
      <c r="X683" s="9"/>
      <c r="Y683" s="9"/>
      <c r="Z683" s="9"/>
      <c r="AA683" s="9"/>
      <c r="AB683" s="9"/>
      <c r="AC683" s="9"/>
      <c r="AD683" s="9"/>
      <c r="AE683" s="9"/>
      <c r="AF683" s="9"/>
      <c r="AG683" s="9"/>
      <c r="AH683" s="9"/>
      <c r="AI683" s="9"/>
      <c r="AJ683" s="9"/>
      <c r="AK683" s="9"/>
      <c r="AL683" s="9"/>
      <c r="AM683" s="9"/>
      <c r="AN683" s="9"/>
      <c r="AO683" s="9"/>
      <c r="AP683" s="9"/>
      <c r="AQ683" s="9"/>
      <c r="AR683" s="9"/>
      <c r="AS683" s="9"/>
      <c r="AT683" s="9"/>
      <c r="AU683" s="9"/>
      <c r="AV683" s="9"/>
      <c r="AW683" s="9"/>
      <c r="AX683" s="9"/>
      <c r="AY683" s="9"/>
      <c r="AZ683" s="9"/>
      <c r="BA683" s="9"/>
      <c r="BB683" s="9"/>
      <c r="BC683" s="9"/>
      <c r="BD683" s="9"/>
      <c r="BE683" s="9"/>
      <c r="BF683" s="9"/>
      <c r="BG683" s="9"/>
      <c r="BH683" s="9"/>
      <c r="BI683" s="9"/>
      <c r="BJ683" s="9"/>
      <c r="BK683" s="9"/>
      <c r="BL683" s="9"/>
      <c r="BM683" s="9"/>
      <c r="BN683" s="9"/>
      <c r="BO683" s="9"/>
      <c r="BP683" s="9"/>
    </row>
    <row r="684" spans="1:68" s="8" customFormat="1" ht="10.15" customHeight="1" x14ac:dyDescent="0.2">
      <c r="A684" s="249"/>
      <c r="B684" s="249"/>
      <c r="C684" s="284"/>
      <c r="D684" s="263" t="s">
        <v>606</v>
      </c>
      <c r="E684" s="281"/>
      <c r="F684" s="257"/>
      <c r="G684" s="249"/>
      <c r="H684" s="249">
        <v>755</v>
      </c>
      <c r="I684" s="299">
        <f t="shared" si="11"/>
        <v>1.9957177975734187E-2</v>
      </c>
      <c r="J684" s="249"/>
      <c r="K684" s="137"/>
      <c r="L684" s="9"/>
      <c r="M684" s="9"/>
      <c r="N684" s="9"/>
      <c r="O684" s="9"/>
      <c r="P684" s="9"/>
      <c r="Q684" s="9"/>
      <c r="R684" s="9"/>
      <c r="S684" s="9"/>
      <c r="T684" s="9"/>
      <c r="U684" s="9"/>
      <c r="V684" s="9"/>
      <c r="W684" s="9"/>
      <c r="X684" s="9"/>
      <c r="Y684" s="9"/>
      <c r="Z684" s="9"/>
      <c r="AA684" s="9"/>
      <c r="AB684" s="9"/>
      <c r="AC684" s="9"/>
      <c r="AD684" s="9"/>
      <c r="AE684" s="9"/>
      <c r="AF684" s="9"/>
      <c r="AG684" s="9"/>
      <c r="AH684" s="9"/>
      <c r="AI684" s="9"/>
      <c r="AJ684" s="9"/>
      <c r="AK684" s="9"/>
      <c r="AL684" s="9"/>
      <c r="AM684" s="9"/>
      <c r="AN684" s="9"/>
      <c r="AO684" s="9"/>
      <c r="AP684" s="9"/>
      <c r="AQ684" s="9"/>
      <c r="AR684" s="9"/>
      <c r="AS684" s="9"/>
      <c r="AT684" s="9"/>
      <c r="AU684" s="9"/>
      <c r="AV684" s="9"/>
      <c r="AW684" s="9"/>
      <c r="AX684" s="9"/>
      <c r="AY684" s="9"/>
      <c r="AZ684" s="9"/>
      <c r="BA684" s="9"/>
      <c r="BB684" s="9"/>
      <c r="BC684" s="9"/>
      <c r="BD684" s="9"/>
      <c r="BE684" s="9"/>
      <c r="BF684" s="9"/>
      <c r="BG684" s="9"/>
      <c r="BH684" s="9"/>
      <c r="BI684" s="9"/>
      <c r="BJ684" s="9"/>
      <c r="BK684" s="9"/>
      <c r="BL684" s="9"/>
      <c r="BM684" s="9"/>
      <c r="BN684" s="9"/>
      <c r="BO684" s="9"/>
      <c r="BP684" s="9"/>
    </row>
    <row r="685" spans="1:68" s="8" customFormat="1" ht="10.15" customHeight="1" x14ac:dyDescent="0.2">
      <c r="A685" s="249"/>
      <c r="B685" s="249"/>
      <c r="C685" s="284"/>
      <c r="D685" s="243" t="s">
        <v>33</v>
      </c>
      <c r="E685" s="281"/>
      <c r="F685" s="257"/>
      <c r="G685" s="249"/>
      <c r="H685" s="282">
        <f>SUM(H679:H684)</f>
        <v>37831</v>
      </c>
      <c r="I685" s="301">
        <f>SUM(I679:I684)</f>
        <v>0.99999999999999989</v>
      </c>
      <c r="J685" s="249"/>
      <c r="K685" s="137"/>
      <c r="L685" s="9"/>
      <c r="M685" s="9"/>
      <c r="N685" s="9"/>
      <c r="O685" s="9"/>
      <c r="P685" s="9"/>
      <c r="Q685" s="9"/>
      <c r="R685" s="9"/>
      <c r="S685" s="9"/>
      <c r="T685" s="9"/>
      <c r="U685" s="9"/>
      <c r="V685" s="9"/>
      <c r="W685" s="9"/>
      <c r="X685" s="9"/>
      <c r="Y685" s="9"/>
      <c r="Z685" s="9"/>
      <c r="AA685" s="9"/>
      <c r="AB685" s="9"/>
      <c r="AC685" s="9"/>
      <c r="AD685" s="9"/>
      <c r="AE685" s="9"/>
      <c r="AF685" s="9"/>
      <c r="AG685" s="9"/>
      <c r="AH685" s="9"/>
      <c r="AI685" s="9"/>
      <c r="AJ685" s="9"/>
      <c r="AK685" s="9"/>
      <c r="AL685" s="9"/>
      <c r="AM685" s="9"/>
      <c r="AN685" s="9"/>
      <c r="AO685" s="9"/>
      <c r="AP685" s="9"/>
      <c r="AQ685" s="9"/>
      <c r="AR685" s="9"/>
      <c r="AS685" s="9"/>
      <c r="AT685" s="9"/>
      <c r="AU685" s="9"/>
      <c r="AV685" s="9"/>
      <c r="AW685" s="9"/>
      <c r="AX685" s="9"/>
      <c r="AY685" s="9"/>
      <c r="AZ685" s="9"/>
      <c r="BA685" s="9"/>
      <c r="BB685" s="9"/>
      <c r="BC685" s="9"/>
      <c r="BD685" s="9"/>
      <c r="BE685" s="9"/>
      <c r="BF685" s="9"/>
      <c r="BG685" s="9"/>
      <c r="BH685" s="9"/>
      <c r="BI685" s="9"/>
      <c r="BJ685" s="9"/>
      <c r="BK685" s="9"/>
      <c r="BL685" s="9"/>
      <c r="BM685" s="9"/>
      <c r="BN685" s="9"/>
      <c r="BO685" s="9"/>
      <c r="BP685" s="9"/>
    </row>
    <row r="686" spans="1:68" s="8" customFormat="1" ht="10.15" customHeight="1" x14ac:dyDescent="0.2">
      <c r="A686" s="249"/>
      <c r="B686" s="249"/>
      <c r="C686" s="284"/>
      <c r="D686" s="243"/>
      <c r="E686" s="281"/>
      <c r="F686" s="257"/>
      <c r="G686" s="249"/>
      <c r="H686" s="249"/>
      <c r="I686" s="299"/>
      <c r="J686" s="249"/>
      <c r="K686" s="137"/>
      <c r="L686" s="9"/>
      <c r="M686" s="9"/>
      <c r="N686" s="9"/>
      <c r="O686" s="9"/>
      <c r="P686" s="9"/>
      <c r="Q686" s="9"/>
      <c r="R686" s="9"/>
      <c r="S686" s="9"/>
      <c r="T686" s="9"/>
      <c r="U686" s="9"/>
      <c r="V686" s="9"/>
      <c r="W686" s="9"/>
      <c r="X686" s="9"/>
      <c r="Y686" s="9"/>
      <c r="Z686" s="9"/>
      <c r="AA686" s="9"/>
      <c r="AB686" s="9"/>
      <c r="AC686" s="9"/>
      <c r="AD686" s="9"/>
      <c r="AE686" s="9"/>
      <c r="AF686" s="9"/>
      <c r="AG686" s="9"/>
      <c r="AH686" s="9"/>
      <c r="AI686" s="9"/>
      <c r="AJ686" s="9"/>
      <c r="AK686" s="9"/>
      <c r="AL686" s="9"/>
      <c r="AM686" s="9"/>
      <c r="AN686" s="9"/>
      <c r="AO686" s="9"/>
      <c r="AP686" s="9"/>
      <c r="AQ686" s="9"/>
      <c r="AR686" s="9"/>
      <c r="AS686" s="9"/>
      <c r="AT686" s="9"/>
      <c r="AU686" s="9"/>
      <c r="AV686" s="9"/>
      <c r="AW686" s="9"/>
      <c r="AX686" s="9"/>
      <c r="AY686" s="9"/>
      <c r="AZ686" s="9"/>
      <c r="BA686" s="9"/>
      <c r="BB686" s="9"/>
      <c r="BC686" s="9"/>
      <c r="BD686" s="9"/>
      <c r="BE686" s="9"/>
      <c r="BF686" s="9"/>
      <c r="BG686" s="9"/>
      <c r="BH686" s="9"/>
      <c r="BI686" s="9"/>
      <c r="BJ686" s="9"/>
      <c r="BK686" s="9"/>
      <c r="BL686" s="9"/>
      <c r="BM686" s="9"/>
      <c r="BN686" s="9"/>
      <c r="BO686" s="9"/>
      <c r="BP686" s="9"/>
    </row>
    <row r="687" spans="1:68" s="8" customFormat="1" ht="10.15" customHeight="1" x14ac:dyDescent="0.2">
      <c r="A687" s="261" t="s">
        <v>19</v>
      </c>
      <c r="B687" s="261"/>
      <c r="C687" s="261" t="s">
        <v>291</v>
      </c>
      <c r="D687" s="263" t="s">
        <v>614</v>
      </c>
      <c r="E687" s="281">
        <v>40238</v>
      </c>
      <c r="F687" s="257">
        <v>3096011</v>
      </c>
      <c r="G687" s="249">
        <v>45440</v>
      </c>
      <c r="H687" s="249"/>
      <c r="I687" s="299"/>
      <c r="J687" s="249"/>
      <c r="K687" s="137"/>
      <c r="L687" s="9"/>
      <c r="M687" s="9"/>
      <c r="N687" s="9"/>
      <c r="O687" s="9"/>
      <c r="P687" s="9"/>
      <c r="Q687" s="9"/>
      <c r="R687" s="9"/>
      <c r="S687" s="9"/>
      <c r="T687" s="9"/>
      <c r="U687" s="9"/>
      <c r="V687" s="9"/>
      <c r="W687" s="9"/>
      <c r="X687" s="9"/>
      <c r="Y687" s="9"/>
      <c r="Z687" s="9"/>
      <c r="AA687" s="9"/>
      <c r="AB687" s="9"/>
      <c r="AC687" s="9"/>
      <c r="AD687" s="9"/>
      <c r="AE687" s="9"/>
      <c r="AF687" s="9"/>
      <c r="AG687" s="9"/>
      <c r="AH687" s="9"/>
      <c r="AI687" s="9"/>
      <c r="AJ687" s="9"/>
      <c r="AK687" s="9"/>
      <c r="AL687" s="9"/>
      <c r="AM687" s="9"/>
      <c r="AN687" s="9"/>
      <c r="AO687" s="9"/>
      <c r="AP687" s="9"/>
      <c r="AQ687" s="9"/>
      <c r="AR687" s="9"/>
      <c r="AS687" s="9"/>
      <c r="AT687" s="9"/>
      <c r="AU687" s="9"/>
      <c r="AV687" s="9"/>
      <c r="AW687" s="9"/>
      <c r="AX687" s="9"/>
      <c r="AY687" s="9"/>
      <c r="AZ687" s="9"/>
      <c r="BA687" s="9"/>
      <c r="BB687" s="9"/>
      <c r="BC687" s="9"/>
      <c r="BD687" s="9"/>
      <c r="BE687" s="9"/>
      <c r="BF687" s="9"/>
      <c r="BG687" s="9"/>
      <c r="BH687" s="9"/>
      <c r="BI687" s="9"/>
      <c r="BJ687" s="9"/>
      <c r="BK687" s="9"/>
      <c r="BL687" s="9"/>
      <c r="BM687" s="9"/>
      <c r="BN687" s="9"/>
      <c r="BO687" s="9"/>
      <c r="BP687" s="9"/>
    </row>
    <row r="688" spans="1:68" s="8" customFormat="1" ht="10.15" customHeight="1" x14ac:dyDescent="0.2">
      <c r="A688" s="249"/>
      <c r="B688" s="249"/>
      <c r="C688" s="284"/>
      <c r="D688" s="244" t="s">
        <v>615</v>
      </c>
      <c r="E688" s="281"/>
      <c r="F688" s="257"/>
      <c r="G688" s="249"/>
      <c r="H688" s="249">
        <v>42433</v>
      </c>
      <c r="I688" s="299">
        <f>H688/H689</f>
        <v>1</v>
      </c>
      <c r="J688" s="248" t="s">
        <v>93</v>
      </c>
      <c r="K688" s="137"/>
      <c r="L688" s="9"/>
      <c r="M688" s="9"/>
      <c r="N688" s="9"/>
      <c r="O688" s="9"/>
      <c r="P688" s="9"/>
      <c r="Q688" s="9"/>
      <c r="R688" s="9"/>
      <c r="S688" s="9"/>
      <c r="T688" s="9"/>
      <c r="U688" s="9"/>
      <c r="V688" s="9"/>
      <c r="W688" s="9"/>
      <c r="X688" s="9"/>
      <c r="Y688" s="9"/>
      <c r="Z688" s="9"/>
      <c r="AA688" s="9"/>
      <c r="AB688" s="9"/>
      <c r="AC688" s="9"/>
      <c r="AD688" s="9"/>
      <c r="AE688" s="9"/>
      <c r="AF688" s="9"/>
      <c r="AG688" s="9"/>
      <c r="AH688" s="9"/>
      <c r="AI688" s="9"/>
      <c r="AJ688" s="9"/>
      <c r="AK688" s="9"/>
      <c r="AL688" s="9"/>
      <c r="AM688" s="9"/>
      <c r="AN688" s="9"/>
      <c r="AO688" s="9"/>
      <c r="AP688" s="9"/>
      <c r="AQ688" s="9"/>
      <c r="AR688" s="9"/>
      <c r="AS688" s="9"/>
      <c r="AT688" s="9"/>
      <c r="AU688" s="9"/>
      <c r="AV688" s="9"/>
      <c r="AW688" s="9"/>
      <c r="AX688" s="9"/>
      <c r="AY688" s="9"/>
      <c r="AZ688" s="9"/>
      <c r="BA688" s="9"/>
      <c r="BB688" s="9"/>
      <c r="BC688" s="9"/>
      <c r="BD688" s="9"/>
      <c r="BE688" s="9"/>
      <c r="BF688" s="9"/>
      <c r="BG688" s="9"/>
      <c r="BH688" s="9"/>
      <c r="BI688" s="9"/>
      <c r="BJ688" s="9"/>
      <c r="BK688" s="9"/>
      <c r="BL688" s="9"/>
      <c r="BM688" s="9"/>
      <c r="BN688" s="9"/>
      <c r="BO688" s="9"/>
      <c r="BP688" s="9"/>
    </row>
    <row r="689" spans="1:68" s="8" customFormat="1" ht="10.15" customHeight="1" x14ac:dyDescent="0.2">
      <c r="A689" s="249"/>
      <c r="B689" s="249"/>
      <c r="C689" s="284"/>
      <c r="D689" s="243" t="s">
        <v>33</v>
      </c>
      <c r="E689" s="281"/>
      <c r="F689" s="257"/>
      <c r="G689" s="249"/>
      <c r="H689" s="282">
        <f>SUM(H688)</f>
        <v>42433</v>
      </c>
      <c r="I689" s="301">
        <f>SUM(I688)</f>
        <v>1</v>
      </c>
      <c r="J689" s="249"/>
      <c r="K689" s="137"/>
      <c r="L689" s="9"/>
      <c r="M689" s="9"/>
      <c r="N689" s="9"/>
      <c r="O689" s="9"/>
      <c r="P689" s="9"/>
      <c r="Q689" s="9"/>
      <c r="R689" s="9"/>
      <c r="S689" s="9"/>
      <c r="T689" s="9"/>
      <c r="U689" s="9"/>
      <c r="V689" s="9"/>
      <c r="W689" s="9"/>
      <c r="X689" s="9"/>
      <c r="Y689" s="9"/>
      <c r="Z689" s="9"/>
      <c r="AA689" s="9"/>
      <c r="AB689" s="9"/>
      <c r="AC689" s="9"/>
      <c r="AD689" s="9"/>
      <c r="AE689" s="9"/>
      <c r="AF689" s="9"/>
      <c r="AG689" s="9"/>
      <c r="AH689" s="9"/>
      <c r="AI689" s="9"/>
      <c r="AJ689" s="9"/>
      <c r="AK689" s="9"/>
      <c r="AL689" s="9"/>
      <c r="AM689" s="9"/>
      <c r="AN689" s="9"/>
      <c r="AO689" s="9"/>
      <c r="AP689" s="9"/>
      <c r="AQ689" s="9"/>
      <c r="AR689" s="9"/>
      <c r="AS689" s="9"/>
      <c r="AT689" s="9"/>
      <c r="AU689" s="9"/>
      <c r="AV689" s="9"/>
      <c r="AW689" s="9"/>
      <c r="AX689" s="9"/>
      <c r="AY689" s="9"/>
      <c r="AZ689" s="9"/>
      <c r="BA689" s="9"/>
      <c r="BB689" s="9"/>
      <c r="BC689" s="9"/>
      <c r="BD689" s="9"/>
      <c r="BE689" s="9"/>
      <c r="BF689" s="9"/>
      <c r="BG689" s="9"/>
      <c r="BH689" s="9"/>
      <c r="BI689" s="9"/>
      <c r="BJ689" s="9"/>
      <c r="BK689" s="9"/>
      <c r="BL689" s="9"/>
      <c r="BM689" s="9"/>
      <c r="BN689" s="9"/>
      <c r="BO689" s="9"/>
      <c r="BP689" s="9"/>
    </row>
    <row r="690" spans="1:68" s="8" customFormat="1" ht="10.15" customHeight="1" x14ac:dyDescent="0.2">
      <c r="A690" s="249"/>
      <c r="B690" s="249"/>
      <c r="C690" s="284"/>
      <c r="D690" s="243"/>
      <c r="E690" s="281"/>
      <c r="F690" s="257"/>
      <c r="G690" s="249"/>
      <c r="H690" s="249"/>
      <c r="I690" s="299"/>
      <c r="J690" s="249"/>
      <c r="K690" s="137"/>
      <c r="L690" s="9"/>
      <c r="M690" s="9"/>
      <c r="N690" s="9"/>
      <c r="O690" s="9"/>
      <c r="P690" s="9"/>
      <c r="Q690" s="9"/>
      <c r="R690" s="9"/>
      <c r="S690" s="9"/>
      <c r="T690" s="9"/>
      <c r="U690" s="9"/>
      <c r="V690" s="9"/>
      <c r="W690" s="9"/>
      <c r="X690" s="9"/>
      <c r="Y690" s="9"/>
      <c r="Z690" s="9"/>
      <c r="AA690" s="9"/>
      <c r="AB690" s="9"/>
      <c r="AC690" s="9"/>
      <c r="AD690" s="9"/>
      <c r="AE690" s="9"/>
      <c r="AF690" s="9"/>
      <c r="AG690" s="9"/>
      <c r="AH690" s="9"/>
      <c r="AI690" s="9"/>
      <c r="AJ690" s="9"/>
      <c r="AK690" s="9"/>
      <c r="AL690" s="9"/>
      <c r="AM690" s="9"/>
      <c r="AN690" s="9"/>
      <c r="AO690" s="9"/>
      <c r="AP690" s="9"/>
      <c r="AQ690" s="9"/>
      <c r="AR690" s="9"/>
      <c r="AS690" s="9"/>
      <c r="AT690" s="9"/>
      <c r="AU690" s="9"/>
      <c r="AV690" s="9"/>
      <c r="AW690" s="9"/>
      <c r="AX690" s="9"/>
      <c r="AY690" s="9"/>
      <c r="AZ690" s="9"/>
      <c r="BA690" s="9"/>
      <c r="BB690" s="9"/>
      <c r="BC690" s="9"/>
      <c r="BD690" s="9"/>
      <c r="BE690" s="9"/>
      <c r="BF690" s="9"/>
      <c r="BG690" s="9"/>
      <c r="BH690" s="9"/>
      <c r="BI690" s="9"/>
      <c r="BJ690" s="9"/>
      <c r="BK690" s="9"/>
      <c r="BL690" s="9"/>
      <c r="BM690" s="9"/>
      <c r="BN690" s="9"/>
      <c r="BO690" s="9"/>
      <c r="BP690" s="9"/>
    </row>
    <row r="691" spans="1:68" s="8" customFormat="1" ht="10.15" customHeight="1" x14ac:dyDescent="0.2">
      <c r="A691" s="261" t="s">
        <v>19</v>
      </c>
      <c r="B691" s="261"/>
      <c r="C691" s="261" t="s">
        <v>291</v>
      </c>
      <c r="D691" s="263" t="s">
        <v>637</v>
      </c>
      <c r="E691" s="281">
        <v>41091</v>
      </c>
      <c r="F691" s="257">
        <v>48774476</v>
      </c>
      <c r="G691" s="249">
        <v>170632</v>
      </c>
      <c r="H691" s="249"/>
      <c r="I691" s="299"/>
      <c r="J691" s="249"/>
      <c r="K691" s="137"/>
      <c r="L691" s="9"/>
      <c r="M691" s="9"/>
      <c r="N691" s="9"/>
      <c r="O691" s="9"/>
      <c r="P691" s="9"/>
      <c r="Q691" s="9"/>
      <c r="R691" s="9"/>
      <c r="S691" s="9"/>
      <c r="T691" s="9"/>
      <c r="U691" s="9"/>
      <c r="V691" s="9"/>
      <c r="W691" s="9"/>
      <c r="X691" s="9"/>
      <c r="Y691" s="9"/>
      <c r="Z691" s="9"/>
      <c r="AA691" s="9"/>
      <c r="AB691" s="9"/>
      <c r="AC691" s="9"/>
      <c r="AD691" s="9"/>
      <c r="AE691" s="9"/>
      <c r="AF691" s="9"/>
      <c r="AG691" s="9"/>
      <c r="AH691" s="9"/>
      <c r="AI691" s="9"/>
      <c r="AJ691" s="9"/>
      <c r="AK691" s="9"/>
      <c r="AL691" s="9"/>
      <c r="AM691" s="9"/>
      <c r="AN691" s="9"/>
      <c r="AO691" s="9"/>
      <c r="AP691" s="9"/>
      <c r="AQ691" s="9"/>
      <c r="AR691" s="9"/>
      <c r="AS691" s="9"/>
      <c r="AT691" s="9"/>
      <c r="AU691" s="9"/>
      <c r="AV691" s="9"/>
      <c r="AW691" s="9"/>
      <c r="AX691" s="9"/>
      <c r="AY691" s="9"/>
      <c r="AZ691" s="9"/>
      <c r="BA691" s="9"/>
      <c r="BB691" s="9"/>
      <c r="BC691" s="9"/>
      <c r="BD691" s="9"/>
      <c r="BE691" s="9"/>
      <c r="BF691" s="9"/>
      <c r="BG691" s="9"/>
      <c r="BH691" s="9"/>
      <c r="BI691" s="9"/>
      <c r="BJ691" s="9"/>
      <c r="BK691" s="9"/>
      <c r="BL691" s="9"/>
      <c r="BM691" s="9"/>
      <c r="BN691" s="9"/>
      <c r="BO691" s="9"/>
      <c r="BP691" s="9"/>
    </row>
    <row r="692" spans="1:68" s="8" customFormat="1" ht="10.15" customHeight="1" x14ac:dyDescent="0.2">
      <c r="A692" s="249"/>
      <c r="B692" s="249"/>
      <c r="C692" s="284"/>
      <c r="D692" s="244" t="s">
        <v>263</v>
      </c>
      <c r="E692" s="281"/>
      <c r="F692" s="257"/>
      <c r="G692" s="249"/>
      <c r="H692" s="249">
        <v>14291</v>
      </c>
      <c r="I692" s="299">
        <f>H692/$H$697</f>
        <v>0.12877791194333807</v>
      </c>
      <c r="J692" s="249"/>
      <c r="K692" s="137"/>
      <c r="L692" s="9"/>
      <c r="M692" s="9"/>
      <c r="N692" s="9"/>
      <c r="O692" s="9"/>
      <c r="P692" s="9"/>
      <c r="Q692" s="9"/>
      <c r="R692" s="9"/>
      <c r="S692" s="9"/>
      <c r="T692" s="9"/>
      <c r="U692" s="9"/>
      <c r="V692" s="9"/>
      <c r="W692" s="9"/>
      <c r="X692" s="9"/>
      <c r="Y692" s="9"/>
      <c r="Z692" s="9"/>
      <c r="AA692" s="9"/>
      <c r="AB692" s="9"/>
      <c r="AC692" s="9"/>
      <c r="AD692" s="9"/>
      <c r="AE692" s="9"/>
      <c r="AF692" s="9"/>
      <c r="AG692" s="9"/>
      <c r="AH692" s="9"/>
      <c r="AI692" s="9"/>
      <c r="AJ692" s="9"/>
      <c r="AK692" s="9"/>
      <c r="AL692" s="9"/>
      <c r="AM692" s="9"/>
      <c r="AN692" s="9"/>
      <c r="AO692" s="9"/>
      <c r="AP692" s="9"/>
      <c r="AQ692" s="9"/>
      <c r="AR692" s="9"/>
      <c r="AS692" s="9"/>
      <c r="AT692" s="9"/>
      <c r="AU692" s="9"/>
      <c r="AV692" s="9"/>
      <c r="AW692" s="9"/>
      <c r="AX692" s="9"/>
      <c r="AY692" s="9"/>
      <c r="AZ692" s="9"/>
      <c r="BA692" s="9"/>
      <c r="BB692" s="9"/>
      <c r="BC692" s="9"/>
      <c r="BD692" s="9"/>
      <c r="BE692" s="9"/>
      <c r="BF692" s="9"/>
      <c r="BG692" s="9"/>
      <c r="BH692" s="9"/>
      <c r="BI692" s="9"/>
      <c r="BJ692" s="9"/>
      <c r="BK692" s="9"/>
      <c r="BL692" s="9"/>
      <c r="BM692" s="9"/>
      <c r="BN692" s="9"/>
      <c r="BO692" s="9"/>
      <c r="BP692" s="9"/>
    </row>
    <row r="693" spans="1:68" s="8" customFormat="1" ht="10.15" customHeight="1" x14ac:dyDescent="0.2">
      <c r="A693" s="249"/>
      <c r="B693" s="249"/>
      <c r="C693" s="284"/>
      <c r="D693" s="244" t="s">
        <v>264</v>
      </c>
      <c r="E693" s="281"/>
      <c r="F693" s="257"/>
      <c r="G693" s="249"/>
      <c r="H693" s="249">
        <v>3790</v>
      </c>
      <c r="I693" s="299">
        <f>H693/$H$697</f>
        <v>3.4152143745381801E-2</v>
      </c>
      <c r="J693" s="249"/>
      <c r="K693" s="137"/>
      <c r="L693" s="9"/>
      <c r="M693" s="9"/>
      <c r="N693" s="9"/>
      <c r="O693" s="9"/>
      <c r="P693" s="9"/>
      <c r="Q693" s="9"/>
      <c r="R693" s="9"/>
      <c r="S693" s="9"/>
      <c r="T693" s="9"/>
      <c r="U693" s="9"/>
      <c r="V693" s="9"/>
      <c r="W693" s="9"/>
      <c r="X693" s="9"/>
      <c r="Y693" s="9"/>
      <c r="Z693" s="9"/>
      <c r="AA693" s="9"/>
      <c r="AB693" s="9"/>
      <c r="AC693" s="9"/>
      <c r="AD693" s="9"/>
      <c r="AE693" s="9"/>
      <c r="AF693" s="9"/>
      <c r="AG693" s="9"/>
      <c r="AH693" s="9"/>
      <c r="AI693" s="9"/>
      <c r="AJ693" s="9"/>
      <c r="AK693" s="9"/>
      <c r="AL693" s="9"/>
      <c r="AM693" s="9"/>
      <c r="AN693" s="9"/>
      <c r="AO693" s="9"/>
      <c r="AP693" s="9"/>
      <c r="AQ693" s="9"/>
      <c r="AR693" s="9"/>
      <c r="AS693" s="9"/>
      <c r="AT693" s="9"/>
      <c r="AU693" s="9"/>
      <c r="AV693" s="9"/>
      <c r="AW693" s="9"/>
      <c r="AX693" s="9"/>
      <c r="AY693" s="9"/>
      <c r="AZ693" s="9"/>
      <c r="BA693" s="9"/>
      <c r="BB693" s="9"/>
      <c r="BC693" s="9"/>
      <c r="BD693" s="9"/>
      <c r="BE693" s="9"/>
      <c r="BF693" s="9"/>
      <c r="BG693" s="9"/>
      <c r="BH693" s="9"/>
      <c r="BI693" s="9"/>
      <c r="BJ693" s="9"/>
      <c r="BK693" s="9"/>
      <c r="BL693" s="9"/>
      <c r="BM693" s="9"/>
      <c r="BN693" s="9"/>
      <c r="BO693" s="9"/>
      <c r="BP693" s="9"/>
    </row>
    <row r="694" spans="1:68" s="8" customFormat="1" ht="10.15" customHeight="1" x14ac:dyDescent="0.2">
      <c r="A694" s="249"/>
      <c r="B694" s="249"/>
      <c r="C694" s="284"/>
      <c r="D694" s="263" t="s">
        <v>290</v>
      </c>
      <c r="E694" s="281"/>
      <c r="F694" s="257"/>
      <c r="G694" s="249"/>
      <c r="H694" s="249">
        <v>15512</v>
      </c>
      <c r="I694" s="299">
        <f>H694/$H$697</f>
        <v>0.13978048912357849</v>
      </c>
      <c r="J694" s="249"/>
      <c r="K694" s="137"/>
      <c r="L694" s="9"/>
      <c r="M694" s="9"/>
      <c r="N694" s="9"/>
      <c r="O694" s="9"/>
      <c r="P694" s="9"/>
      <c r="Q694" s="9"/>
      <c r="R694" s="9"/>
      <c r="S694" s="9"/>
      <c r="T694" s="9"/>
      <c r="U694" s="9"/>
      <c r="V694" s="9"/>
      <c r="W694" s="9"/>
      <c r="X694" s="9"/>
      <c r="Y694" s="9"/>
      <c r="Z694" s="9"/>
      <c r="AA694" s="9"/>
      <c r="AB694" s="9"/>
      <c r="AC694" s="9"/>
      <c r="AD694" s="9"/>
      <c r="AE694" s="9"/>
      <c r="AF694" s="9"/>
      <c r="AG694" s="9"/>
      <c r="AH694" s="9"/>
      <c r="AI694" s="9"/>
      <c r="AJ694" s="9"/>
      <c r="AK694" s="9"/>
      <c r="AL694" s="9"/>
      <c r="AM694" s="9"/>
      <c r="AN694" s="9"/>
      <c r="AO694" s="9"/>
      <c r="AP694" s="9"/>
      <c r="AQ694" s="9"/>
      <c r="AR694" s="9"/>
      <c r="AS694" s="9"/>
      <c r="AT694" s="9"/>
      <c r="AU694" s="9"/>
      <c r="AV694" s="9"/>
      <c r="AW694" s="9"/>
      <c r="AX694" s="9"/>
      <c r="AY694" s="9"/>
      <c r="AZ694" s="9"/>
      <c r="BA694" s="9"/>
      <c r="BB694" s="9"/>
      <c r="BC694" s="9"/>
      <c r="BD694" s="9"/>
      <c r="BE694" s="9"/>
      <c r="BF694" s="9"/>
      <c r="BG694" s="9"/>
      <c r="BH694" s="9"/>
      <c r="BI694" s="9"/>
      <c r="BJ694" s="9"/>
      <c r="BK694" s="9"/>
      <c r="BL694" s="9"/>
      <c r="BM694" s="9"/>
      <c r="BN694" s="9"/>
      <c r="BO694" s="9"/>
      <c r="BP694" s="9"/>
    </row>
    <row r="695" spans="1:68" s="9" customFormat="1" ht="10.15" customHeight="1" x14ac:dyDescent="0.2">
      <c r="A695" s="249"/>
      <c r="B695" s="249"/>
      <c r="C695" s="284"/>
      <c r="D695" s="254" t="s">
        <v>246</v>
      </c>
      <c r="E695" s="281"/>
      <c r="F695" s="257"/>
      <c r="G695" s="249"/>
      <c r="H695" s="249">
        <v>60192</v>
      </c>
      <c r="I695" s="299">
        <f>H695/$H$697</f>
        <v>0.54239731829077076</v>
      </c>
      <c r="J695" s="252" t="s">
        <v>246</v>
      </c>
      <c r="K695" s="137"/>
    </row>
    <row r="696" spans="1:68" s="9" customFormat="1" ht="10.15" customHeight="1" x14ac:dyDescent="0.2">
      <c r="A696" s="249"/>
      <c r="B696" s="249"/>
      <c r="C696" s="284"/>
      <c r="D696" s="263" t="s">
        <v>480</v>
      </c>
      <c r="E696" s="281"/>
      <c r="F696" s="257"/>
      <c r="G696" s="249"/>
      <c r="H696" s="249">
        <v>17189</v>
      </c>
      <c r="I696" s="299">
        <f>H696/$H$697</f>
        <v>0.15489213689693082</v>
      </c>
      <c r="J696" s="249"/>
      <c r="K696" s="137"/>
    </row>
    <row r="697" spans="1:68" s="9" customFormat="1" ht="10.15" customHeight="1" x14ac:dyDescent="0.2">
      <c r="A697" s="249"/>
      <c r="B697" s="249"/>
      <c r="C697" s="284"/>
      <c r="D697" s="243" t="s">
        <v>33</v>
      </c>
      <c r="E697" s="281"/>
      <c r="F697" s="257"/>
      <c r="G697" s="249"/>
      <c r="H697" s="282">
        <f>SUM(H692:H696)</f>
        <v>110974</v>
      </c>
      <c r="I697" s="302">
        <f>SUM(I692:I696)</f>
        <v>0.99999999999999989</v>
      </c>
      <c r="J697" s="249"/>
      <c r="K697" s="137"/>
    </row>
    <row r="698" spans="1:68" s="9" customFormat="1" ht="10.15" customHeight="1" x14ac:dyDescent="0.2">
      <c r="A698" s="249"/>
      <c r="B698" s="249"/>
      <c r="C698" s="284"/>
      <c r="D698" s="243"/>
      <c r="E698" s="281"/>
      <c r="F698" s="257"/>
      <c r="G698" s="249"/>
      <c r="H698" s="249"/>
      <c r="I698" s="299"/>
      <c r="J698" s="249"/>
      <c r="K698" s="137"/>
    </row>
    <row r="699" spans="1:68" s="9" customFormat="1" ht="10.15" customHeight="1" x14ac:dyDescent="0.2">
      <c r="A699" s="261" t="s">
        <v>19</v>
      </c>
      <c r="B699" s="249"/>
      <c r="C699" s="261" t="s">
        <v>291</v>
      </c>
      <c r="D699" s="244" t="s">
        <v>648</v>
      </c>
      <c r="E699" s="281">
        <v>40940</v>
      </c>
      <c r="F699" s="257">
        <v>15395753</v>
      </c>
      <c r="G699" s="249">
        <v>33400</v>
      </c>
      <c r="H699" s="249"/>
      <c r="I699" s="299"/>
      <c r="J699" s="249"/>
      <c r="K699" s="137"/>
    </row>
    <row r="700" spans="1:68" s="9" customFormat="1" ht="10.15" customHeight="1" x14ac:dyDescent="0.2">
      <c r="A700" s="249"/>
      <c r="B700" s="249"/>
      <c r="C700" s="284"/>
      <c r="D700" s="244" t="s">
        <v>597</v>
      </c>
      <c r="E700" s="281"/>
      <c r="F700" s="257"/>
      <c r="G700" s="249"/>
      <c r="H700" s="249">
        <v>3400</v>
      </c>
      <c r="I700" s="299">
        <f>(H700/$H$711)</f>
        <v>0.12611275964391691</v>
      </c>
      <c r="J700" s="249"/>
      <c r="K700" s="137"/>
    </row>
    <row r="701" spans="1:68" s="9" customFormat="1" ht="10.15" customHeight="1" x14ac:dyDescent="0.2">
      <c r="A701" s="249"/>
      <c r="B701" s="249"/>
      <c r="C701" s="284"/>
      <c r="D701" s="244" t="s">
        <v>646</v>
      </c>
      <c r="E701" s="281"/>
      <c r="F701" s="257"/>
      <c r="G701" s="249"/>
      <c r="H701" s="249">
        <v>0</v>
      </c>
      <c r="I701" s="299">
        <f t="shared" ref="I701:I710" si="12">(H701/$H$711)</f>
        <v>0</v>
      </c>
      <c r="J701" s="249"/>
      <c r="K701" s="137"/>
    </row>
    <row r="702" spans="1:68" s="9" customFormat="1" ht="10.15" customHeight="1" x14ac:dyDescent="0.2">
      <c r="A702" s="249"/>
      <c r="B702" s="249"/>
      <c r="C702" s="284"/>
      <c r="D702" s="244" t="s">
        <v>620</v>
      </c>
      <c r="E702" s="281"/>
      <c r="F702" s="257"/>
      <c r="G702" s="249"/>
      <c r="H702" s="249">
        <v>0</v>
      </c>
      <c r="I702" s="299">
        <f t="shared" si="12"/>
        <v>0</v>
      </c>
      <c r="J702" s="249"/>
      <c r="K702" s="137"/>
    </row>
    <row r="703" spans="1:68" s="9" customFormat="1" ht="10.15" customHeight="1" x14ac:dyDescent="0.2">
      <c r="A703" s="249"/>
      <c r="B703" s="249"/>
      <c r="C703" s="284"/>
      <c r="D703" s="244" t="s">
        <v>599</v>
      </c>
      <c r="E703" s="281"/>
      <c r="F703" s="257"/>
      <c r="G703" s="249"/>
      <c r="H703" s="249">
        <v>3940</v>
      </c>
      <c r="I703" s="299">
        <f t="shared" si="12"/>
        <v>0.14614243323442136</v>
      </c>
      <c r="J703" s="249"/>
      <c r="K703" s="137"/>
    </row>
    <row r="704" spans="1:68" s="9" customFormat="1" ht="10.15" customHeight="1" x14ac:dyDescent="0.2">
      <c r="A704" s="249"/>
      <c r="B704" s="249"/>
      <c r="C704" s="284"/>
      <c r="D704" s="244" t="s">
        <v>610</v>
      </c>
      <c r="E704" s="281"/>
      <c r="F704" s="257"/>
      <c r="G704" s="249"/>
      <c r="H704" s="249">
        <v>0</v>
      </c>
      <c r="I704" s="299">
        <f t="shared" si="12"/>
        <v>0</v>
      </c>
      <c r="J704" s="249"/>
      <c r="K704" s="137"/>
    </row>
    <row r="705" spans="1:11" s="9" customFormat="1" ht="10.15" customHeight="1" x14ac:dyDescent="0.2">
      <c r="A705" s="249"/>
      <c r="B705" s="249"/>
      <c r="C705" s="284"/>
      <c r="D705" s="244" t="s">
        <v>600</v>
      </c>
      <c r="E705" s="281"/>
      <c r="F705" s="257"/>
      <c r="G705" s="249"/>
      <c r="H705" s="249">
        <v>1900</v>
      </c>
      <c r="I705" s="299">
        <f t="shared" si="12"/>
        <v>7.0474777448071221E-2</v>
      </c>
      <c r="J705" s="249"/>
      <c r="K705" s="137"/>
    </row>
    <row r="706" spans="1:11" s="9" customFormat="1" ht="10.15" customHeight="1" x14ac:dyDescent="0.2">
      <c r="A706" s="249"/>
      <c r="B706" s="249"/>
      <c r="C706" s="284"/>
      <c r="D706" s="244" t="s">
        <v>615</v>
      </c>
      <c r="E706" s="281"/>
      <c r="F706" s="257"/>
      <c r="G706" s="249"/>
      <c r="H706" s="249">
        <v>0</v>
      </c>
      <c r="I706" s="299">
        <f t="shared" si="12"/>
        <v>0</v>
      </c>
      <c r="J706" s="249"/>
      <c r="K706" s="137"/>
    </row>
    <row r="707" spans="1:11" s="9" customFormat="1" ht="10.15" customHeight="1" x14ac:dyDescent="0.2">
      <c r="A707" s="249"/>
      <c r="B707" s="249"/>
      <c r="C707" s="284"/>
      <c r="D707" s="244" t="s">
        <v>647</v>
      </c>
      <c r="E707" s="281"/>
      <c r="F707" s="257"/>
      <c r="G707" s="249"/>
      <c r="H707" s="249">
        <v>0</v>
      </c>
      <c r="I707" s="299">
        <f t="shared" si="12"/>
        <v>0</v>
      </c>
      <c r="J707" s="249"/>
      <c r="K707" s="137"/>
    </row>
    <row r="708" spans="1:11" s="9" customFormat="1" x14ac:dyDescent="0.2">
      <c r="A708" s="249"/>
      <c r="B708" s="249"/>
      <c r="C708" s="284"/>
      <c r="D708" s="244" t="s">
        <v>605</v>
      </c>
      <c r="E708" s="281"/>
      <c r="F708" s="257"/>
      <c r="G708" s="249"/>
      <c r="H708" s="249">
        <v>9360</v>
      </c>
      <c r="I708" s="299">
        <f t="shared" si="12"/>
        <v>0.34718100890207715</v>
      </c>
      <c r="J708" s="248" t="s">
        <v>290</v>
      </c>
      <c r="K708" s="137"/>
    </row>
    <row r="709" spans="1:11" s="9" customFormat="1" ht="11.25" customHeight="1" x14ac:dyDescent="0.2">
      <c r="A709" s="249"/>
      <c r="B709" s="249"/>
      <c r="C709" s="284"/>
      <c r="D709" s="244" t="s">
        <v>611</v>
      </c>
      <c r="E709" s="281"/>
      <c r="F709" s="257"/>
      <c r="G709" s="249"/>
      <c r="H709" s="249">
        <v>505</v>
      </c>
      <c r="I709" s="299">
        <f t="shared" si="12"/>
        <v>1.873145400593472E-2</v>
      </c>
      <c r="J709" s="249"/>
      <c r="K709" s="137"/>
    </row>
    <row r="710" spans="1:11" s="9" customFormat="1" ht="11.25" customHeight="1" x14ac:dyDescent="0.2">
      <c r="A710" s="249"/>
      <c r="B710" s="249"/>
      <c r="C710" s="284"/>
      <c r="D710" s="244" t="s">
        <v>634</v>
      </c>
      <c r="E710" s="281"/>
      <c r="F710" s="257"/>
      <c r="G710" s="249"/>
      <c r="H710" s="249">
        <v>7855</v>
      </c>
      <c r="I710" s="299">
        <f t="shared" si="12"/>
        <v>0.29135756676557861</v>
      </c>
      <c r="J710" s="249"/>
      <c r="K710" s="137"/>
    </row>
    <row r="711" spans="1:11" s="9" customFormat="1" ht="11.25" customHeight="1" x14ac:dyDescent="0.2">
      <c r="A711" s="249"/>
      <c r="B711" s="249"/>
      <c r="C711" s="284"/>
      <c r="D711" s="243" t="s">
        <v>33</v>
      </c>
      <c r="E711" s="281"/>
      <c r="F711" s="257"/>
      <c r="G711" s="249"/>
      <c r="H711" s="282">
        <f>SUM(H700:H710)</f>
        <v>26960</v>
      </c>
      <c r="I711" s="301">
        <f>SUM(I700:I710)</f>
        <v>1</v>
      </c>
      <c r="J711" s="249"/>
      <c r="K711" s="137"/>
    </row>
    <row r="712" spans="1:11" s="9" customFormat="1" ht="11.25" customHeight="1" x14ac:dyDescent="0.2">
      <c r="A712" s="249"/>
      <c r="B712" s="249"/>
      <c r="C712" s="284"/>
      <c r="D712" s="243"/>
      <c r="E712" s="281"/>
      <c r="F712" s="257"/>
      <c r="G712" s="249"/>
      <c r="H712" s="249"/>
      <c r="I712" s="299"/>
      <c r="J712" s="249"/>
      <c r="K712" s="137"/>
    </row>
    <row r="713" spans="1:11" s="9" customFormat="1" ht="11.25" customHeight="1" x14ac:dyDescent="0.2">
      <c r="A713" s="261" t="s">
        <v>19</v>
      </c>
      <c r="B713" s="284"/>
      <c r="C713" s="261" t="s">
        <v>291</v>
      </c>
      <c r="D713" s="244" t="s">
        <v>672</v>
      </c>
      <c r="E713" s="281" t="s">
        <v>673</v>
      </c>
      <c r="F713" s="303">
        <v>10905409</v>
      </c>
      <c r="G713" s="249">
        <v>24763</v>
      </c>
      <c r="H713" s="299"/>
      <c r="I713" s="249"/>
      <c r="J713" s="249"/>
      <c r="K713" s="137"/>
    </row>
    <row r="714" spans="1:11" s="9" customFormat="1" ht="11.25" customHeight="1" x14ac:dyDescent="0.2">
      <c r="A714" s="284"/>
      <c r="B714" s="284"/>
      <c r="C714" s="284"/>
      <c r="D714" s="244" t="s">
        <v>597</v>
      </c>
      <c r="E714" s="281" t="s">
        <v>238</v>
      </c>
      <c r="F714" s="257"/>
      <c r="G714" s="249"/>
      <c r="H714" s="249">
        <v>2800</v>
      </c>
      <c r="I714" s="299">
        <f t="shared" ref="I714:I719" si="13">H714/$H$719</f>
        <v>0.14526588845654995</v>
      </c>
      <c r="J714" s="249"/>
      <c r="K714" s="137"/>
    </row>
    <row r="715" spans="1:11" s="9" customFormat="1" ht="11.25" customHeight="1" x14ac:dyDescent="0.2">
      <c r="A715" s="249"/>
      <c r="B715" s="249"/>
      <c r="C715" s="284"/>
      <c r="D715" s="244" t="s">
        <v>646</v>
      </c>
      <c r="E715" s="281"/>
      <c r="F715" s="257"/>
      <c r="G715" s="249"/>
      <c r="H715" s="249">
        <v>1125</v>
      </c>
      <c r="I715" s="299">
        <f t="shared" si="13"/>
        <v>5.8365758754863814E-2</v>
      </c>
      <c r="J715" s="249"/>
      <c r="K715" s="137"/>
    </row>
    <row r="716" spans="1:11" s="9" customFormat="1" ht="11.25" customHeight="1" x14ac:dyDescent="0.2">
      <c r="A716" s="249"/>
      <c r="B716" s="249"/>
      <c r="C716" s="284"/>
      <c r="D716" s="266" t="s">
        <v>740</v>
      </c>
      <c r="E716" s="281"/>
      <c r="F716" s="257"/>
      <c r="G716" s="249"/>
      <c r="H716" s="249">
        <v>4250</v>
      </c>
      <c r="I716" s="299">
        <f t="shared" si="13"/>
        <v>0.22049286640726329</v>
      </c>
      <c r="J716" s="249"/>
      <c r="K716" s="137"/>
    </row>
    <row r="717" spans="1:11" s="9" customFormat="1" ht="11.25" customHeight="1" x14ac:dyDescent="0.2">
      <c r="A717" s="249"/>
      <c r="B717" s="249"/>
      <c r="C717" s="284"/>
      <c r="D717" s="266" t="s">
        <v>741</v>
      </c>
      <c r="E717" s="281"/>
      <c r="F717" s="257"/>
      <c r="G717" s="249"/>
      <c r="H717" s="249">
        <v>9500</v>
      </c>
      <c r="I717" s="299">
        <f t="shared" si="13"/>
        <v>0.49286640726329445</v>
      </c>
      <c r="J717" s="248" t="s">
        <v>75</v>
      </c>
      <c r="K717" s="137"/>
    </row>
    <row r="718" spans="1:11" s="9" customFormat="1" ht="11.25" customHeight="1" x14ac:dyDescent="0.2">
      <c r="A718" s="249"/>
      <c r="B718" s="249"/>
      <c r="C718" s="284"/>
      <c r="D718" s="266" t="s">
        <v>742</v>
      </c>
      <c r="E718" s="281"/>
      <c r="F718" s="257"/>
      <c r="G718" s="249"/>
      <c r="H718" s="249">
        <v>1600</v>
      </c>
      <c r="I718" s="299">
        <f t="shared" si="13"/>
        <v>8.3009079118028531E-2</v>
      </c>
      <c r="J718" s="249"/>
      <c r="K718" s="137"/>
    </row>
    <row r="719" spans="1:11" s="9" customFormat="1" ht="11.25" customHeight="1" x14ac:dyDescent="0.2">
      <c r="A719" s="249"/>
      <c r="B719" s="249"/>
      <c r="C719" s="284"/>
      <c r="D719" s="243" t="s">
        <v>33</v>
      </c>
      <c r="E719" s="281"/>
      <c r="F719" s="257"/>
      <c r="G719" s="249"/>
      <c r="H719" s="282">
        <v>19275</v>
      </c>
      <c r="I719" s="301">
        <f t="shared" si="13"/>
        <v>1</v>
      </c>
      <c r="J719" s="249"/>
      <c r="K719" s="137"/>
    </row>
    <row r="720" spans="1:11" s="9" customFormat="1" ht="11.25" customHeight="1" x14ac:dyDescent="0.2">
      <c r="A720" s="249"/>
      <c r="B720" s="249"/>
      <c r="C720" s="284"/>
      <c r="D720" s="243"/>
      <c r="E720" s="281"/>
      <c r="F720" s="257"/>
      <c r="G720" s="249"/>
      <c r="H720" s="249"/>
      <c r="I720" s="299"/>
      <c r="J720" s="249"/>
      <c r="K720" s="137"/>
    </row>
    <row r="721" spans="1:11" s="9" customFormat="1" ht="11.25" customHeight="1" x14ac:dyDescent="0.2">
      <c r="A721" s="288" t="s">
        <v>19</v>
      </c>
      <c r="B721" s="304"/>
      <c r="C721" s="288" t="s">
        <v>513</v>
      </c>
      <c r="D721" s="305" t="s">
        <v>703</v>
      </c>
      <c r="E721" s="290" t="s">
        <v>705</v>
      </c>
      <c r="F721" s="306">
        <v>7315757</v>
      </c>
      <c r="G721" s="292">
        <v>23852</v>
      </c>
      <c r="H721" s="307"/>
      <c r="I721" s="292"/>
      <c r="J721" s="292"/>
      <c r="K721" s="137"/>
    </row>
    <row r="722" spans="1:11" s="9" customFormat="1" ht="11.25" customHeight="1" x14ac:dyDescent="0.2">
      <c r="A722" s="249"/>
      <c r="B722" s="249"/>
      <c r="C722" s="284"/>
      <c r="D722" s="244" t="s">
        <v>646</v>
      </c>
      <c r="E722" s="281"/>
      <c r="F722" s="257"/>
      <c r="G722" s="249"/>
      <c r="H722" s="249">
        <v>2606</v>
      </c>
      <c r="I722" s="299">
        <f>H722/$H$726</f>
        <v>0.2436652641421225</v>
      </c>
      <c r="J722" s="249"/>
      <c r="K722" s="137"/>
    </row>
    <row r="723" spans="1:11" s="9" customFormat="1" ht="11.25" customHeight="1" x14ac:dyDescent="0.2">
      <c r="A723" s="249"/>
      <c r="B723" s="249"/>
      <c r="C723" s="284"/>
      <c r="D723" s="266" t="s">
        <v>743</v>
      </c>
      <c r="E723" s="281"/>
      <c r="F723" s="257"/>
      <c r="G723" s="249"/>
      <c r="H723" s="249">
        <v>740</v>
      </c>
      <c r="I723" s="299">
        <f>H723/$H$726</f>
        <v>6.9191210846189802E-2</v>
      </c>
      <c r="J723" s="249"/>
      <c r="K723" s="137"/>
    </row>
    <row r="724" spans="1:11" s="9" customFormat="1" ht="11.25" customHeight="1" x14ac:dyDescent="0.2">
      <c r="A724" s="249"/>
      <c r="B724" s="249"/>
      <c r="C724" s="284"/>
      <c r="D724" s="266" t="s">
        <v>744</v>
      </c>
      <c r="E724" s="281"/>
      <c r="F724" s="257"/>
      <c r="G724" s="249"/>
      <c r="H724" s="249">
        <v>3387</v>
      </c>
      <c r="I724" s="299">
        <f>H724/$H$726</f>
        <v>0.31669004207573631</v>
      </c>
      <c r="J724" s="248" t="s">
        <v>75</v>
      </c>
      <c r="K724" s="137"/>
    </row>
    <row r="725" spans="1:11" ht="10.15" customHeight="1" x14ac:dyDescent="0.2">
      <c r="A725" s="249"/>
      <c r="B725" s="249"/>
      <c r="C725" s="284"/>
      <c r="D725" s="308" t="s">
        <v>706</v>
      </c>
      <c r="E725" s="281"/>
      <c r="F725" s="257"/>
      <c r="G725" s="249"/>
      <c r="H725" s="249">
        <v>3962</v>
      </c>
      <c r="I725" s="299">
        <f>H725/$H$726</f>
        <v>0.37045348293595137</v>
      </c>
      <c r="J725" s="309" t="s">
        <v>706</v>
      </c>
      <c r="K725" s="226"/>
    </row>
    <row r="726" spans="1:11" ht="10.15" customHeight="1" x14ac:dyDescent="0.2">
      <c r="A726" s="249"/>
      <c r="B726" s="249"/>
      <c r="C726" s="284"/>
      <c r="D726" s="243" t="s">
        <v>33</v>
      </c>
      <c r="E726" s="281"/>
      <c r="F726" s="257"/>
      <c r="G726" s="249"/>
      <c r="H726" s="282">
        <v>10695</v>
      </c>
      <c r="I726" s="301">
        <f>SUM(I722:I725)</f>
        <v>1</v>
      </c>
      <c r="J726" s="249"/>
      <c r="K726" s="226"/>
    </row>
    <row r="727" spans="1:11" ht="10.15" customHeight="1" x14ac:dyDescent="0.2">
      <c r="A727" s="249"/>
      <c r="B727" s="249"/>
      <c r="C727" s="284"/>
      <c r="D727" s="243"/>
      <c r="E727" s="281"/>
      <c r="F727" s="257"/>
      <c r="G727" s="249"/>
      <c r="H727" s="249"/>
      <c r="I727" s="299"/>
      <c r="J727" s="249"/>
      <c r="K727" s="226"/>
    </row>
    <row r="728" spans="1:11" ht="10.15" customHeight="1" x14ac:dyDescent="0.2">
      <c r="A728" s="288" t="s">
        <v>19</v>
      </c>
      <c r="B728" s="304"/>
      <c r="C728" s="288" t="s">
        <v>291</v>
      </c>
      <c r="D728" s="305" t="s">
        <v>715</v>
      </c>
      <c r="E728" s="290" t="s">
        <v>716</v>
      </c>
      <c r="F728" s="306">
        <v>56225483</v>
      </c>
      <c r="G728" s="292">
        <v>143038</v>
      </c>
      <c r="H728" s="307"/>
      <c r="I728" s="292"/>
      <c r="J728" s="292"/>
      <c r="K728" s="226"/>
    </row>
    <row r="729" spans="1:11" ht="10.15" customHeight="1" x14ac:dyDescent="0.2">
      <c r="A729" s="249"/>
      <c r="B729" s="249"/>
      <c r="C729" s="284"/>
      <c r="D729" s="244" t="s">
        <v>646</v>
      </c>
      <c r="E729" s="281"/>
      <c r="F729" s="257"/>
      <c r="G729" s="249"/>
      <c r="H729" s="249">
        <v>10468</v>
      </c>
      <c r="I729" s="299">
        <f>H729/$H$736</f>
        <v>0.14964119278382937</v>
      </c>
      <c r="J729" s="249"/>
      <c r="K729" s="226"/>
    </row>
    <row r="730" spans="1:11" ht="10.15" customHeight="1" x14ac:dyDescent="0.2">
      <c r="A730" s="249"/>
      <c r="B730" s="249"/>
      <c r="C730" s="284"/>
      <c r="D730" s="308" t="s">
        <v>717</v>
      </c>
      <c r="E730" s="281"/>
      <c r="F730" s="257"/>
      <c r="G730" s="249"/>
      <c r="H730" s="249">
        <v>22642</v>
      </c>
      <c r="I730" s="299">
        <f t="shared" ref="I730:I736" si="14">H730/$H$736</f>
        <v>0.32366984018069017</v>
      </c>
      <c r="J730" s="248" t="s">
        <v>717</v>
      </c>
      <c r="K730" s="226"/>
    </row>
    <row r="731" spans="1:11" ht="10.15" customHeight="1" x14ac:dyDescent="0.2">
      <c r="A731" s="249"/>
      <c r="B731" s="249"/>
      <c r="C731" s="284"/>
      <c r="D731" s="266" t="s">
        <v>743</v>
      </c>
      <c r="E731" s="281"/>
      <c r="F731" s="257"/>
      <c r="G731" s="249"/>
      <c r="H731" s="249">
        <v>1260</v>
      </c>
      <c r="I731" s="299">
        <f t="shared" si="14"/>
        <v>1.8011836349601167E-2</v>
      </c>
      <c r="J731" s="249"/>
      <c r="K731" s="226"/>
    </row>
    <row r="732" spans="1:11" ht="10.15" customHeight="1" x14ac:dyDescent="0.2">
      <c r="A732" s="249"/>
      <c r="B732" s="249"/>
      <c r="C732" s="284"/>
      <c r="D732" s="308" t="s">
        <v>79</v>
      </c>
      <c r="E732" s="281"/>
      <c r="F732" s="257"/>
      <c r="G732" s="249"/>
      <c r="H732" s="249">
        <v>1433</v>
      </c>
      <c r="I732" s="299">
        <f t="shared" si="14"/>
        <v>2.0484890070617833E-2</v>
      </c>
      <c r="J732" s="249"/>
      <c r="K732" s="226"/>
    </row>
    <row r="733" spans="1:11" ht="10.15" customHeight="1" x14ac:dyDescent="0.2">
      <c r="A733" s="249"/>
      <c r="B733" s="249"/>
      <c r="C733" s="284"/>
      <c r="D733" s="266" t="s">
        <v>744</v>
      </c>
      <c r="E733" s="281"/>
      <c r="F733" s="257"/>
      <c r="G733" s="249"/>
      <c r="H733" s="249">
        <v>7644</v>
      </c>
      <c r="I733" s="299">
        <f t="shared" si="14"/>
        <v>0.10927180718758041</v>
      </c>
      <c r="J733" s="248"/>
      <c r="K733" s="226"/>
    </row>
    <row r="734" spans="1:11" s="9" customFormat="1" ht="11.25" customHeight="1" x14ac:dyDescent="0.2">
      <c r="A734" s="249"/>
      <c r="B734" s="249"/>
      <c r="C734" s="284"/>
      <c r="D734" s="308" t="s">
        <v>706</v>
      </c>
      <c r="E734" s="281"/>
      <c r="F734" s="257"/>
      <c r="G734" s="249"/>
      <c r="H734" s="249">
        <v>25390</v>
      </c>
      <c r="I734" s="299">
        <f t="shared" si="14"/>
        <v>0.36295279755267745</v>
      </c>
      <c r="J734" s="309" t="s">
        <v>706</v>
      </c>
      <c r="K734" s="137"/>
    </row>
    <row r="735" spans="1:11" ht="10.15" customHeight="1" x14ac:dyDescent="0.2">
      <c r="A735" s="249"/>
      <c r="B735" s="249"/>
      <c r="C735" s="284"/>
      <c r="D735" s="308" t="s">
        <v>693</v>
      </c>
      <c r="E735" s="281"/>
      <c r="F735" s="257"/>
      <c r="G735" s="249"/>
      <c r="H735" s="249">
        <v>1117</v>
      </c>
      <c r="I735" s="299">
        <f t="shared" si="14"/>
        <v>1.5967635875003574E-2</v>
      </c>
      <c r="J735" s="309"/>
      <c r="K735" s="226"/>
    </row>
    <row r="736" spans="1:11" ht="10.15" customHeight="1" x14ac:dyDescent="0.2">
      <c r="A736" s="249"/>
      <c r="B736" s="249"/>
      <c r="C736" s="284"/>
      <c r="D736" s="243" t="s">
        <v>33</v>
      </c>
      <c r="E736" s="281"/>
      <c r="F736" s="257"/>
      <c r="G736" s="249"/>
      <c r="H736" s="282">
        <f>SUM(H729:H735)</f>
        <v>69954</v>
      </c>
      <c r="I736" s="301">
        <f t="shared" si="14"/>
        <v>1</v>
      </c>
      <c r="J736" s="249"/>
      <c r="K736" s="226"/>
    </row>
    <row r="737" spans="1:11" ht="10.15" customHeight="1" x14ac:dyDescent="0.2">
      <c r="A737" s="249"/>
      <c r="B737" s="249"/>
      <c r="C737" s="284"/>
      <c r="D737" s="243"/>
      <c r="E737" s="281"/>
      <c r="F737" s="257"/>
      <c r="G737" s="249"/>
      <c r="H737" s="249"/>
      <c r="I737" s="299"/>
      <c r="J737" s="249"/>
      <c r="K737" s="226"/>
    </row>
    <row r="738" spans="1:11" ht="10.15" customHeight="1" x14ac:dyDescent="0.2">
      <c r="A738" s="288" t="s">
        <v>19</v>
      </c>
      <c r="B738" s="304"/>
      <c r="C738" s="288" t="s">
        <v>513</v>
      </c>
      <c r="D738" s="305" t="s">
        <v>718</v>
      </c>
      <c r="E738" s="290" t="s">
        <v>719</v>
      </c>
      <c r="F738" s="306">
        <v>7947340</v>
      </c>
      <c r="G738" s="292">
        <v>36000</v>
      </c>
      <c r="H738" s="307"/>
      <c r="I738" s="292"/>
      <c r="J738" s="292"/>
      <c r="K738" s="226"/>
    </row>
    <row r="739" spans="1:11" ht="10.15" customHeight="1" x14ac:dyDescent="0.2">
      <c r="A739" s="249"/>
      <c r="B739" s="249"/>
      <c r="C739" s="284"/>
      <c r="D739" s="308" t="s">
        <v>706</v>
      </c>
      <c r="E739" s="281"/>
      <c r="F739" s="257"/>
      <c r="G739" s="249"/>
      <c r="H739" s="249">
        <v>12077</v>
      </c>
      <c r="I739" s="299">
        <f>H739/$H$741</f>
        <v>0.87737014166363969</v>
      </c>
      <c r="J739" s="309" t="s">
        <v>706</v>
      </c>
      <c r="K739" s="226"/>
    </row>
    <row r="740" spans="1:11" ht="10.15" customHeight="1" x14ac:dyDescent="0.2">
      <c r="A740" s="249"/>
      <c r="B740" s="249"/>
      <c r="C740" s="284"/>
      <c r="D740" s="308" t="s">
        <v>720</v>
      </c>
      <c r="E740" s="281"/>
      <c r="F740" s="257"/>
      <c r="G740" s="249"/>
      <c r="H740" s="249">
        <v>1688</v>
      </c>
      <c r="I740" s="299">
        <f>H740/$H$741</f>
        <v>0.12262985833636034</v>
      </c>
      <c r="J740" s="309"/>
      <c r="K740" s="226"/>
    </row>
    <row r="741" spans="1:11" ht="10.15" customHeight="1" x14ac:dyDescent="0.2">
      <c r="A741" s="249"/>
      <c r="B741" s="249"/>
      <c r="C741" s="284"/>
      <c r="D741" s="243" t="s">
        <v>33</v>
      </c>
      <c r="E741" s="281"/>
      <c r="F741" s="257"/>
      <c r="G741" s="249"/>
      <c r="H741" s="282">
        <f>SUM(H739:H740)</f>
        <v>13765</v>
      </c>
      <c r="I741" s="299">
        <f>H741/$H$741</f>
        <v>1</v>
      </c>
      <c r="J741" s="249"/>
      <c r="K741" s="226"/>
    </row>
    <row r="742" spans="1:11" ht="12.2" customHeight="1" x14ac:dyDescent="0.2">
      <c r="A742" s="249"/>
      <c r="B742" s="249"/>
      <c r="C742" s="284"/>
      <c r="D742" s="243"/>
      <c r="E742" s="281"/>
      <c r="F742" s="257"/>
      <c r="G742" s="249"/>
      <c r="H742" s="249"/>
      <c r="I742" s="299"/>
      <c r="J742" s="249"/>
      <c r="K742" s="226"/>
    </row>
    <row r="743" spans="1:11" ht="10.15" customHeight="1" x14ac:dyDescent="0.2">
      <c r="A743" s="243" t="s">
        <v>18</v>
      </c>
      <c r="B743" s="243" t="s">
        <v>317</v>
      </c>
      <c r="C743" s="243" t="s">
        <v>236</v>
      </c>
      <c r="D743" s="244" t="s">
        <v>194</v>
      </c>
      <c r="E743" s="277" t="s">
        <v>318</v>
      </c>
      <c r="F743" s="245">
        <v>2364613</v>
      </c>
      <c r="G743" s="246">
        <v>33636</v>
      </c>
      <c r="H743" s="242"/>
      <c r="I743" s="251"/>
      <c r="J743" s="253"/>
      <c r="K743" s="226"/>
    </row>
    <row r="744" spans="1:11" ht="10.15" customHeight="1" x14ac:dyDescent="0.2">
      <c r="A744" s="248"/>
      <c r="B744" s="248"/>
      <c r="C744" s="261"/>
      <c r="D744" s="244" t="s">
        <v>263</v>
      </c>
      <c r="E744" s="281"/>
      <c r="F744" s="257"/>
      <c r="G744" s="249"/>
      <c r="H744" s="250">
        <v>1797</v>
      </c>
      <c r="I744" s="251">
        <f>ROUND(H744/$H$750,4)</f>
        <v>0.1033</v>
      </c>
      <c r="J744" s="253"/>
      <c r="K744" s="226"/>
    </row>
    <row r="745" spans="1:11" ht="10.15" customHeight="1" x14ac:dyDescent="0.2">
      <c r="A745" s="248"/>
      <c r="B745" s="248"/>
      <c r="C745" s="261"/>
      <c r="D745" s="244" t="s">
        <v>240</v>
      </c>
      <c r="E745" s="281"/>
      <c r="F745" s="257"/>
      <c r="G745" s="249"/>
      <c r="H745" s="250">
        <v>5679</v>
      </c>
      <c r="I745" s="251">
        <f>ROUND(H745/$H$750,4)</f>
        <v>0.32640000000000002</v>
      </c>
      <c r="J745" s="252" t="s">
        <v>240</v>
      </c>
      <c r="K745" s="226"/>
    </row>
    <row r="746" spans="1:11" ht="10.15" customHeight="1" x14ac:dyDescent="0.2">
      <c r="A746" s="248"/>
      <c r="B746" s="248"/>
      <c r="C746" s="261"/>
      <c r="D746" s="244" t="s">
        <v>243</v>
      </c>
      <c r="E746" s="281"/>
      <c r="F746" s="257"/>
      <c r="G746" s="249"/>
      <c r="H746" s="250">
        <v>1335</v>
      </c>
      <c r="I746" s="251">
        <f>ROUND(H746/$H$750,4)</f>
        <v>7.6700000000000004E-2</v>
      </c>
      <c r="J746" s="253"/>
      <c r="K746" s="226"/>
    </row>
    <row r="747" spans="1:11" ht="10.15" customHeight="1" x14ac:dyDescent="0.2">
      <c r="A747" s="248"/>
      <c r="B747" s="248"/>
      <c r="C747" s="261"/>
      <c r="D747" s="244" t="s">
        <v>242</v>
      </c>
      <c r="E747" s="281"/>
      <c r="F747" s="257"/>
      <c r="G747" s="249"/>
      <c r="H747" s="250">
        <v>6739</v>
      </c>
      <c r="I747" s="251">
        <f>ROUND(H747/$H$750,4)+0.0001</f>
        <v>0.38739999999999997</v>
      </c>
      <c r="J747" s="252" t="s">
        <v>290</v>
      </c>
      <c r="K747" s="226"/>
    </row>
    <row r="748" spans="1:11" ht="10.15" customHeight="1" x14ac:dyDescent="0.2">
      <c r="A748" s="248"/>
      <c r="B748" s="248"/>
      <c r="C748" s="261"/>
      <c r="D748" s="244" t="s">
        <v>244</v>
      </c>
      <c r="E748" s="281"/>
      <c r="F748" s="257"/>
      <c r="G748" s="249"/>
      <c r="H748" s="250">
        <v>240</v>
      </c>
      <c r="I748" s="251">
        <f>ROUND(H748/$H$750,4)</f>
        <v>1.38E-2</v>
      </c>
      <c r="J748" s="253"/>
      <c r="K748" s="226"/>
    </row>
    <row r="749" spans="1:11" ht="12.2" customHeight="1" x14ac:dyDescent="0.2">
      <c r="A749" s="248"/>
      <c r="B749" s="248"/>
      <c r="C749" s="261"/>
      <c r="D749" s="244" t="s">
        <v>245</v>
      </c>
      <c r="E749" s="281"/>
      <c r="F749" s="257"/>
      <c r="G749" s="249"/>
      <c r="H749" s="250">
        <v>1608</v>
      </c>
      <c r="I749" s="251">
        <f>ROUND(H749/$H$750,4)</f>
        <v>9.2399999999999996E-2</v>
      </c>
      <c r="J749" s="253"/>
      <c r="K749" s="226"/>
    </row>
    <row r="750" spans="1:11" ht="10.15" customHeight="1" x14ac:dyDescent="0.2">
      <c r="A750" s="248"/>
      <c r="B750" s="248"/>
      <c r="C750" s="261"/>
      <c r="D750" s="243" t="s">
        <v>33</v>
      </c>
      <c r="E750" s="281"/>
      <c r="F750" s="257"/>
      <c r="G750" s="249"/>
      <c r="H750" s="255">
        <f>SUM(H744:H749)</f>
        <v>17398</v>
      </c>
      <c r="I750" s="256">
        <f>SUM(I744:I749)</f>
        <v>1</v>
      </c>
      <c r="J750" s="253"/>
      <c r="K750" s="226"/>
    </row>
    <row r="751" spans="1:11" ht="10.15" customHeight="1" x14ac:dyDescent="0.2">
      <c r="A751" s="248"/>
      <c r="B751" s="248"/>
      <c r="C751" s="261"/>
      <c r="D751" s="249"/>
      <c r="E751" s="281"/>
      <c r="F751" s="257"/>
      <c r="G751" s="249"/>
      <c r="H751" s="242"/>
      <c r="I751" s="242"/>
      <c r="J751" s="253"/>
      <c r="K751" s="226"/>
    </row>
    <row r="752" spans="1:11" ht="10.15" customHeight="1" x14ac:dyDescent="0.2">
      <c r="A752" s="243" t="s">
        <v>18</v>
      </c>
      <c r="B752" s="243" t="s">
        <v>319</v>
      </c>
      <c r="C752" s="243" t="s">
        <v>236</v>
      </c>
      <c r="D752" s="244" t="s">
        <v>159</v>
      </c>
      <c r="E752" s="277" t="s">
        <v>320</v>
      </c>
      <c r="F752" s="245">
        <v>3241000</v>
      </c>
      <c r="G752" s="246">
        <v>52000</v>
      </c>
      <c r="H752" s="242"/>
      <c r="I752" s="251"/>
      <c r="J752" s="253"/>
      <c r="K752" s="226"/>
    </row>
    <row r="753" spans="1:11" ht="10.15" customHeight="1" x14ac:dyDescent="0.2">
      <c r="A753" s="248"/>
      <c r="B753" s="248"/>
      <c r="C753" s="261"/>
      <c r="D753" s="244" t="s">
        <v>263</v>
      </c>
      <c r="E753" s="281"/>
      <c r="F753" s="257"/>
      <c r="G753" s="249"/>
      <c r="H753" s="250">
        <v>15000</v>
      </c>
      <c r="I753" s="251">
        <f t="shared" ref="I753:I758" si="15">H753/$H$759</f>
        <v>0.36496350364963503</v>
      </c>
      <c r="J753" s="252" t="s">
        <v>263</v>
      </c>
      <c r="K753" s="226"/>
    </row>
    <row r="754" spans="1:11" ht="12.2" customHeight="1" x14ac:dyDescent="0.2">
      <c r="A754" s="248"/>
      <c r="B754" s="248"/>
      <c r="C754" s="261"/>
      <c r="D754" s="244" t="s">
        <v>240</v>
      </c>
      <c r="E754" s="281"/>
      <c r="F754" s="257"/>
      <c r="G754" s="249"/>
      <c r="H754" s="250">
        <v>4730</v>
      </c>
      <c r="I754" s="251">
        <f t="shared" si="15"/>
        <v>0.11508515815085159</v>
      </c>
      <c r="J754" s="253"/>
      <c r="K754" s="226"/>
    </row>
    <row r="755" spans="1:11" ht="10.15" customHeight="1" x14ac:dyDescent="0.2">
      <c r="A755" s="248"/>
      <c r="B755" s="248"/>
      <c r="C755" s="261"/>
      <c r="D755" s="244" t="s">
        <v>243</v>
      </c>
      <c r="E755" s="281"/>
      <c r="F755" s="257"/>
      <c r="G755" s="249"/>
      <c r="H755" s="250">
        <v>3720</v>
      </c>
      <c r="I755" s="251">
        <f t="shared" si="15"/>
        <v>9.0510948905109495E-2</v>
      </c>
      <c r="J755" s="253"/>
      <c r="K755" s="226"/>
    </row>
    <row r="756" spans="1:11" ht="10.15" customHeight="1" x14ac:dyDescent="0.2">
      <c r="A756" s="248"/>
      <c r="B756" s="248"/>
      <c r="C756" s="261"/>
      <c r="D756" s="244" t="s">
        <v>242</v>
      </c>
      <c r="E756" s="281"/>
      <c r="F756" s="257"/>
      <c r="G756" s="249"/>
      <c r="H756" s="250">
        <v>14450</v>
      </c>
      <c r="I756" s="251">
        <f t="shared" si="15"/>
        <v>0.3515815085158151</v>
      </c>
      <c r="J756" s="252" t="s">
        <v>290</v>
      </c>
      <c r="K756" s="226"/>
    </row>
    <row r="757" spans="1:11" ht="10.15" customHeight="1" x14ac:dyDescent="0.2">
      <c r="A757" s="248"/>
      <c r="B757" s="248"/>
      <c r="C757" s="261"/>
      <c r="D757" s="244" t="s">
        <v>245</v>
      </c>
      <c r="E757" s="281"/>
      <c r="F757" s="257"/>
      <c r="G757" s="249"/>
      <c r="H757" s="250">
        <v>1500</v>
      </c>
      <c r="I757" s="251">
        <f t="shared" si="15"/>
        <v>3.6496350364963501E-2</v>
      </c>
      <c r="J757" s="253"/>
      <c r="K757" s="226"/>
    </row>
    <row r="758" spans="1:11" ht="10.15" customHeight="1" x14ac:dyDescent="0.2">
      <c r="A758" s="248"/>
      <c r="B758" s="248"/>
      <c r="C758" s="261"/>
      <c r="D758" s="254" t="s">
        <v>246</v>
      </c>
      <c r="E758" s="281"/>
      <c r="F758" s="257"/>
      <c r="G758" s="249"/>
      <c r="H758" s="250">
        <v>1700</v>
      </c>
      <c r="I758" s="251">
        <f t="shared" si="15"/>
        <v>4.1362530413625302E-2</v>
      </c>
      <c r="J758" s="253"/>
      <c r="K758" s="226"/>
    </row>
    <row r="759" spans="1:11" ht="10.15" customHeight="1" x14ac:dyDescent="0.2">
      <c r="A759" s="248"/>
      <c r="B759" s="248"/>
      <c r="C759" s="261"/>
      <c r="D759" s="243" t="s">
        <v>33</v>
      </c>
      <c r="E759" s="281"/>
      <c r="F759" s="257"/>
      <c r="G759" s="249"/>
      <c r="H759" s="255">
        <f>SUM(H753:H758)</f>
        <v>41100</v>
      </c>
      <c r="I759" s="256">
        <f>SUM(I753:I758)</f>
        <v>1</v>
      </c>
      <c r="J759" s="253"/>
      <c r="K759" s="226"/>
    </row>
    <row r="760" spans="1:11" ht="10.15" customHeight="1" x14ac:dyDescent="0.2">
      <c r="A760" s="248"/>
      <c r="B760" s="248"/>
      <c r="C760" s="261"/>
      <c r="D760" s="249"/>
      <c r="E760" s="281"/>
      <c r="F760" s="257"/>
      <c r="G760" s="249"/>
      <c r="H760" s="242"/>
      <c r="I760" s="251"/>
      <c r="J760" s="253"/>
      <c r="K760" s="226"/>
    </row>
    <row r="761" spans="1:11" ht="10.15" customHeight="1" x14ac:dyDescent="0.2">
      <c r="A761" s="243" t="s">
        <v>18</v>
      </c>
      <c r="B761" s="243" t="s">
        <v>321</v>
      </c>
      <c r="C761" s="243" t="s">
        <v>236</v>
      </c>
      <c r="D761" s="244" t="s">
        <v>47</v>
      </c>
      <c r="E761" s="277" t="s">
        <v>262</v>
      </c>
      <c r="F761" s="245">
        <v>2050711</v>
      </c>
      <c r="G761" s="246">
        <v>32672</v>
      </c>
      <c r="H761" s="242"/>
      <c r="I761" s="242"/>
      <c r="J761" s="253"/>
      <c r="K761" s="226"/>
    </row>
    <row r="762" spans="1:11" ht="6" customHeight="1" x14ac:dyDescent="0.2">
      <c r="A762" s="248"/>
      <c r="B762" s="248"/>
      <c r="C762" s="261"/>
      <c r="D762" s="244" t="s">
        <v>243</v>
      </c>
      <c r="E762" s="281"/>
      <c r="F762" s="257"/>
      <c r="G762" s="249"/>
      <c r="H762" s="255">
        <v>23300</v>
      </c>
      <c r="I762" s="256">
        <f>ROUND(H762/$H$762,4)</f>
        <v>1</v>
      </c>
      <c r="J762" s="252" t="s">
        <v>243</v>
      </c>
      <c r="K762" s="226"/>
    </row>
    <row r="763" spans="1:11" ht="10.15" customHeight="1" x14ac:dyDescent="0.2">
      <c r="A763" s="248"/>
      <c r="B763" s="248"/>
      <c r="C763" s="261"/>
      <c r="D763" s="249"/>
      <c r="E763" s="281"/>
      <c r="F763" s="257"/>
      <c r="G763" s="249"/>
      <c r="H763" s="242"/>
      <c r="I763" s="242"/>
      <c r="J763" s="253"/>
      <c r="K763" s="226"/>
    </row>
    <row r="764" spans="1:11" ht="10.15" customHeight="1" x14ac:dyDescent="0.2">
      <c r="A764" s="243" t="s">
        <v>18</v>
      </c>
      <c r="B764" s="243" t="s">
        <v>322</v>
      </c>
      <c r="C764" s="243" t="s">
        <v>236</v>
      </c>
      <c r="D764" s="254" t="s">
        <v>178</v>
      </c>
      <c r="E764" s="277" t="s">
        <v>323</v>
      </c>
      <c r="F764" s="245">
        <v>2887600</v>
      </c>
      <c r="G764" s="246">
        <v>37832</v>
      </c>
      <c r="H764" s="242"/>
      <c r="I764" s="242"/>
      <c r="J764" s="253"/>
      <c r="K764" s="226"/>
    </row>
    <row r="765" spans="1:11" ht="10.15" customHeight="1" x14ac:dyDescent="0.2">
      <c r="A765" s="248"/>
      <c r="B765" s="248"/>
      <c r="C765" s="261"/>
      <c r="D765" s="244" t="s">
        <v>263</v>
      </c>
      <c r="E765" s="281"/>
      <c r="F765" s="257"/>
      <c r="G765" s="249"/>
      <c r="H765" s="250">
        <v>763</v>
      </c>
      <c r="I765" s="251">
        <f>ROUND(H765/$H$771,4)</f>
        <v>4.24E-2</v>
      </c>
      <c r="J765" s="253"/>
      <c r="K765" s="226"/>
    </row>
    <row r="766" spans="1:11" ht="10.15" customHeight="1" x14ac:dyDescent="0.2">
      <c r="A766" s="248"/>
      <c r="B766" s="248"/>
      <c r="C766" s="261"/>
      <c r="D766" s="244" t="s">
        <v>240</v>
      </c>
      <c r="E766" s="281"/>
      <c r="F766" s="257"/>
      <c r="G766" s="249"/>
      <c r="H766" s="250">
        <v>8550</v>
      </c>
      <c r="I766" s="251">
        <f>ROUND(H766/$H$771,4)-0.0001</f>
        <v>0.47450000000000003</v>
      </c>
      <c r="J766" s="252" t="s">
        <v>240</v>
      </c>
      <c r="K766" s="226"/>
    </row>
    <row r="767" spans="1:11" ht="10.15" customHeight="1" x14ac:dyDescent="0.2">
      <c r="A767" s="248"/>
      <c r="B767" s="248"/>
      <c r="C767" s="261"/>
      <c r="D767" s="244" t="s">
        <v>243</v>
      </c>
      <c r="E767" s="281"/>
      <c r="F767" s="257"/>
      <c r="G767" s="249"/>
      <c r="H767" s="250">
        <v>500</v>
      </c>
      <c r="I767" s="251">
        <f>ROUND(H767/$H$771,4)</f>
        <v>2.7799999999999998E-2</v>
      </c>
      <c r="J767" s="253"/>
      <c r="K767" s="226"/>
    </row>
    <row r="768" spans="1:11" ht="10.15" customHeight="1" x14ac:dyDescent="0.2">
      <c r="A768" s="248"/>
      <c r="B768" s="248"/>
      <c r="C768" s="261"/>
      <c r="D768" s="244" t="s">
        <v>242</v>
      </c>
      <c r="E768" s="281"/>
      <c r="F768" s="257"/>
      <c r="G768" s="249"/>
      <c r="H768" s="250">
        <v>6827</v>
      </c>
      <c r="I768" s="251">
        <f>ROUND(H768/$H$771,4)</f>
        <v>0.379</v>
      </c>
      <c r="J768" s="252" t="s">
        <v>290</v>
      </c>
      <c r="K768" s="226"/>
    </row>
    <row r="769" spans="1:11" ht="10.15" customHeight="1" x14ac:dyDescent="0.2">
      <c r="A769" s="248"/>
      <c r="B769" s="248"/>
      <c r="C769" s="261"/>
      <c r="D769" s="244" t="s">
        <v>245</v>
      </c>
      <c r="E769" s="281"/>
      <c r="F769" s="257"/>
      <c r="G769" s="249"/>
      <c r="H769" s="250">
        <v>50</v>
      </c>
      <c r="I769" s="251">
        <f>ROUND(H769/$H$771,4)</f>
        <v>2.8E-3</v>
      </c>
      <c r="J769" s="253"/>
      <c r="K769" s="226"/>
    </row>
    <row r="770" spans="1:11" ht="10.15" customHeight="1" x14ac:dyDescent="0.2">
      <c r="A770" s="248"/>
      <c r="B770" s="248"/>
      <c r="C770" s="261"/>
      <c r="D770" s="254" t="s">
        <v>246</v>
      </c>
      <c r="E770" s="281"/>
      <c r="F770" s="257"/>
      <c r="G770" s="249"/>
      <c r="H770" s="250">
        <v>1325</v>
      </c>
      <c r="I770" s="251">
        <f>ROUND(H770/$H$771,4)</f>
        <v>7.3499999999999996E-2</v>
      </c>
      <c r="J770" s="253"/>
      <c r="K770" s="226"/>
    </row>
    <row r="771" spans="1:11" ht="10.15" customHeight="1" x14ac:dyDescent="0.2">
      <c r="A771" s="248"/>
      <c r="B771" s="248"/>
      <c r="C771" s="261"/>
      <c r="D771" s="243" t="s">
        <v>33</v>
      </c>
      <c r="E771" s="281"/>
      <c r="F771" s="257"/>
      <c r="G771" s="249"/>
      <c r="H771" s="255">
        <f>SUM(H765:H770)</f>
        <v>18015</v>
      </c>
      <c r="I771" s="256">
        <f>SUM(I765:I770)</f>
        <v>1</v>
      </c>
      <c r="J771" s="253"/>
      <c r="K771" s="226"/>
    </row>
    <row r="772" spans="1:11" ht="10.15" customHeight="1" x14ac:dyDescent="0.2">
      <c r="A772" s="248"/>
      <c r="B772" s="248"/>
      <c r="C772" s="261"/>
      <c r="D772" s="249"/>
      <c r="E772" s="281"/>
      <c r="F772" s="257"/>
      <c r="G772" s="249"/>
      <c r="H772" s="242"/>
      <c r="I772" s="251"/>
      <c r="J772" s="253"/>
      <c r="K772" s="226"/>
    </row>
    <row r="773" spans="1:11" ht="10.15" customHeight="1" x14ac:dyDescent="0.2">
      <c r="A773" s="243" t="s">
        <v>18</v>
      </c>
      <c r="B773" s="243">
        <v>380</v>
      </c>
      <c r="C773" s="243" t="s">
        <v>236</v>
      </c>
      <c r="D773" s="244" t="s">
        <v>224</v>
      </c>
      <c r="E773" s="277" t="s">
        <v>324</v>
      </c>
      <c r="F773" s="245">
        <v>6966764</v>
      </c>
      <c r="G773" s="246">
        <v>79709</v>
      </c>
      <c r="H773" s="242"/>
      <c r="I773" s="251"/>
      <c r="J773" s="253"/>
      <c r="K773" s="226"/>
    </row>
    <row r="774" spans="1:11" ht="10.15" customHeight="1" x14ac:dyDescent="0.2">
      <c r="A774" s="248"/>
      <c r="B774" s="248"/>
      <c r="C774" s="261"/>
      <c r="D774" s="244" t="s">
        <v>242</v>
      </c>
      <c r="E774" s="281"/>
      <c r="F774" s="257"/>
      <c r="G774" s="249"/>
      <c r="H774" s="250">
        <v>14700</v>
      </c>
      <c r="I774" s="251">
        <f>ROUND(H774/$H$776,4)</f>
        <v>0.27289999999999998</v>
      </c>
      <c r="J774" s="253"/>
      <c r="K774" s="226"/>
    </row>
    <row r="775" spans="1:11" ht="10.15" customHeight="1" x14ac:dyDescent="0.2">
      <c r="A775" s="248"/>
      <c r="B775" s="248"/>
      <c r="C775" s="261"/>
      <c r="D775" s="254" t="s">
        <v>246</v>
      </c>
      <c r="E775" s="281"/>
      <c r="F775" s="257"/>
      <c r="G775" s="249"/>
      <c r="H775" s="250">
        <v>39159</v>
      </c>
      <c r="I775" s="251">
        <f>ROUND(H775/$H$776,4)</f>
        <v>0.72709999999999997</v>
      </c>
      <c r="J775" s="252" t="s">
        <v>246</v>
      </c>
      <c r="K775" s="226"/>
    </row>
    <row r="776" spans="1:11" ht="10.15" customHeight="1" x14ac:dyDescent="0.2">
      <c r="A776" s="248"/>
      <c r="B776" s="248"/>
      <c r="C776" s="261"/>
      <c r="D776" s="243" t="s">
        <v>33</v>
      </c>
      <c r="E776" s="281"/>
      <c r="F776" s="257"/>
      <c r="G776" s="249"/>
      <c r="H776" s="255">
        <f>SUM(H774:H775)</f>
        <v>53859</v>
      </c>
      <c r="I776" s="256">
        <f>SUM(I774:I775)</f>
        <v>1</v>
      </c>
      <c r="J776" s="253"/>
      <c r="K776" s="226"/>
    </row>
    <row r="777" spans="1:11" ht="10.15" customHeight="1" x14ac:dyDescent="0.2">
      <c r="A777" s="248"/>
      <c r="B777" s="248"/>
      <c r="C777" s="261"/>
      <c r="D777" s="249"/>
      <c r="E777" s="281"/>
      <c r="F777" s="257"/>
      <c r="G777" s="249"/>
      <c r="H777" s="242"/>
      <c r="I777" s="251"/>
      <c r="J777" s="253"/>
      <c r="K777" s="226"/>
    </row>
    <row r="778" spans="1:11" ht="10.15" customHeight="1" x14ac:dyDescent="0.2">
      <c r="A778" s="243" t="s">
        <v>18</v>
      </c>
      <c r="B778" s="243">
        <v>371</v>
      </c>
      <c r="C778" s="243" t="s">
        <v>291</v>
      </c>
      <c r="D778" s="244" t="s">
        <v>60</v>
      </c>
      <c r="E778" s="277" t="s">
        <v>312</v>
      </c>
      <c r="F778" s="245">
        <v>10596300</v>
      </c>
      <c r="G778" s="246">
        <v>81980</v>
      </c>
      <c r="H778" s="242"/>
      <c r="I778" s="251"/>
      <c r="J778" s="253"/>
      <c r="K778" s="226"/>
    </row>
    <row r="779" spans="1:11" ht="10.15" customHeight="1" x14ac:dyDescent="0.2">
      <c r="A779" s="248"/>
      <c r="B779" s="248"/>
      <c r="C779" s="261"/>
      <c r="D779" s="244" t="s">
        <v>263</v>
      </c>
      <c r="E779" s="281"/>
      <c r="F779" s="257"/>
      <c r="G779" s="249"/>
      <c r="H779" s="250">
        <v>4290</v>
      </c>
      <c r="I779" s="251">
        <f>ROUND(H779/$H$784,4)</f>
        <v>7.8100000000000003E-2</v>
      </c>
      <c r="J779" s="253"/>
      <c r="K779" s="226"/>
    </row>
    <row r="780" spans="1:11" ht="10.15" customHeight="1" x14ac:dyDescent="0.2">
      <c r="A780" s="248"/>
      <c r="B780" s="248"/>
      <c r="C780" s="261"/>
      <c r="D780" s="244" t="s">
        <v>286</v>
      </c>
      <c r="E780" s="281"/>
      <c r="F780" s="257"/>
      <c r="G780" s="249"/>
      <c r="H780" s="250">
        <v>9790</v>
      </c>
      <c r="I780" s="251">
        <f>ROUND(H780/$H$784,4)</f>
        <v>0.17829999999999999</v>
      </c>
      <c r="J780" s="253"/>
      <c r="K780" s="226"/>
    </row>
    <row r="781" spans="1:11" ht="10.15" customHeight="1" x14ac:dyDescent="0.2">
      <c r="A781" s="248"/>
      <c r="B781" s="248"/>
      <c r="C781" s="261"/>
      <c r="D781" s="244" t="s">
        <v>241</v>
      </c>
      <c r="E781" s="281"/>
      <c r="F781" s="257"/>
      <c r="G781" s="249"/>
      <c r="H781" s="250">
        <v>25349</v>
      </c>
      <c r="I781" s="251">
        <f>ROUND(H781/$H$784,4)</f>
        <v>0.4617</v>
      </c>
      <c r="J781" s="252" t="s">
        <v>241</v>
      </c>
      <c r="K781" s="226"/>
    </row>
    <row r="782" spans="1:11" ht="10.15" customHeight="1" x14ac:dyDescent="0.2">
      <c r="A782" s="248"/>
      <c r="B782" s="248"/>
      <c r="C782" s="261"/>
      <c r="D782" s="244" t="s">
        <v>242</v>
      </c>
      <c r="E782" s="281"/>
      <c r="F782" s="257"/>
      <c r="G782" s="249"/>
      <c r="H782" s="250">
        <v>11196</v>
      </c>
      <c r="I782" s="251">
        <f>ROUND(H782/$H$784,4)</f>
        <v>0.2039</v>
      </c>
      <c r="J782" s="253" t="s">
        <v>242</v>
      </c>
      <c r="K782" s="226"/>
    </row>
    <row r="783" spans="1:11" ht="10.15" customHeight="1" x14ac:dyDescent="0.2">
      <c r="A783" s="248"/>
      <c r="B783" s="248"/>
      <c r="C783" s="261"/>
      <c r="D783" s="244" t="s">
        <v>287</v>
      </c>
      <c r="E783" s="281"/>
      <c r="F783" s="257"/>
      <c r="G783" s="249"/>
      <c r="H783" s="250">
        <v>4280</v>
      </c>
      <c r="I783" s="251">
        <f>ROUND(H783/$H$784,4)</f>
        <v>7.8E-2</v>
      </c>
      <c r="J783" s="253"/>
      <c r="K783" s="226"/>
    </row>
    <row r="784" spans="1:11" ht="10.15" customHeight="1" x14ac:dyDescent="0.2">
      <c r="A784" s="248"/>
      <c r="B784" s="248"/>
      <c r="C784" s="261"/>
      <c r="D784" s="243" t="s">
        <v>33</v>
      </c>
      <c r="E784" s="281"/>
      <c r="F784" s="257"/>
      <c r="G784" s="249"/>
      <c r="H784" s="255">
        <f>SUM(H779:H783)</f>
        <v>54905</v>
      </c>
      <c r="I784" s="256">
        <f>SUM(I779:I783)</f>
        <v>0.99999999999999989</v>
      </c>
      <c r="J784" s="253"/>
      <c r="K784" s="226"/>
    </row>
    <row r="785" spans="1:11" ht="10.15" customHeight="1" x14ac:dyDescent="0.2">
      <c r="A785" s="248"/>
      <c r="B785" s="248"/>
      <c r="C785" s="261"/>
      <c r="D785" s="249"/>
      <c r="E785" s="281"/>
      <c r="F785" s="257"/>
      <c r="G785" s="249"/>
      <c r="H785" s="242"/>
      <c r="I785" s="251"/>
      <c r="J785" s="253"/>
      <c r="K785" s="226"/>
    </row>
    <row r="786" spans="1:11" ht="10.15" customHeight="1" x14ac:dyDescent="0.2">
      <c r="A786" s="261" t="s">
        <v>18</v>
      </c>
      <c r="B786" s="264">
        <v>395</v>
      </c>
      <c r="C786" s="243" t="s">
        <v>291</v>
      </c>
      <c r="D786" s="249" t="s">
        <v>122</v>
      </c>
      <c r="E786" s="336">
        <v>35400</v>
      </c>
      <c r="F786" s="257">
        <v>4828428</v>
      </c>
      <c r="G786" s="249">
        <v>45409</v>
      </c>
      <c r="H786" s="242"/>
      <c r="I786" s="251"/>
      <c r="J786" s="242"/>
      <c r="K786" s="226"/>
    </row>
    <row r="787" spans="1:11" ht="10.15" customHeight="1" x14ac:dyDescent="0.2">
      <c r="A787" s="249"/>
      <c r="B787" s="249"/>
      <c r="C787" s="284"/>
      <c r="D787" s="244" t="s">
        <v>263</v>
      </c>
      <c r="E787" s="281"/>
      <c r="F787" s="257"/>
      <c r="G787" s="249"/>
      <c r="H787" s="242">
        <v>52980</v>
      </c>
      <c r="I787" s="251">
        <f>H787/H789</f>
        <v>0.96135002721829066</v>
      </c>
      <c r="J787" s="253" t="s">
        <v>263</v>
      </c>
      <c r="K787" s="226"/>
    </row>
    <row r="788" spans="1:11" ht="10.15" customHeight="1" x14ac:dyDescent="0.2">
      <c r="A788" s="249"/>
      <c r="B788" s="249"/>
      <c r="C788" s="284"/>
      <c r="D788" s="244" t="s">
        <v>294</v>
      </c>
      <c r="E788" s="281"/>
      <c r="F788" s="257"/>
      <c r="G788" s="249"/>
      <c r="H788" s="242">
        <v>2130</v>
      </c>
      <c r="I788" s="251">
        <f>H788/H789</f>
        <v>3.8649972781709306E-2</v>
      </c>
      <c r="J788" s="252"/>
      <c r="K788" s="226"/>
    </row>
    <row r="789" spans="1:11" ht="10.15" customHeight="1" x14ac:dyDescent="0.2">
      <c r="A789" s="249"/>
      <c r="B789" s="249"/>
      <c r="C789" s="284"/>
      <c r="D789" s="243" t="s">
        <v>33</v>
      </c>
      <c r="E789" s="281"/>
      <c r="F789" s="257"/>
      <c r="G789" s="249"/>
      <c r="H789" s="265">
        <f>SUM(H787:H788)</f>
        <v>55110</v>
      </c>
      <c r="I789" s="256">
        <f>SUM(I787:I788)</f>
        <v>1</v>
      </c>
      <c r="J789" s="242"/>
      <c r="K789" s="226"/>
    </row>
    <row r="790" spans="1:11" ht="10.15" customHeight="1" x14ac:dyDescent="0.2">
      <c r="A790" s="249"/>
      <c r="B790" s="249"/>
      <c r="C790" s="284"/>
      <c r="D790" s="243"/>
      <c r="E790" s="281"/>
      <c r="F790" s="257"/>
      <c r="G790" s="249"/>
      <c r="H790" s="249"/>
      <c r="I790" s="262"/>
      <c r="J790" s="242"/>
      <c r="K790" s="226"/>
    </row>
    <row r="791" spans="1:11" ht="10.15" customHeight="1" x14ac:dyDescent="0.2">
      <c r="A791" s="243" t="s">
        <v>18</v>
      </c>
      <c r="B791" s="243">
        <v>306</v>
      </c>
      <c r="C791" s="243" t="s">
        <v>291</v>
      </c>
      <c r="D791" s="244" t="s">
        <v>425</v>
      </c>
      <c r="E791" s="277">
        <v>36800</v>
      </c>
      <c r="F791" s="245">
        <v>7927400</v>
      </c>
      <c r="G791" s="246">
        <v>50386</v>
      </c>
      <c r="H791" s="242"/>
      <c r="I791" s="251"/>
      <c r="J791" s="253"/>
      <c r="K791" s="226"/>
    </row>
    <row r="792" spans="1:11" ht="10.15" customHeight="1" x14ac:dyDescent="0.2">
      <c r="A792" s="248"/>
      <c r="B792" s="248"/>
      <c r="C792" s="261"/>
      <c r="D792" s="244" t="s">
        <v>263</v>
      </c>
      <c r="E792" s="281"/>
      <c r="F792" s="257"/>
      <c r="G792" s="249"/>
      <c r="H792" s="250">
        <v>4200</v>
      </c>
      <c r="I792" s="251">
        <f>ROUND(H792/$H$799,4)</f>
        <v>0.1167</v>
      </c>
      <c r="J792" s="253"/>
      <c r="K792" s="226"/>
    </row>
    <row r="793" spans="1:11" ht="10.15" customHeight="1" x14ac:dyDescent="0.2">
      <c r="A793" s="248"/>
      <c r="B793" s="248"/>
      <c r="C793" s="261"/>
      <c r="D793" s="244" t="s">
        <v>292</v>
      </c>
      <c r="E793" s="281"/>
      <c r="F793" s="257"/>
      <c r="G793" s="249"/>
      <c r="H793" s="250">
        <v>17205</v>
      </c>
      <c r="I793" s="251">
        <f t="shared" ref="I793:I798" si="16">ROUND(H793/$H$799,4)</f>
        <v>0.47799999999999998</v>
      </c>
      <c r="J793" s="252" t="s">
        <v>292</v>
      </c>
      <c r="K793" s="226"/>
    </row>
    <row r="794" spans="1:11" ht="10.15" customHeight="1" x14ac:dyDescent="0.2">
      <c r="A794" s="248"/>
      <c r="B794" s="248"/>
      <c r="C794" s="261"/>
      <c r="D794" s="244" t="s">
        <v>286</v>
      </c>
      <c r="E794" s="281"/>
      <c r="F794" s="257"/>
      <c r="G794" s="249"/>
      <c r="H794" s="250">
        <v>1925</v>
      </c>
      <c r="I794" s="251">
        <f t="shared" si="16"/>
        <v>5.3499999999999999E-2</v>
      </c>
      <c r="J794" s="252"/>
      <c r="K794" s="226"/>
    </row>
    <row r="795" spans="1:11" ht="10.15" customHeight="1" x14ac:dyDescent="0.2">
      <c r="A795" s="248"/>
      <c r="B795" s="248"/>
      <c r="C795" s="261"/>
      <c r="D795" s="244" t="s">
        <v>264</v>
      </c>
      <c r="E795" s="281"/>
      <c r="F795" s="257"/>
      <c r="G795" s="249"/>
      <c r="H795" s="250">
        <v>5660</v>
      </c>
      <c r="I795" s="251">
        <f t="shared" si="16"/>
        <v>0.1573</v>
      </c>
      <c r="J795" s="253"/>
      <c r="K795" s="226"/>
    </row>
    <row r="796" spans="1:11" ht="10.15" customHeight="1" x14ac:dyDescent="0.2">
      <c r="A796" s="248"/>
      <c r="B796" s="248"/>
      <c r="C796" s="261"/>
      <c r="D796" s="244" t="s">
        <v>290</v>
      </c>
      <c r="E796" s="281"/>
      <c r="F796" s="257"/>
      <c r="G796" s="249"/>
      <c r="H796" s="250">
        <v>4065</v>
      </c>
      <c r="I796" s="251">
        <f t="shared" si="16"/>
        <v>0.1129</v>
      </c>
      <c r="J796" s="253"/>
      <c r="K796" s="226"/>
    </row>
    <row r="797" spans="1:11" ht="10.15" customHeight="1" x14ac:dyDescent="0.2">
      <c r="A797" s="248"/>
      <c r="B797" s="248"/>
      <c r="C797" s="261"/>
      <c r="D797" s="244" t="s">
        <v>294</v>
      </c>
      <c r="E797" s="281"/>
      <c r="F797" s="257"/>
      <c r="G797" s="249"/>
      <c r="H797" s="250">
        <v>1050</v>
      </c>
      <c r="I797" s="251">
        <f t="shared" si="16"/>
        <v>2.92E-2</v>
      </c>
      <c r="J797" s="253"/>
      <c r="K797" s="226"/>
    </row>
    <row r="798" spans="1:11" ht="12.2" customHeight="1" x14ac:dyDescent="0.2">
      <c r="A798" s="248"/>
      <c r="B798" s="248"/>
      <c r="C798" s="261"/>
      <c r="D798" s="244" t="s">
        <v>287</v>
      </c>
      <c r="E798" s="281"/>
      <c r="F798" s="257"/>
      <c r="G798" s="249"/>
      <c r="H798" s="250">
        <v>1885</v>
      </c>
      <c r="I798" s="251">
        <f t="shared" si="16"/>
        <v>5.2400000000000002E-2</v>
      </c>
      <c r="J798" s="253"/>
      <c r="K798" s="226"/>
    </row>
    <row r="799" spans="1:11" ht="12.2" customHeight="1" x14ac:dyDescent="0.2">
      <c r="A799" s="248"/>
      <c r="B799" s="248"/>
      <c r="C799" s="261"/>
      <c r="D799" s="243" t="s">
        <v>33</v>
      </c>
      <c r="E799" s="281"/>
      <c r="F799" s="257"/>
      <c r="G799" s="249"/>
      <c r="H799" s="255">
        <f>SUM(H792:H798)</f>
        <v>35990</v>
      </c>
      <c r="I799" s="256">
        <f>SUM(I792:I798)</f>
        <v>1</v>
      </c>
      <c r="J799" s="253"/>
      <c r="K799" s="226"/>
    </row>
    <row r="800" spans="1:11" ht="12.2" customHeight="1" x14ac:dyDescent="0.2">
      <c r="A800" s="248"/>
      <c r="B800" s="248"/>
      <c r="C800" s="261"/>
      <c r="D800" s="249"/>
      <c r="E800" s="281"/>
      <c r="F800" s="257"/>
      <c r="G800" s="249"/>
      <c r="H800" s="242"/>
      <c r="I800" s="251"/>
      <c r="J800" s="253"/>
      <c r="K800" s="226"/>
    </row>
    <row r="801" spans="1:11" ht="12.2" customHeight="1" x14ac:dyDescent="0.2">
      <c r="A801" s="243" t="s">
        <v>18</v>
      </c>
      <c r="B801" s="243">
        <v>330</v>
      </c>
      <c r="C801" s="243" t="s">
        <v>291</v>
      </c>
      <c r="D801" s="244" t="s">
        <v>426</v>
      </c>
      <c r="E801" s="277">
        <v>36800</v>
      </c>
      <c r="F801" s="245">
        <v>9683554</v>
      </c>
      <c r="G801" s="246">
        <v>59258</v>
      </c>
      <c r="H801" s="242"/>
      <c r="I801" s="251"/>
      <c r="J801" s="253"/>
      <c r="K801" s="226"/>
    </row>
    <row r="802" spans="1:11" ht="12.2" customHeight="1" x14ac:dyDescent="0.2">
      <c r="A802" s="248"/>
      <c r="B802" s="248"/>
      <c r="C802" s="261"/>
      <c r="D802" s="244" t="s">
        <v>263</v>
      </c>
      <c r="E802" s="281"/>
      <c r="F802" s="257"/>
      <c r="G802" s="249"/>
      <c r="H802" s="250">
        <v>7875</v>
      </c>
      <c r="I802" s="251">
        <f t="shared" ref="I802:I807" si="17">(H802/$H$808)</f>
        <v>0.1987281399046105</v>
      </c>
      <c r="J802" s="253"/>
      <c r="K802" s="226"/>
    </row>
    <row r="803" spans="1:11" ht="12.2" customHeight="1" x14ac:dyDescent="0.2">
      <c r="A803" s="248"/>
      <c r="B803" s="248"/>
      <c r="C803" s="261"/>
      <c r="D803" s="244" t="s">
        <v>292</v>
      </c>
      <c r="E803" s="281"/>
      <c r="F803" s="257"/>
      <c r="G803" s="249"/>
      <c r="H803" s="250">
        <v>18510</v>
      </c>
      <c r="I803" s="251">
        <f t="shared" si="17"/>
        <v>0.4671057612234083</v>
      </c>
      <c r="J803" s="252" t="s">
        <v>292</v>
      </c>
      <c r="K803" s="226"/>
    </row>
    <row r="804" spans="1:11" ht="12.2" customHeight="1" x14ac:dyDescent="0.2">
      <c r="A804" s="248"/>
      <c r="B804" s="248"/>
      <c r="C804" s="261"/>
      <c r="D804" s="244" t="s">
        <v>293</v>
      </c>
      <c r="E804" s="281"/>
      <c r="F804" s="257"/>
      <c r="G804" s="249"/>
      <c r="H804" s="250">
        <v>250</v>
      </c>
      <c r="I804" s="251">
        <f t="shared" si="17"/>
        <v>6.308829838241603E-3</v>
      </c>
      <c r="J804" s="252"/>
      <c r="K804" s="226"/>
    </row>
    <row r="805" spans="1:11" ht="12.2" customHeight="1" x14ac:dyDescent="0.2">
      <c r="A805" s="248"/>
      <c r="B805" s="248"/>
      <c r="C805" s="261"/>
      <c r="D805" s="244" t="s">
        <v>286</v>
      </c>
      <c r="E805" s="281"/>
      <c r="F805" s="257"/>
      <c r="G805" s="249"/>
      <c r="H805" s="250">
        <v>750</v>
      </c>
      <c r="I805" s="251">
        <f t="shared" si="17"/>
        <v>1.8926489514724809E-2</v>
      </c>
      <c r="J805" s="252"/>
      <c r="K805" s="226"/>
    </row>
    <row r="806" spans="1:11" ht="12.2" customHeight="1" x14ac:dyDescent="0.2">
      <c r="A806" s="248"/>
      <c r="B806" s="248"/>
      <c r="C806" s="261"/>
      <c r="D806" s="244" t="s">
        <v>316</v>
      </c>
      <c r="E806" s="281"/>
      <c r="F806" s="257"/>
      <c r="G806" s="249"/>
      <c r="H806" s="250">
        <v>1600</v>
      </c>
      <c r="I806" s="251">
        <f t="shared" si="17"/>
        <v>4.0376510964746259E-2</v>
      </c>
      <c r="J806" s="253"/>
      <c r="K806" s="226"/>
    </row>
    <row r="807" spans="1:11" ht="12.2" customHeight="1" x14ac:dyDescent="0.2">
      <c r="A807" s="248"/>
      <c r="B807" s="248"/>
      <c r="C807" s="261"/>
      <c r="D807" s="244" t="s">
        <v>290</v>
      </c>
      <c r="E807" s="281"/>
      <c r="F807" s="257"/>
      <c r="G807" s="249"/>
      <c r="H807" s="250">
        <v>10642</v>
      </c>
      <c r="I807" s="251">
        <f t="shared" si="17"/>
        <v>0.26855426855426856</v>
      </c>
      <c r="J807" s="253"/>
      <c r="K807" s="226"/>
    </row>
    <row r="808" spans="1:11" ht="12.2" customHeight="1" x14ac:dyDescent="0.2">
      <c r="A808" s="248"/>
      <c r="B808" s="248"/>
      <c r="C808" s="261"/>
      <c r="D808" s="243" t="s">
        <v>33</v>
      </c>
      <c r="E808" s="281"/>
      <c r="F808" s="257"/>
      <c r="G808" s="249"/>
      <c r="H808" s="255">
        <f>SUM(H802:H807)</f>
        <v>39627</v>
      </c>
      <c r="I808" s="256">
        <f>SUM(I802:I807)</f>
        <v>1</v>
      </c>
      <c r="J808" s="253"/>
      <c r="K808" s="226"/>
    </row>
    <row r="809" spans="1:11" ht="12.2" customHeight="1" x14ac:dyDescent="0.2">
      <c r="A809" s="248"/>
      <c r="B809" s="248"/>
      <c r="C809" s="261"/>
      <c r="D809" s="243"/>
      <c r="E809" s="281"/>
      <c r="F809" s="257"/>
      <c r="G809" s="249"/>
      <c r="H809" s="246"/>
      <c r="I809" s="262"/>
      <c r="J809" s="253"/>
      <c r="K809" s="226"/>
    </row>
    <row r="810" spans="1:11" ht="12.2" customHeight="1" x14ac:dyDescent="0.2">
      <c r="A810" s="243" t="s">
        <v>448</v>
      </c>
      <c r="B810" s="243">
        <v>57</v>
      </c>
      <c r="C810" s="243" t="s">
        <v>236</v>
      </c>
      <c r="D810" s="244" t="s">
        <v>449</v>
      </c>
      <c r="E810" s="277">
        <v>37196</v>
      </c>
      <c r="F810" s="245">
        <v>5381000</v>
      </c>
      <c r="G810" s="246">
        <v>31000</v>
      </c>
      <c r="H810" s="249"/>
      <c r="I810" s="251"/>
      <c r="J810" s="253"/>
      <c r="K810" s="226"/>
    </row>
    <row r="811" spans="1:11" ht="12.2" customHeight="1" x14ac:dyDescent="0.2">
      <c r="A811" s="248" t="s">
        <v>19</v>
      </c>
      <c r="B811" s="248"/>
      <c r="C811" s="261"/>
      <c r="D811" s="244" t="s">
        <v>263</v>
      </c>
      <c r="E811" s="281"/>
      <c r="F811" s="257"/>
      <c r="G811" s="249"/>
      <c r="H811" s="246">
        <v>1225</v>
      </c>
      <c r="I811" s="251">
        <f t="shared" ref="I811:I816" si="18">(H811/$H$817)</f>
        <v>5.861244019138756E-2</v>
      </c>
      <c r="J811" s="253"/>
      <c r="K811" s="226"/>
    </row>
    <row r="812" spans="1:11" ht="12.2" customHeight="1" x14ac:dyDescent="0.2">
      <c r="A812" s="248"/>
      <c r="B812" s="248"/>
      <c r="C812" s="261"/>
      <c r="D812" s="244" t="s">
        <v>292</v>
      </c>
      <c r="E812" s="281"/>
      <c r="F812" s="257"/>
      <c r="G812" s="249"/>
      <c r="H812" s="246">
        <v>2100</v>
      </c>
      <c r="I812" s="251">
        <f t="shared" si="18"/>
        <v>0.10047846889952153</v>
      </c>
      <c r="J812" s="242"/>
      <c r="K812" s="226"/>
    </row>
    <row r="813" spans="1:11" ht="12.2" customHeight="1" x14ac:dyDescent="0.2">
      <c r="A813" s="248"/>
      <c r="B813" s="248"/>
      <c r="C813" s="261"/>
      <c r="D813" s="244" t="s">
        <v>264</v>
      </c>
      <c r="E813" s="281"/>
      <c r="F813" s="257"/>
      <c r="G813" s="249"/>
      <c r="H813" s="246">
        <v>12375</v>
      </c>
      <c r="I813" s="251">
        <f t="shared" si="18"/>
        <v>0.59210526315789469</v>
      </c>
      <c r="J813" s="252" t="s">
        <v>264</v>
      </c>
      <c r="K813" s="226"/>
    </row>
    <row r="814" spans="1:11" ht="12.2" customHeight="1" x14ac:dyDescent="0.2">
      <c r="A814" s="248"/>
      <c r="B814" s="248"/>
      <c r="C814" s="261"/>
      <c r="D814" s="244" t="s">
        <v>290</v>
      </c>
      <c r="E814" s="365"/>
      <c r="F814" s="257"/>
      <c r="G814" s="249"/>
      <c r="H814" s="246">
        <v>2455</v>
      </c>
      <c r="I814" s="251">
        <f t="shared" si="18"/>
        <v>0.11746411483253588</v>
      </c>
      <c r="J814" s="253"/>
      <c r="K814" s="226"/>
    </row>
    <row r="815" spans="1:11" ht="12.2" customHeight="1" x14ac:dyDescent="0.2">
      <c r="A815" s="248"/>
      <c r="B815" s="248"/>
      <c r="C815" s="261"/>
      <c r="D815" s="244" t="s">
        <v>294</v>
      </c>
      <c r="E815" s="365"/>
      <c r="F815" s="257"/>
      <c r="G815" s="249"/>
      <c r="H815" s="246">
        <v>1895</v>
      </c>
      <c r="I815" s="251">
        <f t="shared" si="18"/>
        <v>9.066985645933015E-2</v>
      </c>
      <c r="J815" s="253"/>
      <c r="K815" s="226"/>
    </row>
    <row r="816" spans="1:11" ht="12.2" customHeight="1" x14ac:dyDescent="0.2">
      <c r="A816" s="248"/>
      <c r="B816" s="248"/>
      <c r="C816" s="261"/>
      <c r="D816" s="244" t="s">
        <v>287</v>
      </c>
      <c r="E816" s="281"/>
      <c r="F816" s="257"/>
      <c r="G816" s="249"/>
      <c r="H816" s="246">
        <v>850</v>
      </c>
      <c r="I816" s="251">
        <f t="shared" si="18"/>
        <v>4.0669856459330141E-2</v>
      </c>
      <c r="J816" s="253"/>
      <c r="K816" s="226"/>
    </row>
    <row r="817" spans="1:11" ht="12.2" customHeight="1" x14ac:dyDescent="0.2">
      <c r="A817" s="248"/>
      <c r="B817" s="248"/>
      <c r="C817" s="261"/>
      <c r="D817" s="243" t="s">
        <v>33</v>
      </c>
      <c r="E817" s="281"/>
      <c r="F817" s="257"/>
      <c r="G817" s="249"/>
      <c r="H817" s="255">
        <f>SUM(H811:H816)</f>
        <v>20900</v>
      </c>
      <c r="I817" s="256">
        <f>SUM(I811:I816)</f>
        <v>0.99999999999999989</v>
      </c>
      <c r="J817" s="253"/>
      <c r="K817" s="226"/>
    </row>
    <row r="818" spans="1:11" ht="12.2" customHeight="1" x14ac:dyDescent="0.2">
      <c r="A818" s="248"/>
      <c r="B818" s="248"/>
      <c r="C818" s="261"/>
      <c r="D818" s="249"/>
      <c r="E818" s="281"/>
      <c r="F818" s="257"/>
      <c r="G818" s="249"/>
      <c r="H818" s="242"/>
      <c r="I818" s="251"/>
      <c r="J818" s="253"/>
      <c r="K818" s="226"/>
    </row>
    <row r="819" spans="1:11" ht="12.2" customHeight="1" x14ac:dyDescent="0.2">
      <c r="A819" s="243" t="s">
        <v>18</v>
      </c>
      <c r="B819" s="243">
        <v>306</v>
      </c>
      <c r="C819" s="243" t="s">
        <v>291</v>
      </c>
      <c r="D819" s="244" t="s">
        <v>450</v>
      </c>
      <c r="E819" s="277">
        <v>36892</v>
      </c>
      <c r="F819" s="245">
        <v>7927400</v>
      </c>
      <c r="G819" s="246">
        <v>58000</v>
      </c>
      <c r="H819" s="242"/>
      <c r="I819" s="251"/>
      <c r="J819" s="253"/>
      <c r="K819" s="226"/>
    </row>
    <row r="820" spans="1:11" ht="12.2" customHeight="1" x14ac:dyDescent="0.2">
      <c r="A820" s="248"/>
      <c r="B820" s="248"/>
      <c r="C820" s="261"/>
      <c r="D820" s="244" t="s">
        <v>263</v>
      </c>
      <c r="E820" s="281"/>
      <c r="F820" s="257"/>
      <c r="G820" s="249"/>
      <c r="H820" s="250">
        <v>4200</v>
      </c>
      <c r="I820" s="251">
        <f>(H820/$H$828)</f>
        <v>0.10271460014673514</v>
      </c>
      <c r="J820" s="253"/>
      <c r="K820" s="226"/>
    </row>
    <row r="821" spans="1:11" ht="12.2" customHeight="1" x14ac:dyDescent="0.2">
      <c r="A821" s="248"/>
      <c r="B821" s="248"/>
      <c r="C821" s="261"/>
      <c r="D821" s="244" t="s">
        <v>292</v>
      </c>
      <c r="E821" s="281"/>
      <c r="F821" s="257"/>
      <c r="G821" s="249"/>
      <c r="H821" s="250">
        <v>17205</v>
      </c>
      <c r="I821" s="251">
        <f t="shared" ref="I821:I827" si="19">(H821/$H$828)</f>
        <v>0.42076302274394717</v>
      </c>
      <c r="J821" s="252" t="s">
        <v>292</v>
      </c>
      <c r="K821" s="226"/>
    </row>
    <row r="822" spans="1:11" ht="12.2" customHeight="1" x14ac:dyDescent="0.2">
      <c r="A822" s="248"/>
      <c r="B822" s="248"/>
      <c r="C822" s="261"/>
      <c r="D822" s="244" t="s">
        <v>293</v>
      </c>
      <c r="E822" s="281"/>
      <c r="F822" s="257"/>
      <c r="G822" s="249"/>
      <c r="H822" s="250">
        <v>4065</v>
      </c>
      <c r="I822" s="251">
        <f t="shared" si="19"/>
        <v>9.9413059427732944E-2</v>
      </c>
      <c r="J822" s="242"/>
      <c r="K822" s="226"/>
    </row>
    <row r="823" spans="1:11" ht="12.2" customHeight="1" x14ac:dyDescent="0.2">
      <c r="A823" s="248"/>
      <c r="B823" s="248"/>
      <c r="C823" s="261"/>
      <c r="D823" s="244" t="s">
        <v>286</v>
      </c>
      <c r="E823" s="281"/>
      <c r="F823" s="257"/>
      <c r="G823" s="249"/>
      <c r="H823" s="250">
        <v>1925</v>
      </c>
      <c r="I823" s="251">
        <f t="shared" si="19"/>
        <v>4.7077525067253607E-2</v>
      </c>
      <c r="J823" s="242"/>
      <c r="K823" s="226"/>
    </row>
    <row r="824" spans="1:11" ht="12.2" customHeight="1" x14ac:dyDescent="0.2">
      <c r="A824" s="248"/>
      <c r="B824" s="248"/>
      <c r="C824" s="261"/>
      <c r="D824" s="244" t="s">
        <v>244</v>
      </c>
      <c r="E824" s="281"/>
      <c r="F824" s="257"/>
      <c r="G824" s="249"/>
      <c r="H824" s="250">
        <v>1885</v>
      </c>
      <c r="I824" s="251">
        <f t="shared" si="19"/>
        <v>4.6099290780141841E-2</v>
      </c>
      <c r="J824" s="242"/>
      <c r="K824" s="226"/>
    </row>
    <row r="825" spans="1:11" ht="12.2" customHeight="1" x14ac:dyDescent="0.2">
      <c r="A825" s="248"/>
      <c r="B825" s="248"/>
      <c r="C825" s="261"/>
      <c r="D825" s="244" t="s">
        <v>264</v>
      </c>
      <c r="E825" s="281"/>
      <c r="F825" s="257"/>
      <c r="G825" s="249"/>
      <c r="H825" s="250">
        <v>5660</v>
      </c>
      <c r="I825" s="251">
        <f t="shared" si="19"/>
        <v>0.13842015162631449</v>
      </c>
      <c r="J825" s="252"/>
      <c r="K825" s="226"/>
    </row>
    <row r="826" spans="1:11" ht="12.2" customHeight="1" x14ac:dyDescent="0.2">
      <c r="A826" s="248"/>
      <c r="B826" s="248"/>
      <c r="C826" s="261"/>
      <c r="D826" s="244" t="s">
        <v>290</v>
      </c>
      <c r="E826" s="281"/>
      <c r="F826" s="257"/>
      <c r="G826" s="249"/>
      <c r="H826" s="250">
        <v>4065</v>
      </c>
      <c r="I826" s="251">
        <f t="shared" si="19"/>
        <v>9.9413059427732944E-2</v>
      </c>
      <c r="J826" s="253"/>
      <c r="K826" s="226"/>
    </row>
    <row r="827" spans="1:11" ht="12.2" customHeight="1" x14ac:dyDescent="0.2">
      <c r="A827" s="248"/>
      <c r="B827" s="248"/>
      <c r="C827" s="261"/>
      <c r="D827" s="244" t="s">
        <v>294</v>
      </c>
      <c r="E827" s="281"/>
      <c r="F827" s="257"/>
      <c r="G827" s="249"/>
      <c r="H827" s="250">
        <v>1885</v>
      </c>
      <c r="I827" s="251">
        <f t="shared" si="19"/>
        <v>4.6099290780141841E-2</v>
      </c>
      <c r="J827" s="253"/>
      <c r="K827" s="226"/>
    </row>
    <row r="828" spans="1:11" ht="12.2" customHeight="1" x14ac:dyDescent="0.2">
      <c r="A828" s="248"/>
      <c r="B828" s="248"/>
      <c r="C828" s="261"/>
      <c r="D828" s="243" t="s">
        <v>33</v>
      </c>
      <c r="E828" s="281"/>
      <c r="F828" s="257"/>
      <c r="G828" s="249"/>
      <c r="H828" s="255">
        <f>SUM(H820:H827)</f>
        <v>40890</v>
      </c>
      <c r="I828" s="256">
        <f>SUM(I820:I827)</f>
        <v>1</v>
      </c>
      <c r="J828" s="253"/>
      <c r="K828" s="226"/>
    </row>
    <row r="829" spans="1:11" ht="12.2" customHeight="1" x14ac:dyDescent="0.2">
      <c r="A829" s="248"/>
      <c r="B829" s="248"/>
      <c r="C829" s="261"/>
      <c r="D829" s="243"/>
      <c r="E829" s="281"/>
      <c r="F829" s="257"/>
      <c r="G829" s="249"/>
      <c r="H829" s="246"/>
      <c r="I829" s="262"/>
      <c r="J829" s="253"/>
      <c r="K829" s="226"/>
    </row>
    <row r="830" spans="1:11" ht="12.2" customHeight="1" x14ac:dyDescent="0.2">
      <c r="A830" s="243" t="s">
        <v>18</v>
      </c>
      <c r="B830" s="243">
        <v>314</v>
      </c>
      <c r="C830" s="243" t="s">
        <v>291</v>
      </c>
      <c r="D830" s="244" t="s">
        <v>451</v>
      </c>
      <c r="E830" s="277">
        <v>37165</v>
      </c>
      <c r="F830" s="245">
        <v>9733337</v>
      </c>
      <c r="G830" s="246">
        <v>65000</v>
      </c>
      <c r="H830" s="242"/>
      <c r="I830" s="251"/>
      <c r="J830" s="253"/>
      <c r="K830" s="226"/>
    </row>
    <row r="831" spans="1:11" ht="12.2" customHeight="1" x14ac:dyDescent="0.2">
      <c r="A831" s="248"/>
      <c r="B831" s="248"/>
      <c r="C831" s="261"/>
      <c r="D831" s="244" t="s">
        <v>263</v>
      </c>
      <c r="E831" s="281"/>
      <c r="F831" s="257"/>
      <c r="G831" s="249"/>
      <c r="H831" s="250">
        <v>3400</v>
      </c>
      <c r="I831" s="251">
        <f t="shared" ref="I831:I837" si="20">(H831/$H$838)</f>
        <v>8.5170340681362727E-2</v>
      </c>
      <c r="J831" s="253"/>
      <c r="K831" s="226"/>
    </row>
    <row r="832" spans="1:11" ht="12.2" customHeight="1" x14ac:dyDescent="0.2">
      <c r="A832" s="248"/>
      <c r="B832" s="248"/>
      <c r="C832" s="261"/>
      <c r="D832" s="244" t="s">
        <v>292</v>
      </c>
      <c r="E832" s="281"/>
      <c r="F832" s="257"/>
      <c r="G832" s="249"/>
      <c r="H832" s="250">
        <v>6440</v>
      </c>
      <c r="I832" s="251">
        <f t="shared" si="20"/>
        <v>0.16132264529058116</v>
      </c>
      <c r="J832" s="252"/>
      <c r="K832" s="226"/>
    </row>
    <row r="833" spans="1:68" ht="12.2" customHeight="1" x14ac:dyDescent="0.2">
      <c r="A833" s="248"/>
      <c r="B833" s="248"/>
      <c r="C833" s="261"/>
      <c r="D833" s="244" t="s">
        <v>293</v>
      </c>
      <c r="E833" s="281"/>
      <c r="F833" s="257"/>
      <c r="G833" s="249"/>
      <c r="H833" s="250">
        <v>12000</v>
      </c>
      <c r="I833" s="251">
        <f t="shared" si="20"/>
        <v>0.30060120240480964</v>
      </c>
      <c r="J833" s="252" t="s">
        <v>293</v>
      </c>
      <c r="K833" s="226"/>
    </row>
    <row r="834" spans="1:68" ht="12.2" customHeight="1" x14ac:dyDescent="0.2">
      <c r="A834" s="248"/>
      <c r="B834" s="248"/>
      <c r="C834" s="261"/>
      <c r="D834" s="244" t="s">
        <v>286</v>
      </c>
      <c r="E834" s="281"/>
      <c r="F834" s="257"/>
      <c r="G834" s="249"/>
      <c r="H834" s="250">
        <v>6400</v>
      </c>
      <c r="I834" s="251">
        <f t="shared" si="20"/>
        <v>0.16032064128256512</v>
      </c>
      <c r="J834" s="242"/>
      <c r="K834" s="226"/>
    </row>
    <row r="835" spans="1:68" ht="12.2" customHeight="1" x14ac:dyDescent="0.2">
      <c r="A835" s="248"/>
      <c r="B835" s="248"/>
      <c r="C835" s="261"/>
      <c r="D835" s="244" t="s">
        <v>244</v>
      </c>
      <c r="E835" s="281"/>
      <c r="F835" s="257"/>
      <c r="G835" s="249"/>
      <c r="H835" s="250">
        <v>6400</v>
      </c>
      <c r="I835" s="251">
        <f t="shared" si="20"/>
        <v>0.16032064128256512</v>
      </c>
      <c r="J835" s="242"/>
      <c r="K835" s="226"/>
    </row>
    <row r="836" spans="1:68" ht="12.2" customHeight="1" x14ac:dyDescent="0.2">
      <c r="A836" s="248"/>
      <c r="B836" s="248"/>
      <c r="C836" s="261"/>
      <c r="D836" s="244" t="s">
        <v>264</v>
      </c>
      <c r="E836" s="281"/>
      <c r="F836" s="257"/>
      <c r="G836" s="249"/>
      <c r="H836" s="250">
        <v>4400</v>
      </c>
      <c r="I836" s="251">
        <f t="shared" si="20"/>
        <v>0.11022044088176353</v>
      </c>
      <c r="J836" s="252"/>
      <c r="K836" s="226"/>
    </row>
    <row r="837" spans="1:68" ht="12.2" customHeight="1" x14ac:dyDescent="0.2">
      <c r="A837" s="248"/>
      <c r="B837" s="248"/>
      <c r="C837" s="261"/>
      <c r="D837" s="244" t="s">
        <v>294</v>
      </c>
      <c r="E837" s="281"/>
      <c r="F837" s="257"/>
      <c r="G837" s="249"/>
      <c r="H837" s="250">
        <v>880</v>
      </c>
      <c r="I837" s="251">
        <f t="shared" si="20"/>
        <v>2.2044088176352707E-2</v>
      </c>
      <c r="J837" s="253"/>
      <c r="K837" s="226"/>
    </row>
    <row r="838" spans="1:68" s="14" customFormat="1" ht="12.2" customHeight="1" x14ac:dyDescent="0.2">
      <c r="A838" s="248"/>
      <c r="B838" s="248"/>
      <c r="C838" s="261"/>
      <c r="D838" s="243" t="s">
        <v>33</v>
      </c>
      <c r="E838" s="281"/>
      <c r="F838" s="257"/>
      <c r="G838" s="249"/>
      <c r="H838" s="255">
        <f>SUM(H831:H837)</f>
        <v>39920</v>
      </c>
      <c r="I838" s="256">
        <f>SUM(I831:I837)</f>
        <v>0.99999999999999989</v>
      </c>
      <c r="J838" s="253"/>
      <c r="K838" s="226"/>
      <c r="L838" s="10"/>
      <c r="M838" s="10"/>
      <c r="N838" s="10"/>
      <c r="O838" s="10"/>
      <c r="P838" s="10"/>
      <c r="Q838" s="10"/>
      <c r="R838" s="10"/>
      <c r="S838" s="10"/>
      <c r="T838" s="10"/>
      <c r="U838" s="10"/>
      <c r="V838" s="10"/>
      <c r="W838" s="10"/>
      <c r="X838" s="10"/>
      <c r="Y838" s="10"/>
      <c r="Z838" s="10"/>
      <c r="AA838" s="10"/>
      <c r="AB838" s="10"/>
      <c r="AC838" s="10"/>
      <c r="AD838" s="10"/>
      <c r="AE838" s="10"/>
      <c r="AF838" s="10"/>
      <c r="AG838" s="10"/>
      <c r="AH838" s="10"/>
      <c r="AI838" s="10"/>
      <c r="AJ838" s="10"/>
      <c r="AK838" s="10"/>
      <c r="AL838" s="10"/>
      <c r="AM838" s="10"/>
      <c r="AN838" s="10"/>
      <c r="AO838" s="10"/>
      <c r="AP838" s="10"/>
      <c r="AQ838" s="10"/>
      <c r="AR838" s="10"/>
      <c r="AS838" s="10"/>
      <c r="AT838" s="10"/>
      <c r="AU838" s="10"/>
      <c r="AV838" s="10"/>
      <c r="AW838" s="10"/>
      <c r="AX838" s="10"/>
      <c r="AY838" s="10"/>
      <c r="AZ838" s="10"/>
      <c r="BA838" s="10"/>
      <c r="BB838" s="10"/>
      <c r="BC838" s="10"/>
      <c r="BD838" s="10"/>
      <c r="BE838" s="10"/>
      <c r="BF838" s="10"/>
      <c r="BG838" s="10"/>
      <c r="BH838" s="10"/>
      <c r="BI838" s="10"/>
      <c r="BJ838" s="10"/>
      <c r="BK838" s="10"/>
      <c r="BL838" s="10"/>
      <c r="BM838" s="10"/>
      <c r="BN838" s="10"/>
      <c r="BO838" s="10"/>
      <c r="BP838" s="10"/>
    </row>
    <row r="839" spans="1:68" s="14" customFormat="1" ht="12.2" customHeight="1" x14ac:dyDescent="0.2">
      <c r="A839" s="248"/>
      <c r="B839" s="248"/>
      <c r="C839" s="261"/>
      <c r="D839" s="243"/>
      <c r="E839" s="281"/>
      <c r="F839" s="257"/>
      <c r="G839" s="249"/>
      <c r="H839" s="246"/>
      <c r="I839" s="262"/>
      <c r="J839" s="253"/>
      <c r="K839" s="226"/>
      <c r="L839" s="10"/>
      <c r="M839" s="10"/>
      <c r="N839" s="10"/>
      <c r="O839" s="10"/>
      <c r="P839" s="10"/>
      <c r="Q839" s="10"/>
      <c r="R839" s="10"/>
      <c r="S839" s="10"/>
      <c r="T839" s="10"/>
      <c r="U839" s="10"/>
      <c r="V839" s="10"/>
      <c r="W839" s="10"/>
      <c r="X839" s="10"/>
      <c r="Y839" s="10"/>
      <c r="Z839" s="10"/>
      <c r="AA839" s="10"/>
      <c r="AB839" s="10"/>
      <c r="AC839" s="10"/>
      <c r="AD839" s="10"/>
      <c r="AE839" s="10"/>
      <c r="AF839" s="10"/>
      <c r="AG839" s="10"/>
      <c r="AH839" s="10"/>
      <c r="AI839" s="10"/>
      <c r="AJ839" s="10"/>
      <c r="AK839" s="10"/>
      <c r="AL839" s="10"/>
      <c r="AM839" s="10"/>
      <c r="AN839" s="10"/>
      <c r="AO839" s="10"/>
      <c r="AP839" s="10"/>
      <c r="AQ839" s="10"/>
      <c r="AR839" s="10"/>
      <c r="AS839" s="10"/>
      <c r="AT839" s="10"/>
      <c r="AU839" s="10"/>
      <c r="AV839" s="10"/>
      <c r="AW839" s="10"/>
      <c r="AX839" s="10"/>
      <c r="AY839" s="10"/>
      <c r="AZ839" s="10"/>
      <c r="BA839" s="10"/>
      <c r="BB839" s="10"/>
      <c r="BC839" s="10"/>
      <c r="BD839" s="10"/>
      <c r="BE839" s="10"/>
      <c r="BF839" s="10"/>
      <c r="BG839" s="10"/>
      <c r="BH839" s="10"/>
      <c r="BI839" s="10"/>
      <c r="BJ839" s="10"/>
      <c r="BK839" s="10"/>
      <c r="BL839" s="10"/>
      <c r="BM839" s="10"/>
      <c r="BN839" s="10"/>
      <c r="BO839" s="10"/>
      <c r="BP839" s="10"/>
    </row>
    <row r="840" spans="1:68" ht="12.2" customHeight="1" x14ac:dyDescent="0.2">
      <c r="A840" s="243" t="s">
        <v>18</v>
      </c>
      <c r="B840" s="243">
        <v>347</v>
      </c>
      <c r="C840" s="243" t="s">
        <v>291</v>
      </c>
      <c r="D840" s="244" t="s">
        <v>462</v>
      </c>
      <c r="E840" s="277">
        <v>37529</v>
      </c>
      <c r="F840" s="245">
        <v>13872710</v>
      </c>
      <c r="G840" s="246">
        <v>104500</v>
      </c>
      <c r="H840" s="242"/>
      <c r="I840" s="251"/>
      <c r="J840" s="253"/>
      <c r="K840" s="226"/>
    </row>
    <row r="841" spans="1:68" ht="12.2" customHeight="1" x14ac:dyDescent="0.2">
      <c r="A841" s="248"/>
      <c r="B841" s="248"/>
      <c r="C841" s="261"/>
      <c r="D841" s="244" t="s">
        <v>263</v>
      </c>
      <c r="E841" s="281"/>
      <c r="F841" s="257"/>
      <c r="G841" s="249"/>
      <c r="H841" s="250">
        <v>5480</v>
      </c>
      <c r="I841" s="251">
        <f>(H841/$H$849)</f>
        <v>8.3195433360154239E-2</v>
      </c>
      <c r="J841" s="253"/>
      <c r="K841" s="226"/>
    </row>
    <row r="842" spans="1:68" ht="12.2" customHeight="1" x14ac:dyDescent="0.2">
      <c r="A842" s="248"/>
      <c r="B842" s="248"/>
      <c r="C842" s="261"/>
      <c r="D842" s="244" t="s">
        <v>292</v>
      </c>
      <c r="E842" s="281"/>
      <c r="F842" s="257"/>
      <c r="G842" s="249"/>
      <c r="H842" s="250">
        <v>31720</v>
      </c>
      <c r="I842" s="251">
        <f t="shared" ref="I842:I848" si="21">(H842/$H$849)</f>
        <v>0.48156188798979793</v>
      </c>
      <c r="J842" s="252" t="s">
        <v>292</v>
      </c>
      <c r="K842" s="226"/>
    </row>
    <row r="843" spans="1:68" ht="12.2" customHeight="1" x14ac:dyDescent="0.2">
      <c r="A843" s="248"/>
      <c r="B843" s="248"/>
      <c r="C843" s="261"/>
      <c r="D843" s="244" t="s">
        <v>293</v>
      </c>
      <c r="E843" s="281"/>
      <c r="F843" s="257"/>
      <c r="G843" s="249"/>
      <c r="H843" s="250">
        <v>1520</v>
      </c>
      <c r="I843" s="251">
        <f t="shared" si="21"/>
        <v>2.3076105603546435E-2</v>
      </c>
      <c r="J843" s="242"/>
      <c r="K843" s="226"/>
    </row>
    <row r="844" spans="1:68" ht="12.2" customHeight="1" x14ac:dyDescent="0.2">
      <c r="A844" s="248"/>
      <c r="B844" s="248"/>
      <c r="C844" s="261"/>
      <c r="D844" s="244" t="s">
        <v>286</v>
      </c>
      <c r="E844" s="281"/>
      <c r="F844" s="257"/>
      <c r="G844" s="249"/>
      <c r="H844" s="250">
        <v>4510</v>
      </c>
      <c r="I844" s="251">
        <f t="shared" si="21"/>
        <v>6.8469234389470002E-2</v>
      </c>
      <c r="J844" s="242"/>
      <c r="K844" s="226"/>
    </row>
    <row r="845" spans="1:68" ht="12.2" customHeight="1" x14ac:dyDescent="0.2">
      <c r="A845" s="248"/>
      <c r="B845" s="248"/>
      <c r="C845" s="261"/>
      <c r="D845" s="244" t="s">
        <v>244</v>
      </c>
      <c r="E845" s="281"/>
      <c r="F845" s="257"/>
      <c r="G845" s="249"/>
      <c r="H845" s="250">
        <v>2715</v>
      </c>
      <c r="I845" s="251">
        <f t="shared" si="21"/>
        <v>4.1218175469492475E-2</v>
      </c>
      <c r="J845" s="242"/>
      <c r="K845" s="226"/>
    </row>
    <row r="846" spans="1:68" ht="12.2" customHeight="1" x14ac:dyDescent="0.2">
      <c r="A846" s="248"/>
      <c r="B846" s="248"/>
      <c r="C846" s="261"/>
      <c r="D846" s="244" t="s">
        <v>295</v>
      </c>
      <c r="E846" s="281"/>
      <c r="F846" s="257"/>
      <c r="G846" s="249"/>
      <c r="H846" s="250">
        <v>340</v>
      </c>
      <c r="I846" s="251">
        <f t="shared" si="21"/>
        <v>5.1617604639511757E-3</v>
      </c>
      <c r="J846" s="252"/>
      <c r="K846" s="226"/>
    </row>
    <row r="847" spans="1:68" ht="12.2" customHeight="1" x14ac:dyDescent="0.2">
      <c r="A847" s="248"/>
      <c r="B847" s="248"/>
      <c r="C847" s="261"/>
      <c r="D847" s="244" t="s">
        <v>290</v>
      </c>
      <c r="E847" s="281"/>
      <c r="F847" s="257"/>
      <c r="G847" s="249"/>
      <c r="H847" s="250">
        <v>17434</v>
      </c>
      <c r="I847" s="251">
        <f t="shared" si="21"/>
        <v>0.26467685861330825</v>
      </c>
      <c r="J847" s="253"/>
      <c r="K847" s="226"/>
    </row>
    <row r="848" spans="1:68" ht="12.2" customHeight="1" x14ac:dyDescent="0.2">
      <c r="A848" s="248"/>
      <c r="B848" s="248"/>
      <c r="C848" s="261"/>
      <c r="D848" s="244" t="s">
        <v>287</v>
      </c>
      <c r="E848" s="281"/>
      <c r="F848" s="257"/>
      <c r="G848" s="249"/>
      <c r="H848" s="246">
        <v>2150</v>
      </c>
      <c r="I848" s="262">
        <f t="shared" si="21"/>
        <v>3.2640544110279494E-2</v>
      </c>
      <c r="J848" s="248"/>
      <c r="K848" s="226"/>
    </row>
    <row r="849" spans="1:11" ht="12.2" customHeight="1" x14ac:dyDescent="0.2">
      <c r="A849" s="248"/>
      <c r="B849" s="248"/>
      <c r="C849" s="261"/>
      <c r="D849" s="243" t="s">
        <v>33</v>
      </c>
      <c r="E849" s="281"/>
      <c r="F849" s="257"/>
      <c r="G849" s="249"/>
      <c r="H849" s="255">
        <f>SUM(H841:H848)</f>
        <v>65869</v>
      </c>
      <c r="I849" s="256">
        <f>SUM(I841:I848)</f>
        <v>1</v>
      </c>
      <c r="J849" s="248"/>
      <c r="K849" s="226"/>
    </row>
    <row r="850" spans="1:11" ht="12.2" customHeight="1" x14ac:dyDescent="0.2">
      <c r="A850" s="248"/>
      <c r="B850" s="248"/>
      <c r="C850" s="261"/>
      <c r="D850" s="243"/>
      <c r="E850" s="281"/>
      <c r="F850" s="257"/>
      <c r="G850" s="249"/>
      <c r="H850" s="246"/>
      <c r="I850" s="262"/>
      <c r="J850" s="248"/>
      <c r="K850" s="226"/>
    </row>
    <row r="851" spans="1:11" ht="12.2" customHeight="1" x14ac:dyDescent="0.2">
      <c r="A851" s="243" t="s">
        <v>18</v>
      </c>
      <c r="B851" s="243">
        <v>318</v>
      </c>
      <c r="C851" s="243" t="s">
        <v>291</v>
      </c>
      <c r="D851" s="244" t="s">
        <v>463</v>
      </c>
      <c r="E851" s="277">
        <v>37377</v>
      </c>
      <c r="F851" s="245">
        <v>6381888</v>
      </c>
      <c r="G851" s="246">
        <v>47100</v>
      </c>
      <c r="H851" s="242"/>
      <c r="I851" s="251"/>
      <c r="J851" s="253"/>
      <c r="K851" s="226"/>
    </row>
    <row r="852" spans="1:11" ht="12.2" customHeight="1" x14ac:dyDescent="0.2">
      <c r="A852" s="248"/>
      <c r="B852" s="248"/>
      <c r="C852" s="261"/>
      <c r="D852" s="244" t="s">
        <v>286</v>
      </c>
      <c r="E852" s="281"/>
      <c r="F852" s="257"/>
      <c r="G852" s="249"/>
      <c r="H852" s="250">
        <v>29000</v>
      </c>
      <c r="I852" s="251">
        <f>(H852/$H$856)</f>
        <v>0.86309523809523814</v>
      </c>
      <c r="J852" s="252" t="s">
        <v>464</v>
      </c>
      <c r="K852" s="226"/>
    </row>
    <row r="853" spans="1:11" ht="12.2" customHeight="1" x14ac:dyDescent="0.2">
      <c r="A853" s="248"/>
      <c r="B853" s="248"/>
      <c r="C853" s="261"/>
      <c r="D853" s="244" t="s">
        <v>244</v>
      </c>
      <c r="E853" s="281"/>
      <c r="F853" s="257"/>
      <c r="G853" s="249"/>
      <c r="H853" s="250">
        <v>2500</v>
      </c>
      <c r="I853" s="251">
        <f>(H853/$H$856)</f>
        <v>7.4404761904761904E-2</v>
      </c>
      <c r="J853" s="242"/>
      <c r="K853" s="226"/>
    </row>
    <row r="854" spans="1:11" ht="12.2" customHeight="1" x14ac:dyDescent="0.2">
      <c r="A854" s="248"/>
      <c r="B854" s="248"/>
      <c r="C854" s="261"/>
      <c r="D854" s="244" t="s">
        <v>295</v>
      </c>
      <c r="E854" s="281"/>
      <c r="F854" s="257"/>
      <c r="G854" s="249"/>
      <c r="H854" s="250">
        <v>1100</v>
      </c>
      <c r="I854" s="251">
        <f>(H854/$H$856)</f>
        <v>3.273809523809524E-2</v>
      </c>
      <c r="J854" s="252"/>
      <c r="K854" s="226"/>
    </row>
    <row r="855" spans="1:11" ht="12.2" customHeight="1" x14ac:dyDescent="0.2">
      <c r="A855" s="248"/>
      <c r="B855" s="248"/>
      <c r="C855" s="261"/>
      <c r="D855" s="244" t="s">
        <v>290</v>
      </c>
      <c r="E855" s="281"/>
      <c r="F855" s="257"/>
      <c r="G855" s="249"/>
      <c r="H855" s="250">
        <v>1000</v>
      </c>
      <c r="I855" s="251">
        <f>(H855/$H$856)</f>
        <v>2.976190476190476E-2</v>
      </c>
      <c r="J855" s="253"/>
      <c r="K855" s="226"/>
    </row>
    <row r="856" spans="1:11" ht="12.2" customHeight="1" x14ac:dyDescent="0.2">
      <c r="A856" s="248"/>
      <c r="B856" s="248"/>
      <c r="C856" s="261"/>
      <c r="D856" s="243" t="s">
        <v>33</v>
      </c>
      <c r="E856" s="281"/>
      <c r="F856" s="257"/>
      <c r="G856" s="249"/>
      <c r="H856" s="255">
        <f>SUM(H852:H855)</f>
        <v>33600</v>
      </c>
      <c r="I856" s="256">
        <f>SUM(I852:I855)</f>
        <v>1</v>
      </c>
      <c r="J856" s="248"/>
      <c r="K856" s="226"/>
    </row>
    <row r="857" spans="1:11" ht="12.2" customHeight="1" x14ac:dyDescent="0.2">
      <c r="A857" s="248"/>
      <c r="B857" s="248"/>
      <c r="C857" s="261"/>
      <c r="D857" s="243"/>
      <c r="E857" s="281"/>
      <c r="F857" s="257"/>
      <c r="G857" s="249"/>
      <c r="H857" s="246"/>
      <c r="I857" s="262"/>
      <c r="J857" s="248"/>
      <c r="K857" s="226"/>
    </row>
    <row r="858" spans="1:11" ht="12.2" customHeight="1" x14ac:dyDescent="0.2">
      <c r="A858" s="243" t="s">
        <v>18</v>
      </c>
      <c r="B858" s="243">
        <v>314</v>
      </c>
      <c r="C858" s="243" t="s">
        <v>291</v>
      </c>
      <c r="D858" s="244" t="s">
        <v>465</v>
      </c>
      <c r="E858" s="277">
        <v>37494</v>
      </c>
      <c r="F858" s="245">
        <v>14494562</v>
      </c>
      <c r="G858" s="246">
        <v>86000</v>
      </c>
      <c r="H858" s="242"/>
      <c r="I858" s="251"/>
      <c r="J858" s="253"/>
      <c r="K858" s="226"/>
    </row>
    <row r="859" spans="1:11" ht="12.2" customHeight="1" x14ac:dyDescent="0.2">
      <c r="A859" s="248"/>
      <c r="B859" s="248"/>
      <c r="C859" s="261"/>
      <c r="D859" s="244" t="s">
        <v>263</v>
      </c>
      <c r="E859" s="281"/>
      <c r="F859" s="257"/>
      <c r="G859" s="249"/>
      <c r="H859" s="250">
        <v>9370</v>
      </c>
      <c r="I859" s="251">
        <f>(H859/$H$866)</f>
        <v>0.1937952430196484</v>
      </c>
      <c r="J859" s="253"/>
      <c r="K859" s="226"/>
    </row>
    <row r="860" spans="1:11" ht="12.2" customHeight="1" x14ac:dyDescent="0.2">
      <c r="A860" s="248"/>
      <c r="B860" s="248"/>
      <c r="C860" s="261"/>
      <c r="D860" s="244" t="s">
        <v>292</v>
      </c>
      <c r="E860" s="281"/>
      <c r="F860" s="257"/>
      <c r="G860" s="249"/>
      <c r="H860" s="250">
        <v>3575</v>
      </c>
      <c r="I860" s="251">
        <f t="shared" ref="I860:I865" si="22">(H860/$H$866)</f>
        <v>7.3940020682523269E-2</v>
      </c>
      <c r="J860" s="242"/>
      <c r="K860" s="226"/>
    </row>
    <row r="861" spans="1:11" ht="12.2" customHeight="1" x14ac:dyDescent="0.2">
      <c r="A861" s="248"/>
      <c r="B861" s="248"/>
      <c r="C861" s="261"/>
      <c r="D861" s="244" t="s">
        <v>293</v>
      </c>
      <c r="E861" s="281"/>
      <c r="F861" s="257"/>
      <c r="G861" s="249"/>
      <c r="H861" s="250">
        <v>14571</v>
      </c>
      <c r="I861" s="251">
        <f t="shared" si="22"/>
        <v>0.30136504653567736</v>
      </c>
      <c r="J861" s="252" t="s">
        <v>293</v>
      </c>
      <c r="K861" s="226"/>
    </row>
    <row r="862" spans="1:11" ht="12.2" customHeight="1" x14ac:dyDescent="0.2">
      <c r="A862" s="248"/>
      <c r="B862" s="248"/>
      <c r="C862" s="261"/>
      <c r="D862" s="244" t="s">
        <v>286</v>
      </c>
      <c r="E862" s="281"/>
      <c r="F862" s="257"/>
      <c r="G862" s="249"/>
      <c r="H862" s="250">
        <v>6824</v>
      </c>
      <c r="I862" s="251">
        <f t="shared" si="22"/>
        <v>0.14113753877973112</v>
      </c>
      <c r="J862" s="242"/>
      <c r="K862" s="226"/>
    </row>
    <row r="863" spans="1:11" ht="12.2" customHeight="1" x14ac:dyDescent="0.2">
      <c r="A863" s="248"/>
      <c r="B863" s="248"/>
      <c r="C863" s="261"/>
      <c r="D863" s="244" t="s">
        <v>264</v>
      </c>
      <c r="E863" s="281"/>
      <c r="F863" s="257"/>
      <c r="G863" s="249"/>
      <c r="H863" s="250">
        <v>5040</v>
      </c>
      <c r="I863" s="251">
        <f t="shared" si="22"/>
        <v>0.10423991726990693</v>
      </c>
      <c r="J863" s="242"/>
      <c r="K863" s="226"/>
    </row>
    <row r="864" spans="1:11" ht="12.2" customHeight="1" x14ac:dyDescent="0.2">
      <c r="A864" s="248"/>
      <c r="B864" s="248"/>
      <c r="C864" s="261"/>
      <c r="D864" s="244" t="s">
        <v>295</v>
      </c>
      <c r="E864" s="281"/>
      <c r="F864" s="257"/>
      <c r="G864" s="249"/>
      <c r="H864" s="250">
        <v>1475</v>
      </c>
      <c r="I864" s="251">
        <f t="shared" si="22"/>
        <v>3.0506721820062047E-2</v>
      </c>
      <c r="J864" s="252"/>
      <c r="K864" s="226"/>
    </row>
    <row r="865" spans="1:11" ht="12.2" customHeight="1" x14ac:dyDescent="0.2">
      <c r="A865" s="248"/>
      <c r="B865" s="248"/>
      <c r="C865" s="261"/>
      <c r="D865" s="244" t="s">
        <v>290</v>
      </c>
      <c r="E865" s="281"/>
      <c r="F865" s="257"/>
      <c r="G865" s="249"/>
      <c r="H865" s="250">
        <v>7495</v>
      </c>
      <c r="I865" s="251">
        <f t="shared" si="22"/>
        <v>0.15501551189245089</v>
      </c>
      <c r="J865" s="253"/>
      <c r="K865" s="226"/>
    </row>
    <row r="866" spans="1:11" ht="12.2" customHeight="1" x14ac:dyDescent="0.2">
      <c r="A866" s="248"/>
      <c r="B866" s="248"/>
      <c r="C866" s="261"/>
      <c r="D866" s="243" t="s">
        <v>33</v>
      </c>
      <c r="E866" s="281"/>
      <c r="F866" s="257"/>
      <c r="G866" s="249"/>
      <c r="H866" s="255">
        <f>SUM(H859:H865)</f>
        <v>48350</v>
      </c>
      <c r="I866" s="256">
        <f>SUM(I859:I865)</f>
        <v>1</v>
      </c>
      <c r="J866" s="248"/>
      <c r="K866" s="226"/>
    </row>
    <row r="867" spans="1:11" ht="12.2" customHeight="1" x14ac:dyDescent="0.2">
      <c r="A867" s="248"/>
      <c r="B867" s="248"/>
      <c r="C867" s="261"/>
      <c r="D867" s="243"/>
      <c r="E867" s="281"/>
      <c r="F867" s="257"/>
      <c r="G867" s="249"/>
      <c r="H867" s="246"/>
      <c r="I867" s="262"/>
      <c r="J867" s="248"/>
      <c r="K867" s="226"/>
    </row>
    <row r="868" spans="1:11" ht="12.2" customHeight="1" x14ac:dyDescent="0.2">
      <c r="A868" s="243" t="s">
        <v>18</v>
      </c>
      <c r="B868" s="243">
        <v>399</v>
      </c>
      <c r="C868" s="243" t="s">
        <v>291</v>
      </c>
      <c r="D868" s="244" t="s">
        <v>494</v>
      </c>
      <c r="E868" s="277">
        <v>38032</v>
      </c>
      <c r="F868" s="245">
        <v>21175050</v>
      </c>
      <c r="G868" s="246">
        <v>160385</v>
      </c>
      <c r="H868" s="242"/>
      <c r="I868" s="251"/>
      <c r="J868" s="253"/>
      <c r="K868" s="226"/>
    </row>
    <row r="869" spans="1:11" ht="12.2" customHeight="1" x14ac:dyDescent="0.2">
      <c r="A869" s="248"/>
      <c r="B869" s="248"/>
      <c r="C869" s="261"/>
      <c r="D869" s="244" t="s">
        <v>263</v>
      </c>
      <c r="E869" s="281"/>
      <c r="F869" s="257"/>
      <c r="G869" s="249"/>
      <c r="H869" s="250">
        <v>39153</v>
      </c>
      <c r="I869" s="251">
        <f>(H869/$H$882)</f>
        <v>0.33551853565736028</v>
      </c>
      <c r="J869" s="266" t="s">
        <v>263</v>
      </c>
      <c r="K869" s="226"/>
    </row>
    <row r="870" spans="1:11" ht="12.2" customHeight="1" x14ac:dyDescent="0.2">
      <c r="A870" s="248"/>
      <c r="B870" s="248"/>
      <c r="C870" s="261"/>
      <c r="D870" s="244" t="s">
        <v>244</v>
      </c>
      <c r="E870" s="281"/>
      <c r="F870" s="257"/>
      <c r="G870" s="249"/>
      <c r="H870" s="250">
        <v>42105</v>
      </c>
      <c r="I870" s="251">
        <f>(H870/$H$882)</f>
        <v>0.36081546609080156</v>
      </c>
      <c r="J870" s="266" t="s">
        <v>244</v>
      </c>
      <c r="K870" s="226"/>
    </row>
    <row r="871" spans="1:11" ht="12.2" customHeight="1" x14ac:dyDescent="0.2">
      <c r="A871" s="248"/>
      <c r="B871" s="248"/>
      <c r="C871" s="261"/>
      <c r="D871" s="244" t="s">
        <v>295</v>
      </c>
      <c r="E871" s="281"/>
      <c r="F871" s="257"/>
      <c r="G871" s="249"/>
      <c r="H871" s="250">
        <v>7595</v>
      </c>
      <c r="I871" s="251">
        <f>(H871/$H$882)</f>
        <v>6.5084751572488733E-2</v>
      </c>
      <c r="J871" s="252"/>
      <c r="K871" s="226"/>
    </row>
    <row r="872" spans="1:11" ht="12.2" customHeight="1" x14ac:dyDescent="0.2">
      <c r="A872" s="248"/>
      <c r="B872" s="248"/>
      <c r="C872" s="261"/>
      <c r="D872" s="244" t="s">
        <v>290</v>
      </c>
      <c r="E872" s="281"/>
      <c r="F872" s="257"/>
      <c r="G872" s="249"/>
      <c r="H872" s="250">
        <v>12991</v>
      </c>
      <c r="I872" s="251">
        <f>(H872/$H$882)</f>
        <v>0.11132534663307454</v>
      </c>
      <c r="J872" s="253"/>
      <c r="K872" s="226"/>
    </row>
    <row r="873" spans="1:11" ht="12.2" customHeight="1" x14ac:dyDescent="0.2">
      <c r="A873" s="248"/>
      <c r="B873" s="248"/>
      <c r="C873" s="261"/>
      <c r="D873" s="244" t="s">
        <v>287</v>
      </c>
      <c r="E873" s="281"/>
      <c r="F873" s="257"/>
      <c r="G873" s="249"/>
      <c r="H873" s="246">
        <v>9180</v>
      </c>
      <c r="I873" s="251">
        <f>(H873/$H$882)</f>
        <v>7.8667283664969917E-2</v>
      </c>
      <c r="J873" s="248"/>
      <c r="K873" s="226"/>
    </row>
    <row r="874" spans="1:11" s="10" customFormat="1" ht="12.2" customHeight="1" x14ac:dyDescent="0.2">
      <c r="A874" s="248"/>
      <c r="B874" s="248"/>
      <c r="C874" s="261"/>
      <c r="D874" s="243" t="s">
        <v>33</v>
      </c>
      <c r="E874" s="281"/>
      <c r="F874" s="257"/>
      <c r="G874" s="249"/>
      <c r="H874" s="255">
        <f>SUM(H869:H873)</f>
        <v>111024</v>
      </c>
      <c r="I874" s="256">
        <f>SUM(I869:I873)</f>
        <v>0.95141138361869504</v>
      </c>
      <c r="J874" s="248"/>
      <c r="K874" s="226"/>
    </row>
    <row r="875" spans="1:11" s="10" customFormat="1" ht="12.2" customHeight="1" x14ac:dyDescent="0.2">
      <c r="A875" s="248"/>
      <c r="B875" s="248"/>
      <c r="C875" s="261"/>
      <c r="D875" s="243"/>
      <c r="E875" s="281"/>
      <c r="F875" s="257"/>
      <c r="G875" s="249"/>
      <c r="H875" s="246"/>
      <c r="I875" s="262"/>
      <c r="J875" s="248"/>
      <c r="K875" s="226"/>
    </row>
    <row r="876" spans="1:11" s="10" customFormat="1" ht="12.2" customHeight="1" x14ac:dyDescent="0.2">
      <c r="A876" s="243" t="s">
        <v>18</v>
      </c>
      <c r="B876" s="243">
        <v>304</v>
      </c>
      <c r="C876" s="243" t="s">
        <v>291</v>
      </c>
      <c r="D876" s="244" t="s">
        <v>562</v>
      </c>
      <c r="E876" s="277">
        <v>39295</v>
      </c>
      <c r="F876" s="245">
        <v>34200000</v>
      </c>
      <c r="G876" s="246">
        <v>138300</v>
      </c>
      <c r="H876" s="296"/>
      <c r="I876" s="251"/>
      <c r="J876" s="253"/>
      <c r="K876" s="226"/>
    </row>
    <row r="877" spans="1:11" s="10" customFormat="1" ht="12.2" customHeight="1" x14ac:dyDescent="0.2">
      <c r="A877" s="248"/>
      <c r="B877" s="248"/>
      <c r="C877" s="261"/>
      <c r="D877" s="244" t="s">
        <v>240</v>
      </c>
      <c r="E877" s="281"/>
      <c r="F877" s="257"/>
      <c r="G877" s="249"/>
      <c r="H877" s="250">
        <v>22150</v>
      </c>
      <c r="I877" s="251">
        <f>(H877/$H$882)</f>
        <v>0.18981267245959518</v>
      </c>
      <c r="J877" s="266"/>
      <c r="K877" s="226"/>
    </row>
    <row r="878" spans="1:11" s="10" customFormat="1" ht="12.2" customHeight="1" x14ac:dyDescent="0.2">
      <c r="A878" s="248"/>
      <c r="B878" s="248"/>
      <c r="C878" s="261"/>
      <c r="D878" s="244" t="s">
        <v>316</v>
      </c>
      <c r="E878" s="281"/>
      <c r="F878" s="257"/>
      <c r="G878" s="249"/>
      <c r="H878" s="246">
        <v>66991</v>
      </c>
      <c r="I878" s="262">
        <f>(H878/$H$882)</f>
        <v>0.57407407407407407</v>
      </c>
      <c r="J878" s="266" t="s">
        <v>316</v>
      </c>
      <c r="K878" s="226"/>
    </row>
    <row r="879" spans="1:11" s="10" customFormat="1" ht="12.2" customHeight="1" x14ac:dyDescent="0.2">
      <c r="A879" s="248"/>
      <c r="B879" s="248"/>
      <c r="C879" s="261"/>
      <c r="D879" s="244" t="s">
        <v>295</v>
      </c>
      <c r="E879" s="281"/>
      <c r="F879" s="257"/>
      <c r="G879" s="249"/>
      <c r="H879" s="246">
        <v>1816</v>
      </c>
      <c r="I879" s="262">
        <f>(H879/$H$882)</f>
        <v>1.5562068315423243E-2</v>
      </c>
      <c r="J879" s="266"/>
      <c r="K879" s="226"/>
    </row>
    <row r="880" spans="1:11" s="10" customFormat="1" ht="12.2" customHeight="1" x14ac:dyDescent="0.2">
      <c r="A880" s="248"/>
      <c r="B880" s="248"/>
      <c r="C880" s="261"/>
      <c r="D880" s="244" t="s">
        <v>290</v>
      </c>
      <c r="E880" s="281"/>
      <c r="F880" s="257"/>
      <c r="G880" s="249"/>
      <c r="H880" s="246">
        <v>6627</v>
      </c>
      <c r="I880" s="262">
        <f>(H880/$H$882)</f>
        <v>5.6789552162064889E-2</v>
      </c>
      <c r="J880" s="248"/>
      <c r="K880" s="226"/>
    </row>
    <row r="881" spans="1:17" s="10" customFormat="1" ht="12.2" customHeight="1" x14ac:dyDescent="0.2">
      <c r="A881" s="248"/>
      <c r="B881" s="248"/>
      <c r="C881" s="261"/>
      <c r="D881" s="254" t="s">
        <v>246</v>
      </c>
      <c r="E881" s="281"/>
      <c r="F881" s="257"/>
      <c r="G881" s="249"/>
      <c r="H881" s="246">
        <v>19110</v>
      </c>
      <c r="I881" s="262">
        <f>(H881/$H$882)</f>
        <v>0.16376163298884261</v>
      </c>
      <c r="J881" s="248"/>
      <c r="K881" s="226"/>
    </row>
    <row r="882" spans="1:17" s="10" customFormat="1" ht="12.2" customHeight="1" x14ac:dyDescent="0.2">
      <c r="A882" s="248"/>
      <c r="B882" s="248"/>
      <c r="C882" s="261"/>
      <c r="D882" s="243" t="s">
        <v>33</v>
      </c>
      <c r="E882" s="281"/>
      <c r="F882" s="257"/>
      <c r="G882" s="249"/>
      <c r="H882" s="246">
        <f>SUM(H877:H881)</f>
        <v>116694</v>
      </c>
      <c r="I882" s="262">
        <f>SUM(I877:I881)</f>
        <v>1</v>
      </c>
      <c r="J882" s="248"/>
      <c r="K882" s="226"/>
    </row>
    <row r="883" spans="1:17" s="10" customFormat="1" ht="12.2" customHeight="1" x14ac:dyDescent="0.2">
      <c r="A883" s="248"/>
      <c r="B883" s="248"/>
      <c r="C883" s="261"/>
      <c r="D883" s="243"/>
      <c r="E883" s="281"/>
      <c r="F883" s="257"/>
      <c r="G883" s="249"/>
      <c r="H883" s="246"/>
      <c r="I883" s="262"/>
      <c r="J883" s="248"/>
      <c r="K883" s="226"/>
    </row>
    <row r="884" spans="1:17" s="10" customFormat="1" ht="12.2" customHeight="1" x14ac:dyDescent="0.2">
      <c r="A884" s="310" t="s">
        <v>18</v>
      </c>
      <c r="B884" s="310"/>
      <c r="C884" s="374" t="s">
        <v>291</v>
      </c>
      <c r="D884" s="311" t="s">
        <v>674</v>
      </c>
      <c r="E884" s="366">
        <v>42644</v>
      </c>
      <c r="F884" s="312">
        <v>37551000</v>
      </c>
      <c r="G884" s="313">
        <v>89103</v>
      </c>
      <c r="H884" s="314"/>
      <c r="I884" s="315"/>
      <c r="J884" s="310"/>
      <c r="K884" s="229" t="s">
        <v>687</v>
      </c>
      <c r="L884" s="28"/>
      <c r="M884" s="28"/>
      <c r="N884" s="27"/>
      <c r="O884" s="27"/>
      <c r="P884" s="27"/>
      <c r="Q884" s="27"/>
    </row>
    <row r="885" spans="1:17" s="10" customFormat="1" ht="12.2" customHeight="1" x14ac:dyDescent="0.2">
      <c r="A885" s="310"/>
      <c r="B885" s="310"/>
      <c r="C885" s="374"/>
      <c r="D885" s="311" t="s">
        <v>597</v>
      </c>
      <c r="E885" s="367"/>
      <c r="F885" s="312"/>
      <c r="G885" s="313"/>
      <c r="H885" s="314">
        <v>1229</v>
      </c>
      <c r="I885" s="315">
        <f>H885/$H$893</f>
        <v>6.9932855354500972E-2</v>
      </c>
      <c r="J885" s="310"/>
      <c r="K885" s="230" t="s">
        <v>762</v>
      </c>
      <c r="L885" s="27"/>
      <c r="M885" s="27"/>
      <c r="N885" s="27"/>
      <c r="O885" s="27"/>
      <c r="P885" s="27"/>
      <c r="Q885" s="27"/>
    </row>
    <row r="886" spans="1:17" ht="12.2" customHeight="1" x14ac:dyDescent="0.2">
      <c r="A886" s="310"/>
      <c r="B886" s="310"/>
      <c r="C886" s="374"/>
      <c r="D886" s="311" t="s">
        <v>646</v>
      </c>
      <c r="E886" s="367"/>
      <c r="F886" s="312"/>
      <c r="G886" s="313"/>
      <c r="H886" s="314">
        <v>1745</v>
      </c>
      <c r="I886" s="315">
        <f t="shared" ref="I886:I893" si="23">H886/$H$893</f>
        <v>9.929441219984067E-2</v>
      </c>
      <c r="J886" s="310"/>
      <c r="K886" s="230"/>
      <c r="L886" s="27"/>
      <c r="M886" s="27"/>
      <c r="N886" s="27"/>
      <c r="O886" s="27"/>
      <c r="P886" s="27"/>
      <c r="Q886" s="27"/>
    </row>
    <row r="887" spans="1:17" ht="12.2" customHeight="1" x14ac:dyDescent="0.2">
      <c r="A887" s="310"/>
      <c r="B887" s="310"/>
      <c r="C887" s="374"/>
      <c r="D887" s="311" t="s">
        <v>620</v>
      </c>
      <c r="E887" s="367"/>
      <c r="F887" s="312"/>
      <c r="G887" s="313"/>
      <c r="H887" s="314">
        <v>11056</v>
      </c>
      <c r="I887" s="315">
        <f t="shared" si="23"/>
        <v>0.62911118698076707</v>
      </c>
      <c r="J887" s="310"/>
      <c r="K887" s="230"/>
      <c r="L887" s="27"/>
      <c r="M887" s="27"/>
      <c r="N887" s="27"/>
      <c r="O887" s="27"/>
      <c r="P887" s="27"/>
      <c r="Q887" s="27"/>
    </row>
    <row r="888" spans="1:17" ht="12.2" customHeight="1" x14ac:dyDescent="0.2">
      <c r="A888" s="310"/>
      <c r="B888" s="310"/>
      <c r="C888" s="374"/>
      <c r="D888" s="311" t="s">
        <v>599</v>
      </c>
      <c r="E888" s="367"/>
      <c r="F888" s="312"/>
      <c r="G888" s="313"/>
      <c r="H888" s="314">
        <v>1049</v>
      </c>
      <c r="I888" s="315">
        <f t="shared" si="23"/>
        <v>5.9690451803801073E-2</v>
      </c>
      <c r="J888" s="310"/>
      <c r="K888" s="230"/>
      <c r="L888" s="27"/>
      <c r="M888" s="27"/>
      <c r="N888" s="27"/>
      <c r="O888" s="27"/>
      <c r="P888" s="27"/>
      <c r="Q888" s="27"/>
    </row>
    <row r="889" spans="1:17" ht="12.2" customHeight="1" x14ac:dyDescent="0.2">
      <c r="A889" s="310"/>
      <c r="B889" s="310"/>
      <c r="C889" s="374"/>
      <c r="D889" s="311" t="s">
        <v>610</v>
      </c>
      <c r="E889" s="367"/>
      <c r="F889" s="312"/>
      <c r="G889" s="313"/>
      <c r="H889" s="314"/>
      <c r="I889" s="315">
        <f t="shared" si="23"/>
        <v>0</v>
      </c>
      <c r="J889" s="310"/>
      <c r="K889" s="230"/>
      <c r="L889" s="27"/>
      <c r="M889" s="27"/>
      <c r="N889" s="27"/>
      <c r="O889" s="27"/>
      <c r="P889" s="27"/>
      <c r="Q889" s="27"/>
    </row>
    <row r="890" spans="1:17" ht="10.15" customHeight="1" x14ac:dyDescent="0.2">
      <c r="A890" s="310"/>
      <c r="B890" s="310"/>
      <c r="C890" s="374"/>
      <c r="D890" s="311" t="s">
        <v>605</v>
      </c>
      <c r="E890" s="367"/>
      <c r="F890" s="312"/>
      <c r="G890" s="313"/>
      <c r="H890" s="314">
        <v>2495</v>
      </c>
      <c r="I890" s="315">
        <f t="shared" si="23"/>
        <v>0.14197109366109026</v>
      </c>
      <c r="J890" s="310"/>
      <c r="K890" s="230"/>
      <c r="L890" s="27"/>
      <c r="M890" s="27"/>
      <c r="N890" s="27"/>
      <c r="O890" s="27"/>
      <c r="P890" s="27"/>
      <c r="Q890" s="27"/>
    </row>
    <row r="891" spans="1:17" ht="10.15" customHeight="1" x14ac:dyDescent="0.2">
      <c r="A891" s="310"/>
      <c r="B891" s="310"/>
      <c r="C891" s="374"/>
      <c r="D891" s="311" t="s">
        <v>602</v>
      </c>
      <c r="E891" s="367"/>
      <c r="F891" s="312"/>
      <c r="G891" s="313"/>
      <c r="H891" s="314"/>
      <c r="I891" s="315">
        <f t="shared" si="23"/>
        <v>0</v>
      </c>
      <c r="J891" s="310"/>
      <c r="K891" s="230"/>
      <c r="L891" s="27"/>
      <c r="M891" s="27"/>
      <c r="N891" s="27"/>
      <c r="O891" s="27"/>
      <c r="P891" s="27"/>
      <c r="Q891" s="27"/>
    </row>
    <row r="892" spans="1:17" ht="10.15" customHeight="1" x14ac:dyDescent="0.2">
      <c r="A892" s="310"/>
      <c r="B892" s="310"/>
      <c r="C892" s="374"/>
      <c r="D892" s="311" t="s">
        <v>634</v>
      </c>
      <c r="E892" s="367"/>
      <c r="F892" s="312"/>
      <c r="G892" s="313"/>
      <c r="H892" s="314"/>
      <c r="I892" s="315">
        <f t="shared" si="23"/>
        <v>0</v>
      </c>
      <c r="J892" s="310"/>
      <c r="K892" s="230"/>
      <c r="L892" s="27"/>
      <c r="M892" s="27"/>
      <c r="N892" s="27"/>
      <c r="O892" s="27"/>
      <c r="P892" s="27"/>
      <c r="Q892" s="27"/>
    </row>
    <row r="893" spans="1:17" ht="10.15" customHeight="1" x14ac:dyDescent="0.2">
      <c r="A893" s="310"/>
      <c r="B893" s="310"/>
      <c r="C893" s="374"/>
      <c r="D893" s="316" t="s">
        <v>33</v>
      </c>
      <c r="E893" s="367"/>
      <c r="F893" s="312"/>
      <c r="G893" s="313"/>
      <c r="H893" s="317">
        <f>SUM(H885:H892)</f>
        <v>17574</v>
      </c>
      <c r="I893" s="318">
        <f t="shared" si="23"/>
        <v>1</v>
      </c>
      <c r="J893" s="310"/>
      <c r="K893" s="230"/>
      <c r="L893" s="27"/>
      <c r="M893" s="27"/>
      <c r="N893" s="27"/>
      <c r="O893" s="27"/>
      <c r="P893" s="27"/>
      <c r="Q893" s="27"/>
    </row>
    <row r="894" spans="1:17" ht="10.15" customHeight="1" x14ac:dyDescent="0.2">
      <c r="A894" s="248"/>
      <c r="B894" s="248"/>
      <c r="C894" s="261"/>
      <c r="D894" s="243"/>
      <c r="E894" s="281"/>
      <c r="F894" s="257"/>
      <c r="G894" s="249"/>
      <c r="H894" s="246"/>
      <c r="I894" s="262"/>
      <c r="J894" s="248"/>
      <c r="K894" s="226"/>
    </row>
    <row r="895" spans="1:17" ht="10.15" customHeight="1" x14ac:dyDescent="0.2">
      <c r="A895" s="243" t="s">
        <v>18</v>
      </c>
      <c r="B895" s="243">
        <v>304</v>
      </c>
      <c r="C895" s="243" t="s">
        <v>236</v>
      </c>
      <c r="D895" s="244" t="s">
        <v>694</v>
      </c>
      <c r="E895" s="277">
        <v>42971</v>
      </c>
      <c r="F895" s="245">
        <v>2059940</v>
      </c>
      <c r="G895" s="246">
        <v>6980</v>
      </c>
      <c r="H895" s="296"/>
      <c r="I895" s="262"/>
      <c r="J895" s="248"/>
      <c r="K895" s="226"/>
    </row>
    <row r="896" spans="1:17" ht="10.15" customHeight="1" x14ac:dyDescent="0.2">
      <c r="A896" s="248"/>
      <c r="B896" s="248"/>
      <c r="C896" s="261"/>
      <c r="D896" s="244" t="s">
        <v>290</v>
      </c>
      <c r="E896" s="281"/>
      <c r="F896" s="257"/>
      <c r="G896" s="249"/>
      <c r="H896" s="250">
        <v>1572</v>
      </c>
      <c r="I896" s="251">
        <f>(H896/$H$898)</f>
        <v>0.29965688143347313</v>
      </c>
      <c r="J896" s="253" t="s">
        <v>63</v>
      </c>
      <c r="K896" s="226"/>
    </row>
    <row r="897" spans="1:11" ht="10.15" customHeight="1" x14ac:dyDescent="0.2">
      <c r="A897" s="248"/>
      <c r="B897" s="248"/>
      <c r="C897" s="261"/>
      <c r="D897" s="254" t="s">
        <v>287</v>
      </c>
      <c r="E897" s="281"/>
      <c r="F897" s="257"/>
      <c r="G897" s="249"/>
      <c r="H897" s="246">
        <v>3674</v>
      </c>
      <c r="I897" s="251">
        <f>(H897/$H$898)</f>
        <v>0.70034311856652687</v>
      </c>
      <c r="J897" s="248"/>
      <c r="K897" s="226"/>
    </row>
    <row r="898" spans="1:11" ht="10.15" customHeight="1" x14ac:dyDescent="0.2">
      <c r="A898" s="248"/>
      <c r="B898" s="248"/>
      <c r="C898" s="261"/>
      <c r="D898" s="243" t="s">
        <v>33</v>
      </c>
      <c r="E898" s="281"/>
      <c r="F898" s="257"/>
      <c r="G898" s="249"/>
      <c r="H898" s="255">
        <f>SUM(H896:H897)</f>
        <v>5246</v>
      </c>
      <c r="I898" s="256">
        <f>SUM(I896:I897)</f>
        <v>1</v>
      </c>
      <c r="J898" s="248"/>
      <c r="K898" s="226"/>
    </row>
    <row r="899" spans="1:11" ht="10.15" customHeight="1" x14ac:dyDescent="0.2">
      <c r="A899" s="248"/>
      <c r="B899" s="248"/>
      <c r="C899" s="261"/>
      <c r="D899" s="243"/>
      <c r="E899" s="281"/>
      <c r="F899" s="257"/>
      <c r="G899" s="249"/>
      <c r="I899" s="319"/>
      <c r="J899" s="248"/>
      <c r="K899" s="226"/>
    </row>
    <row r="900" spans="1:11" ht="10.15" customHeight="1" x14ac:dyDescent="0.2">
      <c r="A900" s="357" t="s">
        <v>18</v>
      </c>
      <c r="B900" s="357">
        <v>304</v>
      </c>
      <c r="C900" s="357" t="s">
        <v>291</v>
      </c>
      <c r="D900" s="351" t="s">
        <v>746</v>
      </c>
      <c r="E900" s="368">
        <v>44305</v>
      </c>
      <c r="F900" s="358">
        <v>32228289</v>
      </c>
      <c r="G900" s="354">
        <v>89493</v>
      </c>
      <c r="H900" s="359"/>
      <c r="I900" s="355"/>
      <c r="J900" s="356"/>
      <c r="K900" s="226"/>
    </row>
    <row r="901" spans="1:11" ht="10.15" customHeight="1" x14ac:dyDescent="0.2">
      <c r="A901" s="357"/>
      <c r="B901" s="357"/>
      <c r="C901" s="357"/>
      <c r="D901" s="351" t="s">
        <v>754</v>
      </c>
      <c r="E901" s="368"/>
      <c r="F901" s="358"/>
      <c r="G901" s="354"/>
      <c r="H901" s="359">
        <v>1844</v>
      </c>
      <c r="I901" s="355">
        <f t="shared" ref="I901:I906" si="24">(H901/$H$907)</f>
        <v>2.8089630904687191E-2</v>
      </c>
      <c r="J901" s="356"/>
      <c r="K901" s="226"/>
    </row>
    <row r="902" spans="1:11" ht="10.15" customHeight="1" x14ac:dyDescent="0.2">
      <c r="A902" s="357"/>
      <c r="B902" s="357"/>
      <c r="C902" s="357"/>
      <c r="D902" s="351" t="s">
        <v>464</v>
      </c>
      <c r="E902" s="368"/>
      <c r="F902" s="358"/>
      <c r="G902" s="354"/>
      <c r="H902" s="359">
        <v>9800</v>
      </c>
      <c r="I902" s="355">
        <f t="shared" si="24"/>
        <v>0.14928328788825079</v>
      </c>
      <c r="J902" s="356"/>
      <c r="K902" s="226"/>
    </row>
    <row r="903" spans="1:11" ht="10.15" customHeight="1" x14ac:dyDescent="0.2">
      <c r="A903" s="357"/>
      <c r="B903" s="357"/>
      <c r="C903" s="357"/>
      <c r="D903" s="351" t="s">
        <v>755</v>
      </c>
      <c r="E903" s="368"/>
      <c r="F903" s="358"/>
      <c r="G903" s="354"/>
      <c r="H903" s="359">
        <v>3693</v>
      </c>
      <c r="I903" s="355">
        <f t="shared" si="24"/>
        <v>5.6255426752174507E-2</v>
      </c>
      <c r="J903" s="356"/>
      <c r="K903" s="226"/>
    </row>
    <row r="904" spans="1:11" ht="10.15" customHeight="1" x14ac:dyDescent="0.2">
      <c r="A904" s="356"/>
      <c r="B904" s="356"/>
      <c r="C904" s="350"/>
      <c r="D904" s="351" t="s">
        <v>756</v>
      </c>
      <c r="E904" s="369"/>
      <c r="F904" s="352"/>
      <c r="G904" s="353"/>
      <c r="H904" s="354">
        <v>45709</v>
      </c>
      <c r="I904" s="355">
        <f t="shared" si="24"/>
        <v>0.69628467409020978</v>
      </c>
      <c r="J904" s="356" t="s">
        <v>63</v>
      </c>
      <c r="K904" s="226"/>
    </row>
    <row r="905" spans="1:11" ht="10.15" customHeight="1" x14ac:dyDescent="0.2">
      <c r="A905" s="356"/>
      <c r="B905" s="356"/>
      <c r="C905" s="350"/>
      <c r="D905" s="351" t="s">
        <v>757</v>
      </c>
      <c r="E905" s="369"/>
      <c r="F905" s="352"/>
      <c r="G905" s="353"/>
      <c r="H905" s="354">
        <v>4601</v>
      </c>
      <c r="I905" s="355">
        <f t="shared" si="24"/>
        <v>7.008698036467774E-2</v>
      </c>
      <c r="J905" s="356"/>
      <c r="K905" s="226"/>
    </row>
    <row r="906" spans="1:11" ht="10.15" customHeight="1" x14ac:dyDescent="0.2">
      <c r="A906" s="356"/>
      <c r="B906" s="356"/>
      <c r="C906" s="350"/>
      <c r="D906" s="360" t="s">
        <v>758</v>
      </c>
      <c r="E906" s="369"/>
      <c r="F906" s="352"/>
      <c r="G906" s="353"/>
      <c r="H906" s="354">
        <v>0</v>
      </c>
      <c r="I906" s="355">
        <f t="shared" si="24"/>
        <v>0</v>
      </c>
      <c r="J906" s="356"/>
      <c r="K906" s="226"/>
    </row>
    <row r="907" spans="1:11" ht="10.15" customHeight="1" x14ac:dyDescent="0.2">
      <c r="A907" s="356"/>
      <c r="B907" s="356"/>
      <c r="C907" s="350"/>
      <c r="D907" s="357" t="s">
        <v>33</v>
      </c>
      <c r="E907" s="369"/>
      <c r="F907" s="352"/>
      <c r="G907" s="353"/>
      <c r="H907" s="354">
        <f>SUM(H901:H906)</f>
        <v>65647</v>
      </c>
      <c r="I907" s="355">
        <f>SUM(I901:I906)</f>
        <v>1</v>
      </c>
      <c r="J907" s="356"/>
      <c r="K907" s="226"/>
    </row>
    <row r="908" spans="1:11" ht="10.15" customHeight="1" x14ac:dyDescent="0.2">
      <c r="A908" s="248"/>
      <c r="B908" s="248"/>
      <c r="C908" s="261"/>
      <c r="D908" s="244"/>
      <c r="E908" s="281"/>
      <c r="F908" s="257"/>
      <c r="G908" s="249"/>
      <c r="H908" s="246"/>
      <c r="I908" s="262"/>
      <c r="J908" s="248"/>
      <c r="K908" s="226"/>
    </row>
    <row r="909" spans="1:11" ht="10.15" customHeight="1" x14ac:dyDescent="0.2">
      <c r="A909" s="243" t="s">
        <v>20</v>
      </c>
      <c r="B909" s="243" t="s">
        <v>325</v>
      </c>
      <c r="C909" s="243" t="s">
        <v>236</v>
      </c>
      <c r="D909" s="244" t="s">
        <v>162</v>
      </c>
      <c r="E909" s="277" t="s">
        <v>326</v>
      </c>
      <c r="F909" s="245">
        <v>7248550</v>
      </c>
      <c r="G909" s="246">
        <v>120000</v>
      </c>
      <c r="H909" s="242"/>
      <c r="I909" s="251"/>
      <c r="J909" s="253"/>
      <c r="K909" s="226"/>
    </row>
    <row r="910" spans="1:11" ht="10.15" customHeight="1" x14ac:dyDescent="0.2">
      <c r="A910" s="248"/>
      <c r="B910" s="248"/>
      <c r="C910" s="261"/>
      <c r="D910" s="244" t="s">
        <v>263</v>
      </c>
      <c r="E910" s="281"/>
      <c r="F910" s="257"/>
      <c r="G910" s="249"/>
      <c r="H910" s="250">
        <v>19668</v>
      </c>
      <c r="I910" s="251">
        <f>ROUND(H910/$H$916,4)</f>
        <v>0.2437</v>
      </c>
      <c r="J910" s="253" t="s">
        <v>263</v>
      </c>
      <c r="K910" s="226"/>
    </row>
    <row r="911" spans="1:11" ht="10.15" customHeight="1" x14ac:dyDescent="0.2">
      <c r="A911" s="248"/>
      <c r="B911" s="248"/>
      <c r="C911" s="261"/>
      <c r="D911" s="244" t="s">
        <v>240</v>
      </c>
      <c r="E911" s="281"/>
      <c r="F911" s="257"/>
      <c r="G911" s="249"/>
      <c r="H911" s="250">
        <v>27874</v>
      </c>
      <c r="I911" s="251">
        <f>ROUND(H911/$H$916,4)</f>
        <v>0.34539999999999998</v>
      </c>
      <c r="J911" s="253" t="s">
        <v>240</v>
      </c>
      <c r="K911" s="226"/>
    </row>
    <row r="912" spans="1:11" ht="10.15" customHeight="1" x14ac:dyDescent="0.2">
      <c r="A912" s="248"/>
      <c r="B912" s="248"/>
      <c r="C912" s="261"/>
      <c r="D912" s="244" t="s">
        <v>241</v>
      </c>
      <c r="E912" s="281"/>
      <c r="F912" s="257"/>
      <c r="G912" s="249"/>
      <c r="H912" s="250">
        <v>4800</v>
      </c>
      <c r="I912" s="251">
        <f>ROUND(H912/$H$916,4)</f>
        <v>5.9499999999999997E-2</v>
      </c>
      <c r="J912" s="253"/>
      <c r="K912" s="226"/>
    </row>
    <row r="913" spans="1:11" ht="10.15" customHeight="1" x14ac:dyDescent="0.2">
      <c r="A913" s="248"/>
      <c r="B913" s="248"/>
      <c r="C913" s="261"/>
      <c r="D913" s="244" t="s">
        <v>242</v>
      </c>
      <c r="E913" s="281"/>
      <c r="F913" s="257"/>
      <c r="G913" s="249"/>
      <c r="H913" s="250">
        <v>26229</v>
      </c>
      <c r="I913" s="251">
        <f>ROUND(H913/$H$916,4)</f>
        <v>0.32500000000000001</v>
      </c>
      <c r="J913" s="252" t="s">
        <v>242</v>
      </c>
      <c r="K913" s="226"/>
    </row>
    <row r="914" spans="1:11" ht="9.75" customHeight="1" x14ac:dyDescent="0.2">
      <c r="A914" s="248"/>
      <c r="B914" s="248"/>
      <c r="C914" s="261"/>
      <c r="D914" s="244" t="s">
        <v>264</v>
      </c>
      <c r="E914" s="281"/>
      <c r="F914" s="257"/>
      <c r="G914" s="249"/>
      <c r="H914" s="250">
        <v>750</v>
      </c>
      <c r="I914" s="251">
        <f>ROUND(H914/$H$916,4)+0.0001</f>
        <v>9.3999999999999986E-3</v>
      </c>
      <c r="J914" s="253"/>
      <c r="K914" s="226"/>
    </row>
    <row r="915" spans="1:11" ht="10.15" customHeight="1" x14ac:dyDescent="0.2">
      <c r="A915" s="248"/>
      <c r="B915" s="248"/>
      <c r="C915" s="261"/>
      <c r="D915" s="244" t="s">
        <v>245</v>
      </c>
      <c r="E915" s="281"/>
      <c r="F915" s="257"/>
      <c r="G915" s="249"/>
      <c r="H915" s="250">
        <v>1375</v>
      </c>
      <c r="I915" s="251">
        <f>ROUND(H915/$H$916,4)</f>
        <v>1.7000000000000001E-2</v>
      </c>
      <c r="J915" s="253"/>
      <c r="K915" s="226"/>
    </row>
    <row r="916" spans="1:11" ht="10.15" customHeight="1" x14ac:dyDescent="0.2">
      <c r="A916" s="248"/>
      <c r="B916" s="248"/>
      <c r="C916" s="261"/>
      <c r="D916" s="243" t="s">
        <v>33</v>
      </c>
      <c r="E916" s="281"/>
      <c r="F916" s="257"/>
      <c r="G916" s="249"/>
      <c r="H916" s="255">
        <f>SUM(H910:H915)</f>
        <v>80696</v>
      </c>
      <c r="I916" s="256">
        <f>SUM(I910:I915)</f>
        <v>1</v>
      </c>
      <c r="J916" s="253"/>
      <c r="K916" s="226"/>
    </row>
    <row r="917" spans="1:11" ht="10.15" customHeight="1" x14ac:dyDescent="0.2">
      <c r="A917" s="248"/>
      <c r="B917" s="248"/>
      <c r="C917" s="261"/>
      <c r="D917" s="249"/>
      <c r="E917" s="281"/>
      <c r="F917" s="257"/>
      <c r="G917" s="249"/>
      <c r="H917" s="242"/>
      <c r="I917" s="242"/>
      <c r="J917" s="253"/>
      <c r="K917" s="226"/>
    </row>
    <row r="918" spans="1:11" ht="10.15" customHeight="1" x14ac:dyDescent="0.2">
      <c r="A918" s="243" t="s">
        <v>20</v>
      </c>
      <c r="B918" s="243" t="s">
        <v>327</v>
      </c>
      <c r="C918" s="243" t="s">
        <v>236</v>
      </c>
      <c r="D918" s="244" t="s">
        <v>328</v>
      </c>
      <c r="E918" s="277" t="s">
        <v>329</v>
      </c>
      <c r="F918" s="245">
        <v>8071726</v>
      </c>
      <c r="G918" s="246">
        <v>98495</v>
      </c>
      <c r="H918" s="242"/>
      <c r="I918" s="251"/>
      <c r="J918" s="253"/>
      <c r="K918" s="226"/>
    </row>
    <row r="919" spans="1:11" ht="10.15" customHeight="1" x14ac:dyDescent="0.2">
      <c r="A919" s="248"/>
      <c r="B919" s="248"/>
      <c r="C919" s="261"/>
      <c r="D919" s="244" t="s">
        <v>263</v>
      </c>
      <c r="E919" s="281"/>
      <c r="F919" s="257"/>
      <c r="G919" s="249"/>
      <c r="H919" s="250">
        <v>26800</v>
      </c>
      <c r="I919" s="251">
        <f>ROUND(H919/$H$923,4)</f>
        <v>0.36220000000000002</v>
      </c>
      <c r="J919" s="252" t="s">
        <v>263</v>
      </c>
      <c r="K919" s="226"/>
    </row>
    <row r="920" spans="1:11" ht="10.15" customHeight="1" x14ac:dyDescent="0.2">
      <c r="A920" s="248"/>
      <c r="B920" s="248"/>
      <c r="C920" s="261"/>
      <c r="D920" s="244" t="s">
        <v>242</v>
      </c>
      <c r="E920" s="281"/>
      <c r="F920" s="257"/>
      <c r="G920" s="249"/>
      <c r="H920" s="250">
        <v>40000</v>
      </c>
      <c r="I920" s="251">
        <f>ROUND(H920/$H$923,4)</f>
        <v>0.54049999999999998</v>
      </c>
      <c r="J920" s="252" t="s">
        <v>242</v>
      </c>
      <c r="K920" s="226"/>
    </row>
    <row r="921" spans="1:11" ht="10.15" customHeight="1" x14ac:dyDescent="0.2">
      <c r="A921" s="248"/>
      <c r="B921" s="248"/>
      <c r="C921" s="261"/>
      <c r="D921" s="244" t="s">
        <v>264</v>
      </c>
      <c r="E921" s="281"/>
      <c r="F921" s="257"/>
      <c r="G921" s="249"/>
      <c r="H921" s="250">
        <v>5600</v>
      </c>
      <c r="I921" s="251">
        <f>ROUND(H921/$H$923,4)</f>
        <v>7.5700000000000003E-2</v>
      </c>
      <c r="J921" s="253"/>
      <c r="K921" s="226"/>
    </row>
    <row r="922" spans="1:11" ht="10.15" customHeight="1" x14ac:dyDescent="0.2">
      <c r="A922" s="248"/>
      <c r="B922" s="248"/>
      <c r="C922" s="261"/>
      <c r="D922" s="244" t="s">
        <v>244</v>
      </c>
      <c r="E922" s="281"/>
      <c r="F922" s="257"/>
      <c r="G922" s="249"/>
      <c r="H922" s="250">
        <v>1600</v>
      </c>
      <c r="I922" s="251">
        <f>ROUND(H922/$H$923,4)</f>
        <v>2.1600000000000001E-2</v>
      </c>
      <c r="J922" s="253"/>
      <c r="K922" s="226"/>
    </row>
    <row r="923" spans="1:11" ht="10.15" customHeight="1" x14ac:dyDescent="0.2">
      <c r="A923" s="248"/>
      <c r="B923" s="248"/>
      <c r="C923" s="261"/>
      <c r="D923" s="243" t="s">
        <v>33</v>
      </c>
      <c r="E923" s="281"/>
      <c r="F923" s="257"/>
      <c r="G923" s="249"/>
      <c r="H923" s="255">
        <f>SUM(H919:H922)</f>
        <v>74000</v>
      </c>
      <c r="I923" s="256">
        <f>SUM(I919:I922)</f>
        <v>1</v>
      </c>
      <c r="J923" s="253"/>
      <c r="K923" s="226"/>
    </row>
    <row r="924" spans="1:11" ht="10.15" customHeight="1" x14ac:dyDescent="0.2">
      <c r="A924" s="248"/>
      <c r="B924" s="248"/>
      <c r="C924" s="261"/>
      <c r="D924" s="249"/>
      <c r="E924" s="281"/>
      <c r="F924" s="257"/>
      <c r="G924" s="249"/>
      <c r="H924" s="242"/>
      <c r="I924" s="242"/>
      <c r="J924" s="253"/>
      <c r="K924" s="226"/>
    </row>
    <row r="925" spans="1:11" ht="10.15" customHeight="1" x14ac:dyDescent="0.2">
      <c r="A925" s="243" t="s">
        <v>20</v>
      </c>
      <c r="B925" s="243" t="s">
        <v>330</v>
      </c>
      <c r="C925" s="243" t="s">
        <v>236</v>
      </c>
      <c r="D925" s="244" t="s">
        <v>216</v>
      </c>
      <c r="E925" s="277" t="s">
        <v>331</v>
      </c>
      <c r="F925" s="245">
        <v>8091487</v>
      </c>
      <c r="G925" s="246">
        <v>89204</v>
      </c>
      <c r="H925" s="242"/>
      <c r="I925" s="242"/>
      <c r="J925" s="253"/>
      <c r="K925" s="226"/>
    </row>
    <row r="926" spans="1:11" ht="10.15" customHeight="1" x14ac:dyDescent="0.2">
      <c r="A926" s="248"/>
      <c r="B926" s="248"/>
      <c r="C926" s="261"/>
      <c r="D926" s="244" t="s">
        <v>305</v>
      </c>
      <c r="E926" s="281"/>
      <c r="F926" s="257"/>
      <c r="G926" s="249"/>
      <c r="H926" s="255">
        <v>60000</v>
      </c>
      <c r="I926" s="256">
        <f>ROUND(H926/$H$926,4)</f>
        <v>1</v>
      </c>
      <c r="J926" s="252" t="s">
        <v>305</v>
      </c>
      <c r="K926" s="226"/>
    </row>
    <row r="927" spans="1:11" ht="10.15" customHeight="1" x14ac:dyDescent="0.2">
      <c r="A927" s="248"/>
      <c r="B927" s="248"/>
      <c r="C927" s="261"/>
      <c r="D927" s="249"/>
      <c r="E927" s="281"/>
      <c r="F927" s="257"/>
      <c r="G927" s="249"/>
      <c r="H927" s="242"/>
      <c r="I927" s="242"/>
      <c r="J927" s="253"/>
      <c r="K927" s="226"/>
    </row>
    <row r="928" spans="1:11" ht="10.15" customHeight="1" x14ac:dyDescent="0.2">
      <c r="A928" s="243" t="s">
        <v>20</v>
      </c>
      <c r="B928" s="243" t="s">
        <v>332</v>
      </c>
      <c r="C928" s="243" t="s">
        <v>236</v>
      </c>
      <c r="D928" s="244" t="s">
        <v>174</v>
      </c>
      <c r="E928" s="277" t="s">
        <v>333</v>
      </c>
      <c r="F928" s="245">
        <v>6266551</v>
      </c>
      <c r="G928" s="246">
        <v>84400</v>
      </c>
      <c r="H928" s="242"/>
      <c r="I928" s="242"/>
      <c r="J928" s="253"/>
      <c r="K928" s="226"/>
    </row>
    <row r="929" spans="1:11" ht="10.15" customHeight="1" x14ac:dyDescent="0.2">
      <c r="A929" s="248"/>
      <c r="B929" s="248"/>
      <c r="C929" s="261"/>
      <c r="D929" s="244" t="s">
        <v>263</v>
      </c>
      <c r="E929" s="281"/>
      <c r="F929" s="257"/>
      <c r="G929" s="249"/>
      <c r="H929" s="250">
        <v>37647</v>
      </c>
      <c r="I929" s="251">
        <f>ROUND(H929/$H$933,4)</f>
        <v>0.63100000000000001</v>
      </c>
      <c r="J929" s="252" t="s">
        <v>263</v>
      </c>
      <c r="K929" s="226"/>
    </row>
    <row r="930" spans="1:11" ht="10.15" customHeight="1" x14ac:dyDescent="0.2">
      <c r="A930" s="248"/>
      <c r="B930" s="248"/>
      <c r="C930" s="261"/>
      <c r="D930" s="244" t="s">
        <v>242</v>
      </c>
      <c r="E930" s="281"/>
      <c r="F930" s="257"/>
      <c r="G930" s="249"/>
      <c r="H930" s="250">
        <v>5000</v>
      </c>
      <c r="I930" s="251">
        <f>ROUND(H930/$H$933,4)</f>
        <v>8.3799999999999999E-2</v>
      </c>
      <c r="J930" s="253"/>
      <c r="K930" s="226"/>
    </row>
    <row r="931" spans="1:11" ht="10.15" customHeight="1" x14ac:dyDescent="0.2">
      <c r="A931" s="248"/>
      <c r="B931" s="248"/>
      <c r="C931" s="261"/>
      <c r="D931" s="254" t="s">
        <v>264</v>
      </c>
      <c r="E931" s="281"/>
      <c r="F931" s="257"/>
      <c r="G931" s="249"/>
      <c r="H931" s="250">
        <v>13350</v>
      </c>
      <c r="I931" s="251">
        <f>ROUND(H931/$H$933,4)</f>
        <v>0.2238</v>
      </c>
      <c r="J931" s="253" t="s">
        <v>264</v>
      </c>
      <c r="K931" s="226"/>
    </row>
    <row r="932" spans="1:11" ht="10.15" customHeight="1" x14ac:dyDescent="0.2">
      <c r="A932" s="248"/>
      <c r="B932" s="248"/>
      <c r="C932" s="261"/>
      <c r="D932" s="254" t="s">
        <v>246</v>
      </c>
      <c r="E932" s="281"/>
      <c r="F932" s="257"/>
      <c r="G932" s="249"/>
      <c r="H932" s="250">
        <v>3663</v>
      </c>
      <c r="I932" s="251">
        <f>ROUND(H932/$H$933,4)</f>
        <v>6.1400000000000003E-2</v>
      </c>
      <c r="J932" s="253"/>
      <c r="K932" s="226"/>
    </row>
    <row r="933" spans="1:11" ht="10.15" customHeight="1" x14ac:dyDescent="0.2">
      <c r="A933" s="248"/>
      <c r="B933" s="248"/>
      <c r="C933" s="261"/>
      <c r="D933" s="243" t="s">
        <v>33</v>
      </c>
      <c r="E933" s="281"/>
      <c r="F933" s="257"/>
      <c r="G933" s="249"/>
      <c r="H933" s="255">
        <f>SUM(H929:H932)</f>
        <v>59660</v>
      </c>
      <c r="I933" s="256">
        <f>SUM(I929:I932)</f>
        <v>1</v>
      </c>
      <c r="J933" s="253"/>
      <c r="K933" s="226"/>
    </row>
    <row r="934" spans="1:11" ht="10.15" customHeight="1" x14ac:dyDescent="0.2">
      <c r="A934" s="248"/>
      <c r="B934" s="248"/>
      <c r="C934" s="261"/>
      <c r="D934" s="249"/>
      <c r="E934" s="281"/>
      <c r="F934" s="257"/>
      <c r="G934" s="249"/>
      <c r="H934" s="242"/>
      <c r="I934" s="242"/>
      <c r="J934" s="253"/>
      <c r="K934" s="226"/>
    </row>
    <row r="935" spans="1:11" ht="10.5" customHeight="1" x14ac:dyDescent="0.2">
      <c r="A935" s="243" t="s">
        <v>20</v>
      </c>
      <c r="B935" s="243" t="s">
        <v>334</v>
      </c>
      <c r="C935" s="243" t="s">
        <v>236</v>
      </c>
      <c r="D935" s="244" t="s">
        <v>222</v>
      </c>
      <c r="E935" s="277" t="s">
        <v>274</v>
      </c>
      <c r="F935" s="245">
        <v>1907500</v>
      </c>
      <c r="G935" s="246">
        <v>55865</v>
      </c>
      <c r="H935" s="242"/>
      <c r="I935" s="242"/>
      <c r="J935" s="253"/>
      <c r="K935" s="226"/>
    </row>
    <row r="936" spans="1:11" ht="10.15" customHeight="1" x14ac:dyDescent="0.2">
      <c r="A936" s="248"/>
      <c r="B936" s="248"/>
      <c r="C936" s="261"/>
      <c r="D936" s="244" t="s">
        <v>241</v>
      </c>
      <c r="E936" s="281"/>
      <c r="F936" s="257"/>
      <c r="G936" s="249"/>
      <c r="H936" s="250">
        <v>175</v>
      </c>
      <c r="I936" s="251">
        <f>ROUND(H936/$H$939,4)+0.0001</f>
        <v>4.3E-3</v>
      </c>
      <c r="J936" s="253"/>
      <c r="K936" s="226"/>
    </row>
    <row r="937" spans="1:11" ht="10.15" customHeight="1" x14ac:dyDescent="0.2">
      <c r="A937" s="248"/>
      <c r="B937" s="248"/>
      <c r="C937" s="261"/>
      <c r="D937" s="244" t="s">
        <v>242</v>
      </c>
      <c r="E937" s="281"/>
      <c r="F937" s="257"/>
      <c r="G937" s="249"/>
      <c r="H937" s="250">
        <v>3912</v>
      </c>
      <c r="I937" s="251">
        <f>ROUND(H937/$H$939,4)</f>
        <v>9.4500000000000001E-2</v>
      </c>
      <c r="J937" s="253"/>
      <c r="K937" s="226"/>
    </row>
    <row r="938" spans="1:11" ht="10.15" customHeight="1" x14ac:dyDescent="0.2">
      <c r="A938" s="248"/>
      <c r="B938" s="248"/>
      <c r="C938" s="261"/>
      <c r="D938" s="254" t="s">
        <v>246</v>
      </c>
      <c r="E938" s="281"/>
      <c r="F938" s="257"/>
      <c r="G938" s="249"/>
      <c r="H938" s="250">
        <v>37295</v>
      </c>
      <c r="I938" s="251">
        <f>ROUND(H938/$H$939,4)</f>
        <v>0.9012</v>
      </c>
      <c r="J938" s="260" t="s">
        <v>246</v>
      </c>
      <c r="K938" s="226"/>
    </row>
    <row r="939" spans="1:11" ht="10.15" customHeight="1" x14ac:dyDescent="0.2">
      <c r="A939" s="248"/>
      <c r="B939" s="248"/>
      <c r="C939" s="261"/>
      <c r="D939" s="243" t="s">
        <v>33</v>
      </c>
      <c r="E939" s="281"/>
      <c r="F939" s="257"/>
      <c r="G939" s="249"/>
      <c r="H939" s="255">
        <f>SUM(H936:H938)</f>
        <v>41382</v>
      </c>
      <c r="I939" s="256">
        <f>SUM(I936:I938)</f>
        <v>1</v>
      </c>
      <c r="J939" s="253"/>
      <c r="K939" s="226"/>
    </row>
    <row r="940" spans="1:11" ht="10.15" customHeight="1" x14ac:dyDescent="0.2">
      <c r="A940" s="248"/>
      <c r="B940" s="248"/>
      <c r="C940" s="261"/>
      <c r="D940" s="249"/>
      <c r="E940" s="281"/>
      <c r="F940" s="257"/>
      <c r="G940" s="249"/>
      <c r="H940" s="242"/>
      <c r="I940" s="242"/>
      <c r="J940" s="253"/>
      <c r="K940" s="226"/>
    </row>
    <row r="941" spans="1:11" ht="10.15" customHeight="1" x14ac:dyDescent="0.2">
      <c r="A941" s="243" t="s">
        <v>20</v>
      </c>
      <c r="B941" s="243" t="s">
        <v>335</v>
      </c>
      <c r="C941" s="243" t="s">
        <v>236</v>
      </c>
      <c r="D941" s="244" t="s">
        <v>86</v>
      </c>
      <c r="E941" s="277" t="s">
        <v>274</v>
      </c>
      <c r="F941" s="245">
        <v>8265000</v>
      </c>
      <c r="G941" s="246">
        <v>93439</v>
      </c>
      <c r="H941" s="242"/>
      <c r="I941" s="242"/>
      <c r="J941" s="253"/>
      <c r="K941" s="226"/>
    </row>
    <row r="942" spans="1:11" ht="10.15" customHeight="1" x14ac:dyDescent="0.2">
      <c r="A942" s="248"/>
      <c r="B942" s="248"/>
      <c r="C942" s="261"/>
      <c r="D942" s="244" t="s">
        <v>242</v>
      </c>
      <c r="E942" s="281"/>
      <c r="F942" s="257"/>
      <c r="G942" s="249"/>
      <c r="H942" s="250">
        <v>1965</v>
      </c>
      <c r="I942" s="251">
        <f>ROUND(H942/$H$944,4)</f>
        <v>2.8400000000000002E-2</v>
      </c>
      <c r="J942" s="253"/>
      <c r="K942" s="226"/>
    </row>
    <row r="943" spans="1:11" ht="10.15" customHeight="1" x14ac:dyDescent="0.2">
      <c r="A943" s="248"/>
      <c r="B943" s="248"/>
      <c r="C943" s="261"/>
      <c r="D943" s="244" t="s">
        <v>245</v>
      </c>
      <c r="E943" s="281"/>
      <c r="F943" s="257"/>
      <c r="G943" s="249"/>
      <c r="H943" s="250">
        <v>67249</v>
      </c>
      <c r="I943" s="251">
        <f>ROUND(H943/$H$944,4)</f>
        <v>0.97160000000000002</v>
      </c>
      <c r="J943" s="252" t="s">
        <v>245</v>
      </c>
      <c r="K943" s="226"/>
    </row>
    <row r="944" spans="1:11" ht="10.15" customHeight="1" x14ac:dyDescent="0.2">
      <c r="A944" s="248"/>
      <c r="B944" s="248"/>
      <c r="C944" s="261"/>
      <c r="D944" s="243" t="s">
        <v>33</v>
      </c>
      <c r="E944" s="281"/>
      <c r="F944" s="257"/>
      <c r="G944" s="249"/>
      <c r="H944" s="255">
        <f>SUM(H942:H943)</f>
        <v>69214</v>
      </c>
      <c r="I944" s="256">
        <f>SUM(I942:I943)</f>
        <v>1</v>
      </c>
      <c r="J944" s="253"/>
      <c r="K944" s="226"/>
    </row>
    <row r="945" spans="1:11" ht="10.15" customHeight="1" x14ac:dyDescent="0.2">
      <c r="A945" s="248"/>
      <c r="B945" s="248"/>
      <c r="C945" s="261"/>
      <c r="D945" s="249"/>
      <c r="E945" s="281"/>
      <c r="F945" s="257"/>
      <c r="G945" s="249"/>
      <c r="H945" s="242"/>
      <c r="I945" s="242"/>
      <c r="J945" s="253"/>
      <c r="K945" s="226"/>
    </row>
    <row r="946" spans="1:11" ht="10.15" customHeight="1" x14ac:dyDescent="0.2">
      <c r="A946" s="243" t="s">
        <v>20</v>
      </c>
      <c r="B946" s="243" t="s">
        <v>336</v>
      </c>
      <c r="C946" s="243" t="s">
        <v>236</v>
      </c>
      <c r="D946" s="254" t="s">
        <v>337</v>
      </c>
      <c r="E946" s="277" t="s">
        <v>276</v>
      </c>
      <c r="F946" s="245">
        <v>7427500</v>
      </c>
      <c r="G946" s="246">
        <v>89871</v>
      </c>
      <c r="H946" s="242"/>
      <c r="I946" s="242"/>
      <c r="J946" s="253"/>
      <c r="K946" s="226"/>
    </row>
    <row r="947" spans="1:11" ht="10.15" customHeight="1" x14ac:dyDescent="0.2">
      <c r="A947" s="248"/>
      <c r="B947" s="248"/>
      <c r="C947" s="261"/>
      <c r="D947" s="244" t="s">
        <v>263</v>
      </c>
      <c r="E947" s="281"/>
      <c r="F947" s="257"/>
      <c r="G947" s="249"/>
      <c r="H947" s="250">
        <v>1440</v>
      </c>
      <c r="I947" s="251">
        <f>ROUND(H947/$H$951,4)+0.0001</f>
        <v>2.41E-2</v>
      </c>
      <c r="J947" s="253"/>
      <c r="K947" s="226"/>
    </row>
    <row r="948" spans="1:11" ht="10.15" customHeight="1" x14ac:dyDescent="0.2">
      <c r="A948" s="248"/>
      <c r="B948" s="248"/>
      <c r="C948" s="261"/>
      <c r="D948" s="244" t="s">
        <v>241</v>
      </c>
      <c r="E948" s="281"/>
      <c r="F948" s="257"/>
      <c r="G948" s="249"/>
      <c r="H948" s="250">
        <v>48048</v>
      </c>
      <c r="I948" s="251">
        <f>ROUND(H948/$H$951,4)</f>
        <v>0.80189999999999995</v>
      </c>
      <c r="J948" s="252" t="s">
        <v>241</v>
      </c>
      <c r="K948" s="226"/>
    </row>
    <row r="949" spans="1:11" ht="10.15" customHeight="1" x14ac:dyDescent="0.2">
      <c r="A949" s="248"/>
      <c r="B949" s="248"/>
      <c r="C949" s="261"/>
      <c r="D949" s="244" t="s">
        <v>242</v>
      </c>
      <c r="E949" s="281"/>
      <c r="F949" s="257"/>
      <c r="G949" s="249"/>
      <c r="H949" s="250">
        <v>8626</v>
      </c>
      <c r="I949" s="251">
        <f>ROUND(H949/$H$951,4)</f>
        <v>0.14399999999999999</v>
      </c>
      <c r="J949" s="253"/>
      <c r="K949" s="226"/>
    </row>
    <row r="950" spans="1:11" ht="10.15" customHeight="1" x14ac:dyDescent="0.2">
      <c r="A950" s="248"/>
      <c r="B950" s="248"/>
      <c r="C950" s="261"/>
      <c r="D950" s="254" t="s">
        <v>246</v>
      </c>
      <c r="E950" s="281"/>
      <c r="F950" s="257"/>
      <c r="G950" s="249"/>
      <c r="H950" s="250">
        <v>1800</v>
      </c>
      <c r="I950" s="251">
        <f>ROUND(H950/$H$951,4)</f>
        <v>0.03</v>
      </c>
      <c r="J950" s="253"/>
      <c r="K950" s="226"/>
    </row>
    <row r="951" spans="1:11" ht="10.15" customHeight="1" x14ac:dyDescent="0.2">
      <c r="A951" s="248"/>
      <c r="B951" s="248"/>
      <c r="C951" s="261"/>
      <c r="D951" s="243" t="s">
        <v>33</v>
      </c>
      <c r="E951" s="281"/>
      <c r="F951" s="257"/>
      <c r="G951" s="249"/>
      <c r="H951" s="255">
        <f>SUM(H947:H950)</f>
        <v>59914</v>
      </c>
      <c r="I951" s="256">
        <f>SUM(I947:I950)</f>
        <v>1</v>
      </c>
      <c r="J951" s="253"/>
      <c r="K951" s="226"/>
    </row>
    <row r="952" spans="1:11" ht="10.15" customHeight="1" x14ac:dyDescent="0.2">
      <c r="A952" s="248"/>
      <c r="B952" s="248"/>
      <c r="C952" s="261"/>
      <c r="D952" s="249"/>
      <c r="E952" s="281"/>
      <c r="F952" s="257"/>
      <c r="G952" s="249"/>
      <c r="H952" s="242"/>
      <c r="I952" s="251"/>
      <c r="J952" s="253"/>
      <c r="K952" s="226"/>
    </row>
    <row r="953" spans="1:11" ht="10.15" customHeight="1" x14ac:dyDescent="0.2">
      <c r="A953" s="243" t="s">
        <v>20</v>
      </c>
      <c r="B953" s="243">
        <v>460</v>
      </c>
      <c r="C953" s="243" t="s">
        <v>236</v>
      </c>
      <c r="D953" s="244" t="s">
        <v>189</v>
      </c>
      <c r="E953" s="277" t="s">
        <v>338</v>
      </c>
      <c r="F953" s="245">
        <v>6094000</v>
      </c>
      <c r="G953" s="246">
        <v>61600</v>
      </c>
      <c r="H953" s="242"/>
      <c r="I953" s="251"/>
      <c r="J953" s="253"/>
      <c r="K953" s="226"/>
    </row>
    <row r="954" spans="1:11" ht="10.15" customHeight="1" x14ac:dyDescent="0.2">
      <c r="A954" s="248"/>
      <c r="B954" s="248"/>
      <c r="C954" s="261"/>
      <c r="D954" s="244" t="s">
        <v>241</v>
      </c>
      <c r="E954" s="281"/>
      <c r="F954" s="257"/>
      <c r="G954" s="249"/>
      <c r="H954" s="250">
        <v>17996</v>
      </c>
      <c r="I954" s="251">
        <f>ROUND(H954/$H$957,4)</f>
        <v>0.36420000000000002</v>
      </c>
      <c r="J954" s="252" t="s">
        <v>241</v>
      </c>
      <c r="K954" s="226"/>
    </row>
    <row r="955" spans="1:11" ht="10.15" customHeight="1" x14ac:dyDescent="0.2">
      <c r="A955" s="248"/>
      <c r="B955" s="248"/>
      <c r="C955" s="261"/>
      <c r="D955" s="244" t="s">
        <v>242</v>
      </c>
      <c r="E955" s="281"/>
      <c r="F955" s="257"/>
      <c r="G955" s="249"/>
      <c r="H955" s="250">
        <v>23184</v>
      </c>
      <c r="I955" s="251">
        <f>ROUND(H955/$H$957,4)</f>
        <v>0.46920000000000001</v>
      </c>
      <c r="J955" s="252" t="s">
        <v>242</v>
      </c>
      <c r="K955" s="226"/>
    </row>
    <row r="956" spans="1:11" ht="10.15" customHeight="1" x14ac:dyDescent="0.2">
      <c r="A956" s="248"/>
      <c r="B956" s="248"/>
      <c r="C956" s="261"/>
      <c r="D956" s="254" t="s">
        <v>246</v>
      </c>
      <c r="E956" s="281"/>
      <c r="F956" s="257"/>
      <c r="G956" s="249"/>
      <c r="H956" s="250">
        <v>8234</v>
      </c>
      <c r="I956" s="251">
        <f>ROUND(H956/$H$957,4)</f>
        <v>0.1666</v>
      </c>
      <c r="J956" s="253"/>
      <c r="K956" s="226"/>
    </row>
    <row r="957" spans="1:11" ht="10.15" customHeight="1" x14ac:dyDescent="0.2">
      <c r="A957" s="248"/>
      <c r="B957" s="248"/>
      <c r="C957" s="261"/>
      <c r="D957" s="243" t="s">
        <v>33</v>
      </c>
      <c r="E957" s="281"/>
      <c r="F957" s="257"/>
      <c r="G957" s="249"/>
      <c r="H957" s="255">
        <f>SUM(H954:H956)</f>
        <v>49414</v>
      </c>
      <c r="I957" s="256">
        <f>SUM(I953:I956)</f>
        <v>1</v>
      </c>
      <c r="J957" s="253"/>
      <c r="K957" s="226"/>
    </row>
    <row r="958" spans="1:11" ht="12.2" customHeight="1" x14ac:dyDescent="0.2">
      <c r="A958" s="248"/>
      <c r="B958" s="248"/>
      <c r="C958" s="261"/>
      <c r="D958" s="243"/>
      <c r="E958" s="281"/>
      <c r="F958" s="257"/>
      <c r="G958" s="249"/>
      <c r="H958" s="258"/>
      <c r="I958" s="259"/>
      <c r="J958" s="253"/>
      <c r="K958" s="226"/>
    </row>
    <row r="959" spans="1:11" ht="10.15" customHeight="1" x14ac:dyDescent="0.2">
      <c r="A959" s="243" t="s">
        <v>20</v>
      </c>
      <c r="B959" s="243">
        <v>477</v>
      </c>
      <c r="C959" s="243" t="s">
        <v>236</v>
      </c>
      <c r="D959" s="244" t="s">
        <v>38</v>
      </c>
      <c r="E959" s="277" t="s">
        <v>312</v>
      </c>
      <c r="F959" s="245">
        <v>6450420</v>
      </c>
      <c r="G959" s="246">
        <v>51954</v>
      </c>
      <c r="H959" s="242"/>
      <c r="I959" s="251"/>
      <c r="J959" s="253"/>
      <c r="K959" s="226"/>
    </row>
    <row r="960" spans="1:11" ht="10.15" customHeight="1" x14ac:dyDescent="0.2">
      <c r="A960" s="248"/>
      <c r="B960" s="248"/>
      <c r="C960" s="261"/>
      <c r="D960" s="244" t="s">
        <v>263</v>
      </c>
      <c r="E960" s="281"/>
      <c r="F960" s="257"/>
      <c r="G960" s="249"/>
      <c r="H960" s="250">
        <v>4908</v>
      </c>
      <c r="I960" s="251">
        <f>ROUND(H960/$H$963,4)</f>
        <v>0.14419999999999999</v>
      </c>
      <c r="J960" s="253"/>
      <c r="K960" s="226"/>
    </row>
    <row r="961" spans="1:11" ht="10.15" customHeight="1" x14ac:dyDescent="0.2">
      <c r="A961" s="249"/>
      <c r="B961" s="249"/>
      <c r="C961" s="284"/>
      <c r="D961" s="244" t="s">
        <v>240</v>
      </c>
      <c r="E961" s="281"/>
      <c r="F961" s="257"/>
      <c r="G961" s="249"/>
      <c r="H961" s="250">
        <v>13287</v>
      </c>
      <c r="I961" s="251">
        <f>ROUND(H961/$H$963,4)</f>
        <v>0.39029999999999998</v>
      </c>
      <c r="J961" s="252" t="s">
        <v>240</v>
      </c>
      <c r="K961" s="226"/>
    </row>
    <row r="962" spans="1:11" ht="10.15" customHeight="1" x14ac:dyDescent="0.2">
      <c r="A962" s="249"/>
      <c r="B962" s="249"/>
      <c r="C962" s="284"/>
      <c r="D962" s="244" t="s">
        <v>242</v>
      </c>
      <c r="E962" s="281"/>
      <c r="F962" s="257"/>
      <c r="G962" s="249"/>
      <c r="H962" s="250">
        <v>15849</v>
      </c>
      <c r="I962" s="251">
        <f>ROUND(H962/$H$963,4)</f>
        <v>0.46550000000000002</v>
      </c>
      <c r="J962" s="252" t="s">
        <v>242</v>
      </c>
      <c r="K962" s="226"/>
    </row>
    <row r="963" spans="1:11" ht="10.15" customHeight="1" x14ac:dyDescent="0.2">
      <c r="A963" s="249"/>
      <c r="B963" s="249"/>
      <c r="C963" s="284"/>
      <c r="D963" s="243" t="s">
        <v>33</v>
      </c>
      <c r="E963" s="281"/>
      <c r="F963" s="257"/>
      <c r="G963" s="249"/>
      <c r="H963" s="255">
        <f>SUM(H960:H962)</f>
        <v>34044</v>
      </c>
      <c r="I963" s="256">
        <f>SUM(I960:I962)</f>
        <v>1</v>
      </c>
      <c r="J963" s="253"/>
      <c r="K963" s="226"/>
    </row>
    <row r="964" spans="1:11" ht="10.15" customHeight="1" x14ac:dyDescent="0.2">
      <c r="A964" s="248"/>
      <c r="B964" s="248"/>
      <c r="C964" s="261"/>
      <c r="D964" s="243"/>
      <c r="E964" s="281"/>
      <c r="F964" s="257"/>
      <c r="G964" s="249"/>
      <c r="H964" s="258"/>
      <c r="I964" s="259"/>
      <c r="J964" s="253"/>
      <c r="K964" s="226"/>
    </row>
    <row r="965" spans="1:11" ht="10.15" customHeight="1" x14ac:dyDescent="0.2">
      <c r="A965" s="243" t="s">
        <v>20</v>
      </c>
      <c r="B965" s="243">
        <v>492</v>
      </c>
      <c r="C965" s="243" t="s">
        <v>236</v>
      </c>
      <c r="D965" s="244" t="s">
        <v>40</v>
      </c>
      <c r="E965" s="277" t="s">
        <v>339</v>
      </c>
      <c r="F965" s="245">
        <v>224867</v>
      </c>
      <c r="G965" s="246">
        <v>1359</v>
      </c>
      <c r="H965" s="242"/>
      <c r="I965" s="251"/>
      <c r="J965" s="253"/>
      <c r="K965" s="226"/>
    </row>
    <row r="966" spans="1:11" ht="10.15" customHeight="1" x14ac:dyDescent="0.2">
      <c r="A966" s="248"/>
      <c r="B966" s="248"/>
      <c r="C966" s="261"/>
      <c r="D966" s="244" t="s">
        <v>240</v>
      </c>
      <c r="E966" s="281"/>
      <c r="F966" s="257"/>
      <c r="G966" s="249"/>
      <c r="H966" s="250">
        <v>1100</v>
      </c>
      <c r="I966" s="251">
        <f>ROUND(H966/$H$968,4)</f>
        <v>0.87509999999999999</v>
      </c>
      <c r="J966" s="252" t="s">
        <v>240</v>
      </c>
      <c r="K966" s="226"/>
    </row>
    <row r="967" spans="1:11" ht="10.15" customHeight="1" x14ac:dyDescent="0.2">
      <c r="A967" s="248"/>
      <c r="B967" s="248"/>
      <c r="C967" s="261"/>
      <c r="D967" s="244" t="s">
        <v>287</v>
      </c>
      <c r="E967" s="281"/>
      <c r="F967" s="257"/>
      <c r="G967" s="249"/>
      <c r="H967" s="250">
        <v>157</v>
      </c>
      <c r="I967" s="251">
        <f>ROUND(H967/$H$968,4)</f>
        <v>0.1249</v>
      </c>
      <c r="J967" s="253"/>
      <c r="K967" s="226"/>
    </row>
    <row r="968" spans="1:11" ht="10.15" customHeight="1" x14ac:dyDescent="0.2">
      <c r="A968" s="248"/>
      <c r="B968" s="248"/>
      <c r="C968" s="261"/>
      <c r="D968" s="243" t="s">
        <v>33</v>
      </c>
      <c r="E968" s="281"/>
      <c r="F968" s="257"/>
      <c r="G968" s="249"/>
      <c r="H968" s="255">
        <f>SUM(H966:H967)</f>
        <v>1257</v>
      </c>
      <c r="I968" s="256">
        <f>SUM(I966:I967)</f>
        <v>1</v>
      </c>
      <c r="J968" s="253"/>
      <c r="K968" s="226"/>
    </row>
    <row r="969" spans="1:11" ht="10.15" customHeight="1" x14ac:dyDescent="0.2">
      <c r="A969" s="248"/>
      <c r="B969" s="248"/>
      <c r="C969" s="261"/>
      <c r="D969" s="249"/>
      <c r="E969" s="281"/>
      <c r="F969" s="257"/>
      <c r="G969" s="249"/>
      <c r="H969" s="242"/>
      <c r="I969" s="251"/>
      <c r="J969" s="253"/>
      <c r="K969" s="226"/>
    </row>
    <row r="970" spans="1:11" ht="10.15" customHeight="1" x14ac:dyDescent="0.2">
      <c r="A970" s="243" t="s">
        <v>20</v>
      </c>
      <c r="B970" s="243">
        <v>407</v>
      </c>
      <c r="C970" s="243" t="s">
        <v>236</v>
      </c>
      <c r="D970" s="244" t="s">
        <v>103</v>
      </c>
      <c r="E970" s="277" t="s">
        <v>340</v>
      </c>
      <c r="F970" s="245">
        <v>473555</v>
      </c>
      <c r="G970" s="246">
        <v>12175</v>
      </c>
      <c r="H970" s="242"/>
      <c r="I970" s="251"/>
      <c r="J970" s="253"/>
      <c r="K970" s="226"/>
    </row>
    <row r="971" spans="1:11" ht="10.15" customHeight="1" x14ac:dyDescent="0.2">
      <c r="A971" s="248"/>
      <c r="B971" s="248"/>
      <c r="C971" s="261"/>
      <c r="D971" s="244" t="s">
        <v>242</v>
      </c>
      <c r="E971" s="281"/>
      <c r="F971" s="257"/>
      <c r="G971" s="249"/>
      <c r="H971" s="250">
        <v>500</v>
      </c>
      <c r="I971" s="251">
        <f>ROUND(H971/$H$973,4)</f>
        <v>4.7600000000000003E-2</v>
      </c>
      <c r="J971" s="253"/>
      <c r="K971" s="226"/>
    </row>
    <row r="972" spans="1:11" ht="10.15" customHeight="1" x14ac:dyDescent="0.2">
      <c r="A972" s="248"/>
      <c r="B972" s="248"/>
      <c r="C972" s="261"/>
      <c r="D972" s="244" t="s">
        <v>246</v>
      </c>
      <c r="E972" s="281"/>
      <c r="F972" s="257"/>
      <c r="G972" s="249"/>
      <c r="H972" s="250">
        <v>10000</v>
      </c>
      <c r="I972" s="251">
        <f>ROUND(H972/$H$973,4)</f>
        <v>0.95240000000000002</v>
      </c>
      <c r="J972" s="252" t="s">
        <v>246</v>
      </c>
      <c r="K972" s="226"/>
    </row>
    <row r="973" spans="1:11" ht="10.15" customHeight="1" x14ac:dyDescent="0.2">
      <c r="A973" s="248"/>
      <c r="B973" s="248"/>
      <c r="C973" s="261"/>
      <c r="D973" s="243" t="s">
        <v>33</v>
      </c>
      <c r="E973" s="281"/>
      <c r="F973" s="257"/>
      <c r="G973" s="249"/>
      <c r="H973" s="255">
        <f>SUM(H971:H972)</f>
        <v>10500</v>
      </c>
      <c r="I973" s="256">
        <f>SUM(I971:I972)</f>
        <v>1</v>
      </c>
      <c r="J973" s="253"/>
      <c r="K973" s="226"/>
    </row>
    <row r="974" spans="1:11" ht="10.15" customHeight="1" x14ac:dyDescent="0.2">
      <c r="A974" s="248"/>
      <c r="B974" s="248"/>
      <c r="C974" s="261"/>
      <c r="D974" s="243"/>
      <c r="E974" s="281"/>
      <c r="F974" s="257"/>
      <c r="G974" s="249"/>
      <c r="H974" s="258"/>
      <c r="I974" s="259"/>
      <c r="J974" s="253"/>
      <c r="K974" s="226"/>
    </row>
    <row r="975" spans="1:11" ht="10.15" customHeight="1" x14ac:dyDescent="0.2">
      <c r="A975" s="261" t="s">
        <v>20</v>
      </c>
      <c r="B975" s="261">
        <v>404</v>
      </c>
      <c r="C975" s="243" t="s">
        <v>236</v>
      </c>
      <c r="D975" s="263" t="s">
        <v>28</v>
      </c>
      <c r="E975" s="336" t="s">
        <v>341</v>
      </c>
      <c r="F975" s="257">
        <v>9135000</v>
      </c>
      <c r="G975" s="249">
        <v>81555</v>
      </c>
      <c r="H975" s="258"/>
      <c r="I975" s="259"/>
      <c r="J975" s="253"/>
      <c r="K975" s="226"/>
    </row>
    <row r="976" spans="1:11" ht="10.15" customHeight="1" x14ac:dyDescent="0.2">
      <c r="A976" s="248"/>
      <c r="B976" s="248"/>
      <c r="C976" s="261"/>
      <c r="D976" s="244" t="s">
        <v>263</v>
      </c>
      <c r="E976" s="281"/>
      <c r="F976" s="257"/>
      <c r="G976" s="249"/>
      <c r="H976" s="258">
        <v>11857</v>
      </c>
      <c r="I976" s="251">
        <f t="shared" ref="I976:I981" si="25">ROUND(H976/$H$982,4)</f>
        <v>0.22259999999999999</v>
      </c>
      <c r="J976" s="253" t="s">
        <v>263</v>
      </c>
      <c r="K976" s="226"/>
    </row>
    <row r="977" spans="1:11" ht="10.15" customHeight="1" x14ac:dyDescent="0.2">
      <c r="A977" s="248"/>
      <c r="B977" s="248"/>
      <c r="C977" s="261"/>
      <c r="D977" s="263" t="s">
        <v>240</v>
      </c>
      <c r="E977" s="281"/>
      <c r="F977" s="257"/>
      <c r="G977" s="249"/>
      <c r="H977" s="258">
        <v>18475</v>
      </c>
      <c r="I977" s="251">
        <f t="shared" si="25"/>
        <v>0.34689999999999999</v>
      </c>
      <c r="J977" s="253" t="s">
        <v>240</v>
      </c>
      <c r="K977" s="226"/>
    </row>
    <row r="978" spans="1:11" ht="10.15" customHeight="1" x14ac:dyDescent="0.2">
      <c r="A978" s="248"/>
      <c r="B978" s="248"/>
      <c r="C978" s="261"/>
      <c r="D978" s="263" t="s">
        <v>242</v>
      </c>
      <c r="E978" s="281"/>
      <c r="F978" s="257"/>
      <c r="G978" s="249"/>
      <c r="H978" s="258">
        <v>16065</v>
      </c>
      <c r="I978" s="251">
        <f t="shared" si="25"/>
        <v>0.30159999999999998</v>
      </c>
      <c r="J978" s="253" t="s">
        <v>242</v>
      </c>
      <c r="K978" s="226"/>
    </row>
    <row r="979" spans="1:11" ht="10.15" customHeight="1" x14ac:dyDescent="0.2">
      <c r="A979" s="248"/>
      <c r="B979" s="248"/>
      <c r="C979" s="261"/>
      <c r="D979" s="244" t="s">
        <v>264</v>
      </c>
      <c r="E979" s="281"/>
      <c r="F979" s="257"/>
      <c r="G979" s="249"/>
      <c r="H979" s="258">
        <v>4397</v>
      </c>
      <c r="I979" s="251">
        <f t="shared" si="25"/>
        <v>8.2600000000000007E-2</v>
      </c>
      <c r="J979" s="253"/>
      <c r="K979" s="226"/>
    </row>
    <row r="980" spans="1:11" ht="10.15" customHeight="1" x14ac:dyDescent="0.2">
      <c r="A980" s="248"/>
      <c r="B980" s="248"/>
      <c r="C980" s="261"/>
      <c r="D980" s="263" t="s">
        <v>244</v>
      </c>
      <c r="E980" s="281"/>
      <c r="F980" s="257"/>
      <c r="G980" s="249"/>
      <c r="H980" s="258">
        <v>2163</v>
      </c>
      <c r="I980" s="251">
        <f t="shared" si="25"/>
        <v>4.0599999999999997E-2</v>
      </c>
      <c r="J980" s="253"/>
      <c r="K980" s="226"/>
    </row>
    <row r="981" spans="1:11" ht="10.15" customHeight="1" x14ac:dyDescent="0.2">
      <c r="A981" s="248"/>
      <c r="B981" s="248"/>
      <c r="C981" s="261"/>
      <c r="D981" s="244" t="s">
        <v>246</v>
      </c>
      <c r="E981" s="281"/>
      <c r="F981" s="257"/>
      <c r="G981" s="249"/>
      <c r="H981" s="258">
        <v>304</v>
      </c>
      <c r="I981" s="251">
        <f t="shared" si="25"/>
        <v>5.7000000000000002E-3</v>
      </c>
      <c r="J981" s="253"/>
      <c r="K981" s="226"/>
    </row>
    <row r="982" spans="1:11" ht="10.15" customHeight="1" x14ac:dyDescent="0.2">
      <c r="A982" s="248"/>
      <c r="B982" s="248"/>
      <c r="C982" s="261"/>
      <c r="D982" s="243" t="s">
        <v>33</v>
      </c>
      <c r="E982" s="281"/>
      <c r="F982" s="257"/>
      <c r="G982" s="249"/>
      <c r="H982" s="255">
        <f>SUM(H976:H981)</f>
        <v>53261</v>
      </c>
      <c r="I982" s="256">
        <f>SUM(I976:I981)</f>
        <v>1</v>
      </c>
      <c r="J982" s="253"/>
      <c r="K982" s="226"/>
    </row>
    <row r="983" spans="1:11" ht="10.15" customHeight="1" x14ac:dyDescent="0.2">
      <c r="A983" s="248"/>
      <c r="B983" s="248"/>
      <c r="C983" s="261"/>
      <c r="D983" s="243"/>
      <c r="E983" s="281"/>
      <c r="F983" s="257"/>
      <c r="G983" s="249"/>
      <c r="H983" s="258"/>
      <c r="I983" s="259"/>
      <c r="J983" s="253"/>
      <c r="K983" s="226"/>
    </row>
    <row r="984" spans="1:11" ht="10.15" customHeight="1" x14ac:dyDescent="0.2">
      <c r="A984" s="261" t="s">
        <v>20</v>
      </c>
      <c r="B984" s="261">
        <v>405</v>
      </c>
      <c r="C984" s="243" t="s">
        <v>236</v>
      </c>
      <c r="D984" s="263" t="s">
        <v>69</v>
      </c>
      <c r="E984" s="336" t="s">
        <v>342</v>
      </c>
      <c r="F984" s="257">
        <v>1451520</v>
      </c>
      <c r="G984" s="249">
        <v>12950</v>
      </c>
      <c r="H984" s="258"/>
      <c r="I984" s="259"/>
      <c r="J984" s="253"/>
      <c r="K984" s="226"/>
    </row>
    <row r="985" spans="1:11" ht="10.15" customHeight="1" x14ac:dyDescent="0.2">
      <c r="A985" s="248"/>
      <c r="B985" s="248"/>
      <c r="C985" s="261"/>
      <c r="D985" s="263" t="s">
        <v>242</v>
      </c>
      <c r="E985" s="281"/>
      <c r="F985" s="257"/>
      <c r="G985" s="249"/>
      <c r="H985" s="258">
        <v>4185</v>
      </c>
      <c r="I985" s="251">
        <f>ROUND(H985/$H$987,4)</f>
        <v>0.42980000000000002</v>
      </c>
      <c r="J985" s="253" t="s">
        <v>242</v>
      </c>
      <c r="K985" s="226"/>
    </row>
    <row r="986" spans="1:11" ht="10.15" customHeight="1" x14ac:dyDescent="0.2">
      <c r="A986" s="248"/>
      <c r="B986" s="248"/>
      <c r="C986" s="261"/>
      <c r="D986" s="263" t="s">
        <v>246</v>
      </c>
      <c r="E986" s="281"/>
      <c r="F986" s="257"/>
      <c r="G986" s="249"/>
      <c r="H986" s="258">
        <v>5553</v>
      </c>
      <c r="I986" s="251">
        <f>ROUND(H986/$H$987,4)</f>
        <v>0.57020000000000004</v>
      </c>
      <c r="J986" s="253" t="s">
        <v>246</v>
      </c>
      <c r="K986" s="226"/>
    </row>
    <row r="987" spans="1:11" ht="10.15" customHeight="1" x14ac:dyDescent="0.2">
      <c r="A987" s="248"/>
      <c r="B987" s="248"/>
      <c r="C987" s="261"/>
      <c r="D987" s="243" t="s">
        <v>33</v>
      </c>
      <c r="E987" s="281"/>
      <c r="F987" s="257"/>
      <c r="G987" s="249"/>
      <c r="H987" s="255">
        <f>SUM(H985:H986)</f>
        <v>9738</v>
      </c>
      <c r="I987" s="256">
        <f>SUM(I985:I986)</f>
        <v>1</v>
      </c>
      <c r="J987" s="253"/>
      <c r="K987" s="226"/>
    </row>
    <row r="988" spans="1:11" ht="10.15" customHeight="1" x14ac:dyDescent="0.2">
      <c r="A988" s="261" t="s">
        <v>20</v>
      </c>
      <c r="B988" s="264">
        <v>429</v>
      </c>
      <c r="C988" s="243" t="s">
        <v>291</v>
      </c>
      <c r="D988" s="249" t="s">
        <v>112</v>
      </c>
      <c r="E988" s="336">
        <v>35977</v>
      </c>
      <c r="F988" s="257">
        <v>9768358</v>
      </c>
      <c r="G988" s="249">
        <v>88119</v>
      </c>
      <c r="H988" s="242"/>
      <c r="I988" s="251"/>
      <c r="J988" s="242"/>
      <c r="K988" s="226"/>
    </row>
    <row r="989" spans="1:11" ht="10.15" customHeight="1" x14ac:dyDescent="0.2">
      <c r="A989" s="249"/>
      <c r="B989" s="249"/>
      <c r="C989" s="284"/>
      <c r="D989" s="244" t="s">
        <v>263</v>
      </c>
      <c r="E989" s="281"/>
      <c r="F989" s="257"/>
      <c r="G989" s="249"/>
      <c r="H989" s="242">
        <v>39337</v>
      </c>
      <c r="I989" s="251">
        <f>H989/H993</f>
        <v>0.6830051741500851</v>
      </c>
      <c r="J989" s="253" t="s">
        <v>263</v>
      </c>
      <c r="K989" s="226"/>
    </row>
    <row r="990" spans="1:11" ht="10.15" customHeight="1" x14ac:dyDescent="0.2">
      <c r="A990" s="249"/>
      <c r="B990" s="249"/>
      <c r="C990" s="284"/>
      <c r="D990" s="244" t="s">
        <v>240</v>
      </c>
      <c r="E990" s="281"/>
      <c r="F990" s="257"/>
      <c r="G990" s="249"/>
      <c r="H990" s="242">
        <v>2750</v>
      </c>
      <c r="I990" s="251">
        <f>H990/H993</f>
        <v>4.7748029308608539E-2</v>
      </c>
      <c r="J990" s="252"/>
      <c r="K990" s="226"/>
    </row>
    <row r="991" spans="1:11" ht="10.15" customHeight="1" x14ac:dyDescent="0.2">
      <c r="A991" s="249"/>
      <c r="B991" s="249"/>
      <c r="C991" s="284"/>
      <c r="D991" s="244" t="s">
        <v>244</v>
      </c>
      <c r="E991" s="281"/>
      <c r="F991" s="257"/>
      <c r="G991" s="249"/>
      <c r="H991" s="242">
        <v>9030</v>
      </c>
      <c r="I991" s="251">
        <f>H991/H993</f>
        <v>0.15678716532972184</v>
      </c>
      <c r="J991" s="252"/>
      <c r="K991" s="226"/>
    </row>
    <row r="992" spans="1:11" ht="10.15" customHeight="1" x14ac:dyDescent="0.2">
      <c r="A992" s="249"/>
      <c r="B992" s="249"/>
      <c r="C992" s="284"/>
      <c r="D992" s="244" t="s">
        <v>290</v>
      </c>
      <c r="E992" s="281"/>
      <c r="F992" s="257"/>
      <c r="G992" s="249"/>
      <c r="H992" s="242">
        <v>6477</v>
      </c>
      <c r="I992" s="251">
        <f>H992/H993</f>
        <v>0.11245963121158455</v>
      </c>
      <c r="J992" s="252"/>
      <c r="K992" s="226"/>
    </row>
    <row r="993" spans="1:11" ht="10.15" customHeight="1" x14ac:dyDescent="0.2">
      <c r="A993" s="249"/>
      <c r="B993" s="249"/>
      <c r="C993" s="284"/>
      <c r="D993" s="243" t="s">
        <v>33</v>
      </c>
      <c r="E993" s="281"/>
      <c r="F993" s="257"/>
      <c r="G993" s="249"/>
      <c r="H993" s="265">
        <f>SUM(H989:H992)</f>
        <v>57594</v>
      </c>
      <c r="I993" s="256">
        <f>SUM(I989:I992)</f>
        <v>1</v>
      </c>
      <c r="J993" s="242"/>
      <c r="K993" s="226"/>
    </row>
    <row r="994" spans="1:11" ht="10.15" customHeight="1" x14ac:dyDescent="0.2">
      <c r="A994" s="261" t="s">
        <v>20</v>
      </c>
      <c r="B994" s="264">
        <v>424</v>
      </c>
      <c r="C994" s="243" t="s">
        <v>291</v>
      </c>
      <c r="D994" s="249" t="s">
        <v>113</v>
      </c>
      <c r="E994" s="336">
        <v>35462</v>
      </c>
      <c r="F994" s="257">
        <v>10123101</v>
      </c>
      <c r="G994" s="249">
        <v>91933</v>
      </c>
      <c r="H994" s="242"/>
      <c r="I994" s="251"/>
      <c r="J994" s="242"/>
      <c r="K994" s="226"/>
    </row>
    <row r="995" spans="1:11" ht="10.15" customHeight="1" x14ac:dyDescent="0.2">
      <c r="A995" s="249"/>
      <c r="B995" s="249"/>
      <c r="C995" s="284"/>
      <c r="D995" s="244" t="s">
        <v>263</v>
      </c>
      <c r="E995" s="281"/>
      <c r="F995" s="257"/>
      <c r="G995" s="249"/>
      <c r="H995" s="242">
        <v>20000</v>
      </c>
      <c r="I995" s="251">
        <f>H995/H1000</f>
        <v>0.33488496701383075</v>
      </c>
      <c r="J995" s="253" t="s">
        <v>263</v>
      </c>
      <c r="K995" s="226"/>
    </row>
    <row r="996" spans="1:11" ht="10.15" customHeight="1" x14ac:dyDescent="0.2">
      <c r="A996" s="249"/>
      <c r="B996" s="249"/>
      <c r="C996" s="284"/>
      <c r="D996" s="244" t="s">
        <v>240</v>
      </c>
      <c r="E996" s="281"/>
      <c r="F996" s="257"/>
      <c r="G996" s="249"/>
      <c r="H996" s="242">
        <v>16037</v>
      </c>
      <c r="I996" s="251">
        <f>H996/H1000</f>
        <v>0.26852751080004017</v>
      </c>
      <c r="J996" s="253" t="s">
        <v>240</v>
      </c>
      <c r="K996" s="226"/>
    </row>
    <row r="997" spans="1:11" ht="10.15" customHeight="1" x14ac:dyDescent="0.2">
      <c r="A997" s="249"/>
      <c r="B997" s="249"/>
      <c r="C997" s="284"/>
      <c r="D997" s="244" t="s">
        <v>295</v>
      </c>
      <c r="E997" s="281"/>
      <c r="F997" s="257"/>
      <c r="G997" s="249"/>
      <c r="H997" s="242">
        <v>500</v>
      </c>
      <c r="I997" s="251">
        <f>H997/H1000</f>
        <v>8.372124175345769E-3</v>
      </c>
      <c r="J997" s="242"/>
      <c r="K997" s="226"/>
    </row>
    <row r="998" spans="1:11" ht="10.15" customHeight="1" x14ac:dyDescent="0.2">
      <c r="A998" s="249"/>
      <c r="B998" s="249"/>
      <c r="C998" s="284"/>
      <c r="D998" s="244" t="s">
        <v>290</v>
      </c>
      <c r="E998" s="281"/>
      <c r="F998" s="257"/>
      <c r="G998" s="249"/>
      <c r="H998" s="242">
        <v>22043</v>
      </c>
      <c r="I998" s="251">
        <f>H998/H1000</f>
        <v>0.36909346639429358</v>
      </c>
      <c r="J998" s="252" t="s">
        <v>290</v>
      </c>
      <c r="K998" s="226"/>
    </row>
    <row r="999" spans="1:11" ht="10.15" customHeight="1" x14ac:dyDescent="0.2">
      <c r="A999" s="249"/>
      <c r="B999" s="249"/>
      <c r="C999" s="284"/>
      <c r="D999" s="244" t="s">
        <v>294</v>
      </c>
      <c r="E999" s="281"/>
      <c r="F999" s="257"/>
      <c r="G999" s="249"/>
      <c r="H999" s="242">
        <v>1142</v>
      </c>
      <c r="I999" s="251">
        <f>H999/H1000</f>
        <v>1.9121931616489736E-2</v>
      </c>
      <c r="J999" s="252"/>
      <c r="K999" s="226"/>
    </row>
    <row r="1000" spans="1:11" ht="10.35" customHeight="1" x14ac:dyDescent="0.2">
      <c r="A1000" s="249"/>
      <c r="B1000" s="249"/>
      <c r="C1000" s="284"/>
      <c r="D1000" s="243" t="s">
        <v>33</v>
      </c>
      <c r="E1000" s="281"/>
      <c r="F1000" s="257"/>
      <c r="G1000" s="249"/>
      <c r="H1000" s="265">
        <f>SUM(H995:H999)</f>
        <v>59722</v>
      </c>
      <c r="I1000" s="256">
        <f>SUM(I995:I999)</f>
        <v>1</v>
      </c>
      <c r="J1000" s="242"/>
      <c r="K1000" s="226"/>
    </row>
    <row r="1001" spans="1:11" ht="10.35" customHeight="1" x14ac:dyDescent="0.2">
      <c r="A1001" s="249"/>
      <c r="B1001" s="249"/>
      <c r="C1001" s="284"/>
      <c r="D1001" s="243"/>
      <c r="E1001" s="281"/>
      <c r="F1001" s="257"/>
      <c r="G1001" s="249"/>
      <c r="H1001" s="249"/>
      <c r="I1001" s="262"/>
      <c r="J1001" s="242"/>
      <c r="K1001" s="226"/>
    </row>
    <row r="1002" spans="1:11" ht="10.35" customHeight="1" x14ac:dyDescent="0.2">
      <c r="A1002" s="261" t="s">
        <v>20</v>
      </c>
      <c r="B1002" s="264">
        <v>408</v>
      </c>
      <c r="C1002" s="243" t="s">
        <v>291</v>
      </c>
      <c r="D1002" s="249" t="s">
        <v>153</v>
      </c>
      <c r="E1002" s="336">
        <v>36434</v>
      </c>
      <c r="F1002" s="257">
        <v>14338927</v>
      </c>
      <c r="G1002" s="249">
        <v>99381</v>
      </c>
      <c r="H1002" s="242"/>
      <c r="I1002" s="251"/>
      <c r="J1002" s="242"/>
      <c r="K1002" s="226"/>
    </row>
    <row r="1003" spans="1:11" ht="10.15" customHeight="1" x14ac:dyDescent="0.2">
      <c r="A1003" s="249"/>
      <c r="B1003" s="249"/>
      <c r="C1003" s="284"/>
      <c r="D1003" s="244" t="s">
        <v>263</v>
      </c>
      <c r="E1003" s="281"/>
      <c r="F1003" s="257"/>
      <c r="G1003" s="249"/>
      <c r="H1003" s="242">
        <v>10085</v>
      </c>
      <c r="I1003" s="251">
        <f>H1003/H1010</f>
        <v>0.15424734636444282</v>
      </c>
      <c r="J1003" s="253"/>
      <c r="K1003" s="226"/>
    </row>
    <row r="1004" spans="1:11" ht="10.15" customHeight="1" x14ac:dyDescent="0.2">
      <c r="A1004" s="249"/>
      <c r="B1004" s="249"/>
      <c r="C1004" s="284"/>
      <c r="D1004" s="244" t="s">
        <v>240</v>
      </c>
      <c r="E1004" s="281"/>
      <c r="F1004" s="257"/>
      <c r="G1004" s="249"/>
      <c r="H1004" s="242">
        <v>9620</v>
      </c>
      <c r="I1004" s="251">
        <f>H1004/H1010</f>
        <v>0.14713529717659293</v>
      </c>
      <c r="J1004" s="242"/>
      <c r="K1004" s="226"/>
    </row>
    <row r="1005" spans="1:11" ht="10.15" customHeight="1" x14ac:dyDescent="0.2">
      <c r="A1005" s="249"/>
      <c r="B1005" s="249"/>
      <c r="C1005" s="284"/>
      <c r="D1005" s="244" t="s">
        <v>241</v>
      </c>
      <c r="E1005" s="281"/>
      <c r="F1005" s="257"/>
      <c r="G1005" s="249"/>
      <c r="H1005" s="242">
        <v>20329</v>
      </c>
      <c r="I1005" s="251">
        <f>H1005/H1010</f>
        <v>0.31092655470924718</v>
      </c>
      <c r="J1005" s="253" t="s">
        <v>241</v>
      </c>
      <c r="K1005" s="226"/>
    </row>
    <row r="1006" spans="1:11" ht="10.15" customHeight="1" x14ac:dyDescent="0.2">
      <c r="A1006" s="249"/>
      <c r="B1006" s="249"/>
      <c r="C1006" s="284"/>
      <c r="D1006" s="244" t="s">
        <v>286</v>
      </c>
      <c r="E1006" s="281"/>
      <c r="F1006" s="257"/>
      <c r="G1006" s="249"/>
      <c r="H1006" s="242">
        <v>6200</v>
      </c>
      <c r="I1006" s="251">
        <f>H1006/H1010</f>
        <v>9.4827322504664899E-2</v>
      </c>
      <c r="J1006" s="253"/>
      <c r="K1006" s="226"/>
    </row>
    <row r="1007" spans="1:11" ht="10.15" customHeight="1" x14ac:dyDescent="0.2">
      <c r="A1007" s="249"/>
      <c r="B1007" s="249"/>
      <c r="C1007" s="284"/>
      <c r="D1007" s="244" t="s">
        <v>244</v>
      </c>
      <c r="E1007" s="281"/>
      <c r="F1007" s="257"/>
      <c r="G1007" s="249"/>
      <c r="H1007" s="242">
        <v>100</v>
      </c>
      <c r="I1007" s="251">
        <f>H1007/H1010</f>
        <v>1.5294729436236274E-3</v>
      </c>
      <c r="J1007" s="253"/>
      <c r="K1007" s="226"/>
    </row>
    <row r="1008" spans="1:11" ht="10.15" customHeight="1" x14ac:dyDescent="0.2">
      <c r="A1008" s="249"/>
      <c r="B1008" s="249"/>
      <c r="C1008" s="284"/>
      <c r="D1008" s="244" t="s">
        <v>295</v>
      </c>
      <c r="E1008" s="281"/>
      <c r="F1008" s="257"/>
      <c r="G1008" s="249"/>
      <c r="H1008" s="242">
        <v>665</v>
      </c>
      <c r="I1008" s="251">
        <f>H1008/H1010</f>
        <v>1.0170995075097122E-2</v>
      </c>
      <c r="J1008" s="242"/>
      <c r="K1008" s="226"/>
    </row>
    <row r="1009" spans="1:11" ht="10.15" customHeight="1" x14ac:dyDescent="0.2">
      <c r="A1009" s="249"/>
      <c r="B1009" s="249"/>
      <c r="C1009" s="284"/>
      <c r="D1009" s="244" t="s">
        <v>290</v>
      </c>
      <c r="E1009" s="281"/>
      <c r="F1009" s="257"/>
      <c r="G1009" s="249"/>
      <c r="H1009" s="242">
        <v>18383</v>
      </c>
      <c r="I1009" s="251">
        <f>H1009/H1010</f>
        <v>0.28116301122633142</v>
      </c>
      <c r="J1009" s="252" t="s">
        <v>290</v>
      </c>
      <c r="K1009" s="226"/>
    </row>
    <row r="1010" spans="1:11" ht="10.15" customHeight="1" x14ac:dyDescent="0.2">
      <c r="A1010" s="249"/>
      <c r="B1010" s="249"/>
      <c r="C1010" s="284"/>
      <c r="D1010" s="243" t="s">
        <v>33</v>
      </c>
      <c r="E1010" s="281"/>
      <c r="F1010" s="257"/>
      <c r="G1010" s="249"/>
      <c r="H1010" s="265">
        <f>SUM(H1003:H1009)</f>
        <v>65382</v>
      </c>
      <c r="I1010" s="256">
        <f>SUM(I1003:I1009)</f>
        <v>0.99999999999999978</v>
      </c>
      <c r="J1010" s="242"/>
      <c r="K1010" s="226"/>
    </row>
    <row r="1011" spans="1:11" ht="10.15" customHeight="1" x14ac:dyDescent="0.2">
      <c r="A1011" s="249"/>
      <c r="B1011" s="249"/>
      <c r="C1011" s="284"/>
      <c r="D1011" s="243"/>
      <c r="E1011" s="281"/>
      <c r="F1011" s="257"/>
      <c r="G1011" s="249"/>
      <c r="H1011" s="249"/>
      <c r="I1011" s="262"/>
      <c r="J1011" s="242"/>
      <c r="K1011" s="226"/>
    </row>
    <row r="1012" spans="1:11" ht="10.15" customHeight="1" x14ac:dyDescent="0.2">
      <c r="A1012" s="261" t="s">
        <v>20</v>
      </c>
      <c r="B1012" s="264">
        <v>430</v>
      </c>
      <c r="C1012" s="243" t="s">
        <v>291</v>
      </c>
      <c r="D1012" s="249" t="s">
        <v>155</v>
      </c>
      <c r="E1012" s="336">
        <v>36161</v>
      </c>
      <c r="F1012" s="257">
        <v>5500000</v>
      </c>
      <c r="G1012" s="249">
        <v>50999</v>
      </c>
      <c r="H1012" s="242"/>
      <c r="I1012" s="251"/>
      <c r="J1012" s="242"/>
      <c r="K1012" s="226"/>
    </row>
    <row r="1013" spans="1:11" ht="10.15" customHeight="1" x14ac:dyDescent="0.2">
      <c r="A1013" s="249"/>
      <c r="B1013" s="249"/>
      <c r="C1013" s="284"/>
      <c r="D1013" s="244" t="s">
        <v>264</v>
      </c>
      <c r="E1013" s="281"/>
      <c r="F1013" s="257"/>
      <c r="G1013" s="249"/>
      <c r="H1013" s="242">
        <v>11437</v>
      </c>
      <c r="I1013" s="251">
        <f>H1013/H1016</f>
        <v>0.36930478865962735</v>
      </c>
      <c r="J1013" s="252" t="s">
        <v>264</v>
      </c>
      <c r="K1013" s="226"/>
    </row>
    <row r="1014" spans="1:11" ht="10.15" customHeight="1" x14ac:dyDescent="0.2">
      <c r="A1014" s="249"/>
      <c r="B1014" s="249"/>
      <c r="C1014" s="284"/>
      <c r="D1014" s="244" t="s">
        <v>287</v>
      </c>
      <c r="E1014" s="281"/>
      <c r="F1014" s="257"/>
      <c r="G1014" s="249"/>
      <c r="H1014" s="242">
        <v>16568</v>
      </c>
      <c r="I1014" s="251">
        <f>H1014/H1016</f>
        <v>0.53498659950272853</v>
      </c>
      <c r="J1014" s="242"/>
      <c r="K1014" s="226"/>
    </row>
    <row r="1015" spans="1:11" ht="10.15" customHeight="1" x14ac:dyDescent="0.2">
      <c r="A1015" s="249"/>
      <c r="B1015" s="249"/>
      <c r="C1015" s="284"/>
      <c r="D1015" s="244" t="s">
        <v>290</v>
      </c>
      <c r="E1015" s="281"/>
      <c r="F1015" s="257"/>
      <c r="G1015" s="249"/>
      <c r="H1015" s="242">
        <v>2964</v>
      </c>
      <c r="I1015" s="251">
        <f>H1015/H1016</f>
        <v>9.5708611837644092E-2</v>
      </c>
      <c r="J1015" s="252"/>
      <c r="K1015" s="226"/>
    </row>
    <row r="1016" spans="1:11" ht="10.15" customHeight="1" x14ac:dyDescent="0.2">
      <c r="A1016" s="249"/>
      <c r="B1016" s="249"/>
      <c r="C1016" s="284"/>
      <c r="D1016" s="243" t="s">
        <v>33</v>
      </c>
      <c r="E1016" s="281"/>
      <c r="F1016" s="257"/>
      <c r="G1016" s="249"/>
      <c r="H1016" s="265">
        <f>SUM(H1013:H1015)</f>
        <v>30969</v>
      </c>
      <c r="I1016" s="256">
        <f>SUM(I1013:I1015)</f>
        <v>1</v>
      </c>
      <c r="J1016" s="242"/>
      <c r="K1016" s="226"/>
    </row>
    <row r="1017" spans="1:11" ht="10.15" customHeight="1" x14ac:dyDescent="0.2">
      <c r="A1017" s="249"/>
      <c r="B1017" s="249"/>
      <c r="C1017" s="284"/>
      <c r="D1017" s="243"/>
      <c r="E1017" s="281"/>
      <c r="F1017" s="257"/>
      <c r="G1017" s="249"/>
      <c r="H1017" s="249"/>
      <c r="I1017" s="262"/>
      <c r="J1017" s="242"/>
      <c r="K1017" s="226"/>
    </row>
    <row r="1018" spans="1:11" ht="10.15" customHeight="1" x14ac:dyDescent="0.2">
      <c r="A1018" s="261" t="s">
        <v>20</v>
      </c>
      <c r="B1018" s="264">
        <v>445</v>
      </c>
      <c r="C1018" s="243" t="s">
        <v>291</v>
      </c>
      <c r="D1018" s="249" t="s">
        <v>433</v>
      </c>
      <c r="E1018" s="336">
        <v>36678</v>
      </c>
      <c r="F1018" s="257">
        <v>7909028</v>
      </c>
      <c r="G1018" s="249">
        <v>67688</v>
      </c>
      <c r="H1018" s="242"/>
      <c r="I1018" s="251"/>
      <c r="J1018" s="242"/>
      <c r="K1018" s="226"/>
    </row>
    <row r="1019" spans="1:11" ht="10.15" customHeight="1" x14ac:dyDescent="0.2">
      <c r="A1019" s="249"/>
      <c r="B1019" s="249"/>
      <c r="C1019" s="284"/>
      <c r="D1019" s="244" t="s">
        <v>263</v>
      </c>
      <c r="E1019" s="281"/>
      <c r="F1019" s="257"/>
      <c r="G1019" s="249"/>
      <c r="H1019" s="242">
        <v>2300</v>
      </c>
      <c r="I1019" s="251">
        <f>H1019/H1025</f>
        <v>5.0879327508019025E-2</v>
      </c>
      <c r="J1019" s="253"/>
      <c r="K1019" s="226"/>
    </row>
    <row r="1020" spans="1:11" ht="10.15" customHeight="1" x14ac:dyDescent="0.2">
      <c r="A1020" s="249"/>
      <c r="B1020" s="249"/>
      <c r="C1020" s="284"/>
      <c r="D1020" s="244" t="s">
        <v>240</v>
      </c>
      <c r="E1020" s="281"/>
      <c r="F1020" s="257"/>
      <c r="G1020" s="249"/>
      <c r="H1020" s="242">
        <v>4780</v>
      </c>
      <c r="I1020" s="251">
        <f>H1020/H1025</f>
        <v>0.10574051542970911</v>
      </c>
      <c r="J1020" s="242"/>
      <c r="K1020" s="226"/>
    </row>
    <row r="1021" spans="1:11" ht="10.15" customHeight="1" x14ac:dyDescent="0.2">
      <c r="A1021" s="249"/>
      <c r="B1021" s="249"/>
      <c r="C1021" s="284"/>
      <c r="D1021" s="244" t="s">
        <v>241</v>
      </c>
      <c r="E1021" s="281"/>
      <c r="F1021" s="257"/>
      <c r="G1021" s="249"/>
      <c r="H1021" s="242">
        <v>24965</v>
      </c>
      <c r="I1021" s="251">
        <f>H1021/H1025</f>
        <v>0.55226191792943258</v>
      </c>
      <c r="J1021" s="253" t="s">
        <v>241</v>
      </c>
      <c r="K1021" s="226"/>
    </row>
    <row r="1022" spans="1:11" ht="10.15" customHeight="1" x14ac:dyDescent="0.2">
      <c r="A1022" s="249"/>
      <c r="B1022" s="249"/>
      <c r="C1022" s="284"/>
      <c r="D1022" s="244" t="s">
        <v>286</v>
      </c>
      <c r="E1022" s="281"/>
      <c r="F1022" s="257"/>
      <c r="G1022" s="249"/>
      <c r="H1022" s="242">
        <v>1200</v>
      </c>
      <c r="I1022" s="251">
        <f>H1022/H1025</f>
        <v>2.6545736091140359E-2</v>
      </c>
      <c r="J1022" s="253"/>
      <c r="K1022" s="226"/>
    </row>
    <row r="1023" spans="1:11" ht="10.15" customHeight="1" x14ac:dyDescent="0.2">
      <c r="A1023" s="249"/>
      <c r="B1023" s="249"/>
      <c r="C1023" s="284"/>
      <c r="D1023" s="244" t="s">
        <v>290</v>
      </c>
      <c r="E1023" s="281"/>
      <c r="F1023" s="257"/>
      <c r="G1023" s="249"/>
      <c r="H1023" s="242">
        <v>11060</v>
      </c>
      <c r="I1023" s="251">
        <f>H1023/H1025</f>
        <v>0.24466320097334365</v>
      </c>
      <c r="J1023" s="253"/>
      <c r="K1023" s="226"/>
    </row>
    <row r="1024" spans="1:11" ht="10.15" customHeight="1" x14ac:dyDescent="0.2">
      <c r="A1024" s="249"/>
      <c r="B1024" s="249"/>
      <c r="C1024" s="284"/>
      <c r="D1024" s="244" t="s">
        <v>287</v>
      </c>
      <c r="E1024" s="281"/>
      <c r="F1024" s="257"/>
      <c r="G1024" s="249"/>
      <c r="H1024" s="242">
        <v>900</v>
      </c>
      <c r="I1024" s="251">
        <f>H1024/H1025</f>
        <v>1.990930206835527E-2</v>
      </c>
      <c r="J1024" s="242"/>
      <c r="K1024" s="226"/>
    </row>
    <row r="1025" spans="1:11" ht="10.15" customHeight="1" x14ac:dyDescent="0.2">
      <c r="A1025" s="249"/>
      <c r="B1025" s="249"/>
      <c r="C1025" s="284"/>
      <c r="D1025" s="243" t="s">
        <v>33</v>
      </c>
      <c r="E1025" s="281"/>
      <c r="F1025" s="257"/>
      <c r="G1025" s="249"/>
      <c r="H1025" s="265">
        <f>SUM(H1019:H1024)</f>
        <v>45205</v>
      </c>
      <c r="I1025" s="256">
        <f>SUM(I1019:I1024)</f>
        <v>0.99999999999999989</v>
      </c>
      <c r="J1025" s="242"/>
      <c r="K1025" s="226"/>
    </row>
    <row r="1026" spans="1:11" ht="10.15" customHeight="1" x14ac:dyDescent="0.2">
      <c r="A1026" s="249"/>
      <c r="B1026" s="249"/>
      <c r="C1026" s="284"/>
      <c r="D1026" s="243"/>
      <c r="E1026" s="281"/>
      <c r="F1026" s="257"/>
      <c r="G1026" s="249"/>
      <c r="H1026" s="249"/>
      <c r="I1026" s="262"/>
      <c r="J1026" s="242"/>
      <c r="K1026" s="226"/>
    </row>
    <row r="1027" spans="1:11" ht="10.15" customHeight="1" x14ac:dyDescent="0.2">
      <c r="A1027" s="261" t="s">
        <v>20</v>
      </c>
      <c r="B1027" s="264">
        <v>438</v>
      </c>
      <c r="C1027" s="243" t="s">
        <v>291</v>
      </c>
      <c r="D1027" s="249" t="s">
        <v>434</v>
      </c>
      <c r="E1027" s="336">
        <v>36526</v>
      </c>
      <c r="F1027" s="257">
        <v>8095387</v>
      </c>
      <c r="G1027" s="249">
        <v>61904</v>
      </c>
      <c r="H1027" s="242"/>
      <c r="I1027" s="251"/>
      <c r="J1027" s="242"/>
      <c r="K1027" s="226"/>
    </row>
    <row r="1028" spans="1:11" ht="10.15" customHeight="1" x14ac:dyDescent="0.2">
      <c r="A1028" s="249"/>
      <c r="B1028" s="249"/>
      <c r="C1028" s="284"/>
      <c r="D1028" s="244" t="s">
        <v>240</v>
      </c>
      <c r="E1028" s="281"/>
      <c r="F1028" s="257"/>
      <c r="G1028" s="249"/>
      <c r="H1028" s="242">
        <v>9900</v>
      </c>
      <c r="I1028" s="251">
        <f>H1028/H1031</f>
        <v>0.23988950543991858</v>
      </c>
      <c r="J1028" s="242"/>
      <c r="K1028" s="226"/>
    </row>
    <row r="1029" spans="1:11" ht="10.15" customHeight="1" x14ac:dyDescent="0.2">
      <c r="A1029" s="249"/>
      <c r="B1029" s="249"/>
      <c r="C1029" s="284"/>
      <c r="D1029" s="244" t="s">
        <v>241</v>
      </c>
      <c r="E1029" s="281"/>
      <c r="F1029" s="257"/>
      <c r="G1029" s="249"/>
      <c r="H1029" s="242">
        <v>7139</v>
      </c>
      <c r="I1029" s="251">
        <f>H1029/H1031</f>
        <v>0.17298698781167463</v>
      </c>
      <c r="J1029" s="253"/>
      <c r="K1029" s="226"/>
    </row>
    <row r="1030" spans="1:11" ht="10.15" customHeight="1" x14ac:dyDescent="0.2">
      <c r="A1030" s="249"/>
      <c r="B1030" s="249"/>
      <c r="C1030" s="284"/>
      <c r="D1030" s="244" t="s">
        <v>290</v>
      </c>
      <c r="E1030" s="281"/>
      <c r="F1030" s="257"/>
      <c r="G1030" s="249"/>
      <c r="H1030" s="242">
        <v>24230</v>
      </c>
      <c r="I1030" s="251">
        <f>H1030/H1031</f>
        <v>0.58712350674840674</v>
      </c>
      <c r="J1030" s="253" t="s">
        <v>290</v>
      </c>
      <c r="K1030" s="226"/>
    </row>
    <row r="1031" spans="1:11" ht="10.15" customHeight="1" x14ac:dyDescent="0.2">
      <c r="A1031" s="249"/>
      <c r="B1031" s="249"/>
      <c r="C1031" s="284"/>
      <c r="D1031" s="243" t="s">
        <v>33</v>
      </c>
      <c r="E1031" s="281"/>
      <c r="F1031" s="257"/>
      <c r="G1031" s="249"/>
      <c r="H1031" s="265">
        <f>SUM(H1028:H1030)</f>
        <v>41269</v>
      </c>
      <c r="I1031" s="256">
        <f>SUM(I1028:I1030)</f>
        <v>1</v>
      </c>
      <c r="J1031" s="242"/>
      <c r="K1031" s="226"/>
    </row>
    <row r="1032" spans="1:11" ht="10.15" customHeight="1" x14ac:dyDescent="0.2">
      <c r="A1032" s="249"/>
      <c r="B1032" s="249"/>
      <c r="C1032" s="284"/>
      <c r="D1032" s="243"/>
      <c r="E1032" s="281"/>
      <c r="F1032" s="257"/>
      <c r="G1032" s="249"/>
      <c r="H1032" s="249"/>
      <c r="I1032" s="262"/>
      <c r="J1032" s="242"/>
      <c r="K1032" s="226"/>
    </row>
    <row r="1033" spans="1:11" ht="10.15" customHeight="1" x14ac:dyDescent="0.2">
      <c r="A1033" s="261" t="s">
        <v>20</v>
      </c>
      <c r="B1033" s="264">
        <v>440</v>
      </c>
      <c r="C1033" s="243" t="s">
        <v>291</v>
      </c>
      <c r="D1033" s="249" t="s">
        <v>435</v>
      </c>
      <c r="E1033" s="336">
        <v>36770</v>
      </c>
      <c r="F1033" s="257">
        <v>10771389</v>
      </c>
      <c r="G1033" s="249">
        <v>80794</v>
      </c>
      <c r="H1033" s="242"/>
      <c r="I1033" s="251"/>
      <c r="J1033" s="242"/>
      <c r="K1033" s="226"/>
    </row>
    <row r="1034" spans="1:11" ht="10.15" customHeight="1" x14ac:dyDescent="0.2">
      <c r="A1034" s="249"/>
      <c r="B1034" s="249"/>
      <c r="C1034" s="284"/>
      <c r="D1034" s="244" t="s">
        <v>263</v>
      </c>
      <c r="E1034" s="281"/>
      <c r="F1034" s="257"/>
      <c r="G1034" s="249"/>
      <c r="H1034" s="242">
        <v>900</v>
      </c>
      <c r="I1034" s="251">
        <f>H1034/H1039</f>
        <v>1.4798493842182285E-2</v>
      </c>
      <c r="J1034" s="253"/>
      <c r="K1034" s="226"/>
    </row>
    <row r="1035" spans="1:11" ht="10.15" customHeight="1" x14ac:dyDescent="0.2">
      <c r="A1035" s="249"/>
      <c r="B1035" s="249"/>
      <c r="C1035" s="284"/>
      <c r="D1035" s="244" t="s">
        <v>316</v>
      </c>
      <c r="E1035" s="281"/>
      <c r="F1035" s="257"/>
      <c r="G1035" s="249"/>
      <c r="H1035" s="242">
        <v>52780</v>
      </c>
      <c r="I1035" s="251">
        <f>H1035/H1039</f>
        <v>0.86784944998931224</v>
      </c>
      <c r="J1035" s="252" t="s">
        <v>316</v>
      </c>
      <c r="K1035" s="226"/>
    </row>
    <row r="1036" spans="1:11" ht="10.15" customHeight="1" x14ac:dyDescent="0.2">
      <c r="A1036" s="249"/>
      <c r="B1036" s="249"/>
      <c r="C1036" s="284"/>
      <c r="D1036" s="244" t="s">
        <v>290</v>
      </c>
      <c r="E1036" s="281"/>
      <c r="F1036" s="257"/>
      <c r="G1036" s="249"/>
      <c r="H1036" s="242">
        <v>5405</v>
      </c>
      <c r="I1036" s="251">
        <f>H1036/H1039</f>
        <v>8.8873176907772494E-2</v>
      </c>
      <c r="J1036" s="253"/>
      <c r="K1036" s="226"/>
    </row>
    <row r="1037" spans="1:11" ht="10.15" customHeight="1" x14ac:dyDescent="0.2">
      <c r="A1037" s="249"/>
      <c r="B1037" s="249"/>
      <c r="C1037" s="284"/>
      <c r="D1037" s="244" t="s">
        <v>294</v>
      </c>
      <c r="E1037" s="281"/>
      <c r="F1037" s="257"/>
      <c r="G1037" s="249"/>
      <c r="H1037" s="242">
        <v>1332</v>
      </c>
      <c r="I1037" s="251">
        <f>H1037/H1039</f>
        <v>2.1901770886429781E-2</v>
      </c>
      <c r="J1037" s="242"/>
      <c r="K1037" s="226"/>
    </row>
    <row r="1038" spans="1:11" ht="10.15" customHeight="1" x14ac:dyDescent="0.2">
      <c r="A1038" s="249"/>
      <c r="B1038" s="249"/>
      <c r="C1038" s="284"/>
      <c r="D1038" s="244" t="s">
        <v>287</v>
      </c>
      <c r="E1038" s="281"/>
      <c r="F1038" s="257"/>
      <c r="G1038" s="249"/>
      <c r="H1038" s="242">
        <v>400</v>
      </c>
      <c r="I1038" s="251">
        <f>H1038/H1039</f>
        <v>6.5771083743032376E-3</v>
      </c>
      <c r="J1038" s="242"/>
      <c r="K1038" s="226"/>
    </row>
    <row r="1039" spans="1:11" ht="10.15" customHeight="1" x14ac:dyDescent="0.2">
      <c r="A1039" s="249"/>
      <c r="B1039" s="249"/>
      <c r="C1039" s="284"/>
      <c r="D1039" s="243" t="s">
        <v>33</v>
      </c>
      <c r="E1039" s="281"/>
      <c r="F1039" s="257"/>
      <c r="G1039" s="249"/>
      <c r="H1039" s="265">
        <f>SUM(H1034:H1038)</f>
        <v>60817</v>
      </c>
      <c r="I1039" s="256">
        <f>SUM(I1034:I1038)</f>
        <v>1</v>
      </c>
      <c r="J1039" s="242"/>
      <c r="K1039" s="226"/>
    </row>
    <row r="1040" spans="1:11" ht="10.15" customHeight="1" x14ac:dyDescent="0.2">
      <c r="A1040" s="249"/>
      <c r="B1040" s="249"/>
      <c r="C1040" s="284"/>
      <c r="D1040" s="243"/>
      <c r="E1040" s="281"/>
      <c r="F1040" s="257"/>
      <c r="G1040" s="249"/>
      <c r="H1040" s="249"/>
      <c r="I1040" s="262"/>
      <c r="J1040" s="242"/>
      <c r="K1040" s="226"/>
    </row>
    <row r="1041" spans="1:11" ht="10.15" customHeight="1" x14ac:dyDescent="0.2">
      <c r="A1041" s="261" t="s">
        <v>20</v>
      </c>
      <c r="B1041" s="264">
        <v>403</v>
      </c>
      <c r="C1041" s="243" t="s">
        <v>291</v>
      </c>
      <c r="D1041" s="249" t="s">
        <v>437</v>
      </c>
      <c r="E1041" s="336">
        <v>37127</v>
      </c>
      <c r="F1041" s="257">
        <v>8171727</v>
      </c>
      <c r="G1041" s="249">
        <v>60809</v>
      </c>
      <c r="H1041" s="242"/>
      <c r="I1041" s="251"/>
      <c r="J1041" s="242"/>
      <c r="K1041" s="226"/>
    </row>
    <row r="1042" spans="1:11" ht="10.15" customHeight="1" x14ac:dyDescent="0.2">
      <c r="A1042" s="249"/>
      <c r="B1042" s="249"/>
      <c r="C1042" s="284"/>
      <c r="D1042" s="244" t="s">
        <v>263</v>
      </c>
      <c r="E1042" s="281"/>
      <c r="F1042" s="257"/>
      <c r="G1042" s="249"/>
      <c r="H1042" s="242">
        <v>13460</v>
      </c>
      <c r="I1042" s="251">
        <f>H1042/H1045</f>
        <v>0.33202595031944548</v>
      </c>
      <c r="J1042" s="253"/>
      <c r="K1042" s="226"/>
    </row>
    <row r="1043" spans="1:11" ht="10.15" customHeight="1" x14ac:dyDescent="0.2">
      <c r="A1043" s="249"/>
      <c r="B1043" s="249"/>
      <c r="C1043" s="284"/>
      <c r="D1043" s="244" t="s">
        <v>292</v>
      </c>
      <c r="E1043" s="281"/>
      <c r="F1043" s="257"/>
      <c r="G1043" s="249"/>
      <c r="H1043" s="242">
        <v>4200</v>
      </c>
      <c r="I1043" s="251">
        <f>H1043/H1045</f>
        <v>0.10360393694960408</v>
      </c>
      <c r="J1043" s="253"/>
      <c r="K1043" s="226"/>
    </row>
    <row r="1044" spans="1:11" ht="10.15" customHeight="1" x14ac:dyDescent="0.2">
      <c r="A1044" s="249"/>
      <c r="B1044" s="249"/>
      <c r="C1044" s="284"/>
      <c r="D1044" s="244" t="s">
        <v>290</v>
      </c>
      <c r="E1044" s="281"/>
      <c r="F1044" s="257"/>
      <c r="G1044" s="249"/>
      <c r="H1044" s="242">
        <v>22879</v>
      </c>
      <c r="I1044" s="251">
        <f>H1044/H1045</f>
        <v>0.56437011273095039</v>
      </c>
      <c r="J1044" s="252" t="s">
        <v>290</v>
      </c>
      <c r="K1044" s="226"/>
    </row>
    <row r="1045" spans="1:11" ht="10.15" customHeight="1" x14ac:dyDescent="0.2">
      <c r="A1045" s="249"/>
      <c r="B1045" s="249"/>
      <c r="C1045" s="284"/>
      <c r="D1045" s="243" t="s">
        <v>33</v>
      </c>
      <c r="E1045" s="281"/>
      <c r="F1045" s="257"/>
      <c r="G1045" s="249"/>
      <c r="H1045" s="265">
        <f>SUM(H1042:H1044)</f>
        <v>40539</v>
      </c>
      <c r="I1045" s="256">
        <f>SUM(I1042:I1044)</f>
        <v>1</v>
      </c>
      <c r="J1045" s="242"/>
      <c r="K1045" s="226"/>
    </row>
    <row r="1046" spans="1:11" ht="10.15" customHeight="1" x14ac:dyDescent="0.2">
      <c r="A1046" s="249"/>
      <c r="B1046" s="249"/>
      <c r="C1046" s="284"/>
      <c r="D1046" s="243"/>
      <c r="E1046" s="281"/>
      <c r="F1046" s="257"/>
      <c r="G1046" s="249"/>
      <c r="H1046" s="249"/>
      <c r="I1046" s="262"/>
      <c r="J1046" s="242"/>
      <c r="K1046" s="226"/>
    </row>
    <row r="1047" spans="1:11" ht="10.15" customHeight="1" x14ac:dyDescent="0.2">
      <c r="A1047" s="243" t="s">
        <v>20</v>
      </c>
      <c r="B1047" s="243">
        <v>448</v>
      </c>
      <c r="C1047" s="243" t="s">
        <v>291</v>
      </c>
      <c r="D1047" s="244" t="s">
        <v>438</v>
      </c>
      <c r="E1047" s="277">
        <v>36935</v>
      </c>
      <c r="F1047" s="245">
        <v>7470589</v>
      </c>
      <c r="G1047" s="246">
        <v>53798</v>
      </c>
      <c r="H1047" s="242"/>
      <c r="I1047" s="251"/>
      <c r="J1047" s="253"/>
      <c r="K1047" s="226"/>
    </row>
    <row r="1048" spans="1:11" ht="10.15" customHeight="1" x14ac:dyDescent="0.2">
      <c r="A1048" s="248"/>
      <c r="B1048" s="248"/>
      <c r="C1048" s="261"/>
      <c r="D1048" s="244" t="s">
        <v>241</v>
      </c>
      <c r="E1048" s="281"/>
      <c r="F1048" s="257"/>
      <c r="G1048" s="249"/>
      <c r="H1048" s="250">
        <v>30100</v>
      </c>
      <c r="I1048" s="251">
        <f>H1048/H1050</f>
        <v>0.83925832984804127</v>
      </c>
      <c r="J1048" s="252" t="s">
        <v>241</v>
      </c>
      <c r="K1048" s="226"/>
    </row>
    <row r="1049" spans="1:11" ht="10.15" customHeight="1" x14ac:dyDescent="0.2">
      <c r="A1049" s="248"/>
      <c r="B1049" s="248"/>
      <c r="C1049" s="261"/>
      <c r="D1049" s="244" t="s">
        <v>242</v>
      </c>
      <c r="E1049" s="281"/>
      <c r="F1049" s="257"/>
      <c r="G1049" s="249"/>
      <c r="H1049" s="250">
        <v>5765</v>
      </c>
      <c r="I1049" s="251">
        <f>H1049/H1050</f>
        <v>0.16074167015195873</v>
      </c>
      <c r="J1049" s="252"/>
      <c r="K1049" s="226"/>
    </row>
    <row r="1050" spans="1:11" ht="10.15" customHeight="1" x14ac:dyDescent="0.2">
      <c r="A1050" s="248"/>
      <c r="B1050" s="248"/>
      <c r="C1050" s="261"/>
      <c r="D1050" s="243" t="s">
        <v>33</v>
      </c>
      <c r="E1050" s="281"/>
      <c r="F1050" s="257"/>
      <c r="G1050" s="249"/>
      <c r="H1050" s="255">
        <f>SUM(H1048:H1049)</f>
        <v>35865</v>
      </c>
      <c r="I1050" s="256">
        <f>SUM(I1047:I1049)</f>
        <v>1</v>
      </c>
      <c r="J1050" s="253"/>
      <c r="K1050" s="226"/>
    </row>
    <row r="1051" spans="1:11" ht="10.15" customHeight="1" x14ac:dyDescent="0.2">
      <c r="A1051" s="249"/>
      <c r="B1051" s="249"/>
      <c r="C1051" s="284"/>
      <c r="D1051" s="243"/>
      <c r="E1051" s="281"/>
      <c r="F1051" s="257"/>
      <c r="G1051" s="249"/>
      <c r="H1051" s="249"/>
      <c r="I1051" s="262"/>
      <c r="J1051" s="242"/>
      <c r="K1051" s="226"/>
    </row>
    <row r="1052" spans="1:11" ht="10.15" customHeight="1" x14ac:dyDescent="0.2">
      <c r="A1052" s="261" t="s">
        <v>20</v>
      </c>
      <c r="B1052" s="264">
        <v>455</v>
      </c>
      <c r="C1052" s="243" t="s">
        <v>236</v>
      </c>
      <c r="D1052" s="249" t="s">
        <v>439</v>
      </c>
      <c r="E1052" s="336">
        <v>36992</v>
      </c>
      <c r="F1052" s="257">
        <v>2434250</v>
      </c>
      <c r="G1052" s="249">
        <v>15375</v>
      </c>
      <c r="H1052" s="242"/>
      <c r="I1052" s="251"/>
      <c r="J1052" s="242"/>
      <c r="K1052" s="226"/>
    </row>
    <row r="1053" spans="1:11" ht="10.15" customHeight="1" x14ac:dyDescent="0.2">
      <c r="A1053" s="249"/>
      <c r="B1053" s="249"/>
      <c r="C1053" s="284"/>
      <c r="D1053" s="244" t="s">
        <v>263</v>
      </c>
      <c r="E1053" s="281"/>
      <c r="F1053" s="257"/>
      <c r="G1053" s="249"/>
      <c r="H1053" s="242">
        <v>7087</v>
      </c>
      <c r="I1053" s="251">
        <f>H1053/H1056</f>
        <v>0.69080807096208208</v>
      </c>
      <c r="J1053" s="253" t="s">
        <v>263</v>
      </c>
      <c r="K1053" s="226"/>
    </row>
    <row r="1054" spans="1:11" ht="10.15" customHeight="1" x14ac:dyDescent="0.2">
      <c r="A1054" s="249"/>
      <c r="B1054" s="249"/>
      <c r="C1054" s="284"/>
      <c r="D1054" s="244" t="s">
        <v>295</v>
      </c>
      <c r="E1054" s="281"/>
      <c r="F1054" s="257"/>
      <c r="G1054" s="249"/>
      <c r="H1054" s="242">
        <v>810</v>
      </c>
      <c r="I1054" s="251">
        <f>H1054/H1056</f>
        <v>7.8955063846378792E-2</v>
      </c>
      <c r="J1054" s="253"/>
      <c r="K1054" s="226"/>
    </row>
    <row r="1055" spans="1:11" ht="10.15" customHeight="1" x14ac:dyDescent="0.2">
      <c r="A1055" s="249"/>
      <c r="B1055" s="249"/>
      <c r="C1055" s="284"/>
      <c r="D1055" s="244" t="s">
        <v>290</v>
      </c>
      <c r="E1055" s="281"/>
      <c r="F1055" s="257"/>
      <c r="G1055" s="249"/>
      <c r="H1055" s="242">
        <v>2362</v>
      </c>
      <c r="I1055" s="251">
        <f>H1055/H1056</f>
        <v>0.23023686519153913</v>
      </c>
      <c r="J1055" s="252"/>
      <c r="K1055" s="226"/>
    </row>
    <row r="1056" spans="1:11" ht="10.15" customHeight="1" x14ac:dyDescent="0.2">
      <c r="A1056" s="249"/>
      <c r="B1056" s="249"/>
      <c r="C1056" s="284"/>
      <c r="D1056" s="243" t="s">
        <v>33</v>
      </c>
      <c r="E1056" s="281"/>
      <c r="F1056" s="257"/>
      <c r="G1056" s="249"/>
      <c r="H1056" s="265">
        <f>SUM(H1053:H1055)</f>
        <v>10259</v>
      </c>
      <c r="I1056" s="256">
        <f>SUM(I1053:I1055)</f>
        <v>1</v>
      </c>
      <c r="J1056" s="242"/>
      <c r="K1056" s="226"/>
    </row>
    <row r="1057" spans="1:11" ht="10.15" customHeight="1" x14ac:dyDescent="0.2">
      <c r="A1057" s="249"/>
      <c r="B1057" s="249"/>
      <c r="C1057" s="284"/>
      <c r="D1057" s="243"/>
      <c r="E1057" s="281"/>
      <c r="F1057" s="257"/>
      <c r="G1057" s="249"/>
      <c r="H1057" s="249"/>
      <c r="I1057" s="262"/>
      <c r="J1057" s="242"/>
      <c r="K1057" s="226"/>
    </row>
    <row r="1058" spans="1:11" ht="10.15" customHeight="1" x14ac:dyDescent="0.2">
      <c r="A1058" s="261" t="s">
        <v>20</v>
      </c>
      <c r="B1058" s="264">
        <v>456</v>
      </c>
      <c r="C1058" s="243" t="s">
        <v>236</v>
      </c>
      <c r="D1058" s="249" t="s">
        <v>440</v>
      </c>
      <c r="E1058" s="336">
        <v>36984</v>
      </c>
      <c r="F1058" s="257">
        <v>2247520</v>
      </c>
      <c r="G1058" s="249">
        <v>16285</v>
      </c>
      <c r="H1058" s="242"/>
      <c r="I1058" s="251"/>
      <c r="J1058" s="242"/>
      <c r="K1058" s="226"/>
    </row>
    <row r="1059" spans="1:11" ht="10.15" customHeight="1" x14ac:dyDescent="0.2">
      <c r="A1059" s="249"/>
      <c r="B1059" s="249"/>
      <c r="C1059" s="284"/>
      <c r="D1059" s="244" t="s">
        <v>263</v>
      </c>
      <c r="E1059" s="281"/>
      <c r="F1059" s="257"/>
      <c r="G1059" s="249"/>
      <c r="H1059" s="242">
        <v>5610</v>
      </c>
      <c r="I1059" s="251">
        <f>H1059/H1063</f>
        <v>0.51609935602575896</v>
      </c>
      <c r="J1059" s="253" t="s">
        <v>263</v>
      </c>
      <c r="K1059" s="226"/>
    </row>
    <row r="1060" spans="1:11" ht="10.15" customHeight="1" x14ac:dyDescent="0.2">
      <c r="A1060" s="249"/>
      <c r="B1060" s="249"/>
      <c r="C1060" s="284"/>
      <c r="D1060" s="244" t="s">
        <v>292</v>
      </c>
      <c r="E1060" s="281"/>
      <c r="F1060" s="257"/>
      <c r="G1060" s="249"/>
      <c r="H1060" s="242">
        <v>1184</v>
      </c>
      <c r="I1060" s="251">
        <f>H1060/H1063</f>
        <v>0.10892364305427783</v>
      </c>
      <c r="J1060" s="253"/>
      <c r="K1060" s="226"/>
    </row>
    <row r="1061" spans="1:11" ht="10.15" customHeight="1" x14ac:dyDescent="0.2">
      <c r="A1061" s="249"/>
      <c r="B1061" s="249"/>
      <c r="C1061" s="284"/>
      <c r="D1061" s="244" t="s">
        <v>286</v>
      </c>
      <c r="E1061" s="281"/>
      <c r="F1061" s="257"/>
      <c r="G1061" s="249"/>
      <c r="H1061" s="242">
        <v>200</v>
      </c>
      <c r="I1061" s="251">
        <f>H1061/H1063</f>
        <v>1.8399264029438821E-2</v>
      </c>
      <c r="J1061" s="253"/>
      <c r="K1061" s="226"/>
    </row>
    <row r="1062" spans="1:11" ht="10.15" customHeight="1" x14ac:dyDescent="0.2">
      <c r="A1062" s="249"/>
      <c r="B1062" s="249"/>
      <c r="C1062" s="284"/>
      <c r="D1062" s="244" t="s">
        <v>290</v>
      </c>
      <c r="E1062" s="281"/>
      <c r="F1062" s="257"/>
      <c r="G1062" s="249"/>
      <c r="H1062" s="242">
        <v>3876</v>
      </c>
      <c r="I1062" s="251">
        <f>H1062/H1063</f>
        <v>0.35657773689052435</v>
      </c>
      <c r="J1062" s="252"/>
      <c r="K1062" s="226"/>
    </row>
    <row r="1063" spans="1:11" ht="10.15" customHeight="1" x14ac:dyDescent="0.2">
      <c r="A1063" s="249"/>
      <c r="B1063" s="249"/>
      <c r="C1063" s="284"/>
      <c r="D1063" s="243" t="s">
        <v>33</v>
      </c>
      <c r="E1063" s="281"/>
      <c r="F1063" s="257"/>
      <c r="G1063" s="249"/>
      <c r="H1063" s="265">
        <f>SUM(H1059:H1062)</f>
        <v>10870</v>
      </c>
      <c r="I1063" s="256">
        <f>SUM(I1059:I1062)</f>
        <v>1</v>
      </c>
      <c r="J1063" s="242"/>
      <c r="K1063" s="226"/>
    </row>
    <row r="1064" spans="1:11" ht="10.15" customHeight="1" x14ac:dyDescent="0.2">
      <c r="A1064" s="249"/>
      <c r="B1064" s="249"/>
      <c r="C1064" s="284"/>
      <c r="D1064" s="243"/>
      <c r="E1064" s="281"/>
      <c r="F1064" s="257"/>
      <c r="G1064" s="249"/>
      <c r="H1064" s="249"/>
      <c r="I1064" s="262"/>
      <c r="J1064" s="242"/>
      <c r="K1064" s="226"/>
    </row>
    <row r="1065" spans="1:11" ht="10.15" customHeight="1" x14ac:dyDescent="0.2">
      <c r="A1065" s="261" t="s">
        <v>20</v>
      </c>
      <c r="B1065" s="264">
        <v>464</v>
      </c>
      <c r="C1065" s="243" t="s">
        <v>291</v>
      </c>
      <c r="D1065" s="249" t="s">
        <v>441</v>
      </c>
      <c r="E1065" s="336">
        <v>37127</v>
      </c>
      <c r="F1065" s="257">
        <v>8837408</v>
      </c>
      <c r="G1065" s="249">
        <v>68094</v>
      </c>
      <c r="H1065" s="242"/>
      <c r="I1065" s="251"/>
      <c r="J1065" s="242"/>
      <c r="K1065" s="226"/>
    </row>
    <row r="1066" spans="1:11" ht="10.15" customHeight="1" x14ac:dyDescent="0.2">
      <c r="A1066" s="249"/>
      <c r="B1066" s="249"/>
      <c r="C1066" s="284"/>
      <c r="D1066" s="244" t="s">
        <v>263</v>
      </c>
      <c r="E1066" s="281"/>
      <c r="F1066" s="257"/>
      <c r="G1066" s="249"/>
      <c r="H1066" s="242">
        <v>15771</v>
      </c>
      <c r="I1066" s="251">
        <f>H1066/H1070</f>
        <v>0.34740946338884482</v>
      </c>
      <c r="J1066" s="253" t="s">
        <v>263</v>
      </c>
      <c r="K1066" s="226"/>
    </row>
    <row r="1067" spans="1:11" ht="10.15" customHeight="1" x14ac:dyDescent="0.2">
      <c r="A1067" s="249"/>
      <c r="B1067" s="249"/>
      <c r="C1067" s="284"/>
      <c r="D1067" s="244" t="s">
        <v>292</v>
      </c>
      <c r="E1067" s="281"/>
      <c r="F1067" s="257"/>
      <c r="G1067" s="249"/>
      <c r="H1067" s="242">
        <v>10245</v>
      </c>
      <c r="I1067" s="251">
        <f>H1067/H1070</f>
        <v>0.22568067671160455</v>
      </c>
      <c r="J1067" s="253"/>
      <c r="K1067" s="226"/>
    </row>
    <row r="1068" spans="1:11" ht="10.15" customHeight="1" x14ac:dyDescent="0.2">
      <c r="A1068" s="249"/>
      <c r="B1068" s="249"/>
      <c r="C1068" s="284"/>
      <c r="D1068" s="244" t="s">
        <v>293</v>
      </c>
      <c r="E1068" s="281"/>
      <c r="F1068" s="257"/>
      <c r="G1068" s="249"/>
      <c r="H1068" s="242">
        <v>5000</v>
      </c>
      <c r="I1068" s="251">
        <f>H1068/H1070</f>
        <v>0.1101418627191823</v>
      </c>
      <c r="J1068" s="253"/>
      <c r="K1068" s="226"/>
    </row>
    <row r="1069" spans="1:11" ht="10.15" customHeight="1" x14ac:dyDescent="0.2">
      <c r="A1069" s="249"/>
      <c r="B1069" s="249"/>
      <c r="C1069" s="284"/>
      <c r="D1069" s="244" t="s">
        <v>290</v>
      </c>
      <c r="E1069" s="281"/>
      <c r="F1069" s="257"/>
      <c r="G1069" s="249"/>
      <c r="H1069" s="242">
        <v>14380</v>
      </c>
      <c r="I1069" s="251">
        <f>H1069/H1070</f>
        <v>0.3167679971803683</v>
      </c>
      <c r="J1069" s="252" t="s">
        <v>290</v>
      </c>
      <c r="K1069" s="226"/>
    </row>
    <row r="1070" spans="1:11" ht="10.15" customHeight="1" x14ac:dyDescent="0.2">
      <c r="A1070" s="249"/>
      <c r="B1070" s="249"/>
      <c r="C1070" s="284"/>
      <c r="D1070" s="243" t="s">
        <v>33</v>
      </c>
      <c r="E1070" s="281"/>
      <c r="F1070" s="257"/>
      <c r="G1070" s="249"/>
      <c r="H1070" s="265">
        <f>SUM(H1066:H1069)</f>
        <v>45396</v>
      </c>
      <c r="I1070" s="256">
        <f>SUM(I1066:I1069)</f>
        <v>1</v>
      </c>
      <c r="J1070" s="242"/>
      <c r="K1070" s="226"/>
    </row>
    <row r="1071" spans="1:11" ht="10.15" customHeight="1" x14ac:dyDescent="0.2">
      <c r="A1071" s="249"/>
      <c r="B1071" s="249"/>
      <c r="C1071" s="284"/>
      <c r="D1071" s="243"/>
      <c r="E1071" s="281"/>
      <c r="F1071" s="257"/>
      <c r="G1071" s="279"/>
      <c r="H1071" s="249"/>
      <c r="I1071" s="262"/>
      <c r="J1071" s="242"/>
      <c r="K1071" s="226"/>
    </row>
    <row r="1072" spans="1:11" ht="10.15" customHeight="1" x14ac:dyDescent="0.2">
      <c r="A1072" s="261" t="s">
        <v>20</v>
      </c>
      <c r="B1072" s="264">
        <v>501</v>
      </c>
      <c r="C1072" s="243" t="s">
        <v>508</v>
      </c>
      <c r="D1072" s="249" t="s">
        <v>427</v>
      </c>
      <c r="E1072" s="336">
        <v>38200</v>
      </c>
      <c r="F1072" s="257">
        <v>18989000</v>
      </c>
      <c r="G1072" s="249">
        <v>114000</v>
      </c>
      <c r="H1072" s="242"/>
      <c r="I1072" s="251"/>
      <c r="J1072" s="242"/>
      <c r="K1072" s="226"/>
    </row>
    <row r="1073" spans="1:11" ht="10.15" customHeight="1" x14ac:dyDescent="0.2">
      <c r="A1073" s="249"/>
      <c r="B1073" s="249"/>
      <c r="C1073" s="284"/>
      <c r="D1073" s="244" t="s">
        <v>263</v>
      </c>
      <c r="E1073" s="281"/>
      <c r="F1073" s="257"/>
      <c r="G1073" s="249"/>
      <c r="H1073" s="242">
        <v>13986</v>
      </c>
      <c r="I1073" s="251">
        <f>H1073/H1079</f>
        <v>0.18532112523022698</v>
      </c>
      <c r="J1073" s="253"/>
      <c r="K1073" s="226"/>
    </row>
    <row r="1074" spans="1:11" ht="10.15" customHeight="1" x14ac:dyDescent="0.2">
      <c r="A1074" s="249"/>
      <c r="B1074" s="249"/>
      <c r="C1074" s="284"/>
      <c r="D1074" s="244" t="s">
        <v>241</v>
      </c>
      <c r="E1074" s="281"/>
      <c r="F1074" s="257"/>
      <c r="G1074" s="249"/>
      <c r="H1074" s="242">
        <v>24713</v>
      </c>
      <c r="I1074" s="251">
        <f>H1074/H1079</f>
        <v>0.32745895665770053</v>
      </c>
      <c r="J1074" s="253" t="s">
        <v>241</v>
      </c>
      <c r="K1074" s="226"/>
    </row>
    <row r="1075" spans="1:11" ht="10.15" customHeight="1" x14ac:dyDescent="0.2">
      <c r="A1075" s="249"/>
      <c r="B1075" s="249"/>
      <c r="C1075" s="284"/>
      <c r="D1075" s="244" t="s">
        <v>286</v>
      </c>
      <c r="E1075" s="281"/>
      <c r="F1075" s="257"/>
      <c r="G1075" s="249"/>
      <c r="H1075" s="242">
        <v>7306</v>
      </c>
      <c r="I1075" s="251">
        <f>H1075/H1079</f>
        <v>9.6807960884601627E-2</v>
      </c>
      <c r="J1075" s="242"/>
      <c r="K1075" s="226"/>
    </row>
    <row r="1076" spans="1:11" ht="10.15" customHeight="1" x14ac:dyDescent="0.2">
      <c r="A1076" s="249"/>
      <c r="B1076" s="249"/>
      <c r="C1076" s="284"/>
      <c r="D1076" s="244" t="s">
        <v>264</v>
      </c>
      <c r="E1076" s="281"/>
      <c r="F1076" s="257"/>
      <c r="G1076" s="249"/>
      <c r="H1076" s="242">
        <v>1350</v>
      </c>
      <c r="I1076" s="251">
        <f>H1076/H1079</f>
        <v>1.7888139500987159E-2</v>
      </c>
      <c r="J1076" s="253"/>
      <c r="K1076" s="226"/>
    </row>
    <row r="1077" spans="1:11" ht="10.15" customHeight="1" x14ac:dyDescent="0.2">
      <c r="A1077" s="249"/>
      <c r="B1077" s="249"/>
      <c r="C1077" s="284"/>
      <c r="D1077" s="244" t="s">
        <v>295</v>
      </c>
      <c r="E1077" s="281"/>
      <c r="F1077" s="257"/>
      <c r="G1077" s="249"/>
      <c r="H1077" s="242">
        <v>9480</v>
      </c>
      <c r="I1077" s="251">
        <f>H1077/H1079</f>
        <v>0.12561449071804318</v>
      </c>
      <c r="J1077" s="253"/>
      <c r="K1077" s="226"/>
    </row>
    <row r="1078" spans="1:11" ht="10.15" customHeight="1" x14ac:dyDescent="0.2">
      <c r="A1078" s="249"/>
      <c r="B1078" s="249"/>
      <c r="C1078" s="284"/>
      <c r="D1078" s="244" t="s">
        <v>290</v>
      </c>
      <c r="E1078" s="281"/>
      <c r="F1078" s="257"/>
      <c r="G1078" s="249"/>
      <c r="H1078" s="242">
        <v>18634</v>
      </c>
      <c r="I1078" s="251">
        <f>H1078/H1079</f>
        <v>0.24690932700844057</v>
      </c>
      <c r="J1078" s="253"/>
      <c r="K1078" s="226"/>
    </row>
    <row r="1079" spans="1:11" ht="10.15" customHeight="1" x14ac:dyDescent="0.2">
      <c r="A1079" s="249"/>
      <c r="B1079" s="249"/>
      <c r="C1079" s="284"/>
      <c r="D1079" s="243" t="s">
        <v>33</v>
      </c>
      <c r="E1079" s="281"/>
      <c r="F1079" s="257"/>
      <c r="G1079" s="249"/>
      <c r="H1079" s="265">
        <f>SUM(H1073:H1078)</f>
        <v>75469</v>
      </c>
      <c r="I1079" s="256">
        <f>SUM(I1073:I1078)</f>
        <v>1</v>
      </c>
      <c r="J1079" s="242"/>
      <c r="K1079" s="226"/>
    </row>
    <row r="1080" spans="1:11" ht="10.15" customHeight="1" x14ac:dyDescent="0.2">
      <c r="A1080" s="249"/>
      <c r="B1080" s="249"/>
      <c r="C1080" s="284"/>
      <c r="D1080" s="243"/>
      <c r="E1080" s="281"/>
      <c r="F1080" s="257"/>
      <c r="G1080" s="279"/>
      <c r="H1080" s="249"/>
      <c r="I1080" s="262"/>
      <c r="J1080" s="242"/>
      <c r="K1080" s="226"/>
    </row>
    <row r="1081" spans="1:11" ht="10.15" customHeight="1" x14ac:dyDescent="0.2">
      <c r="A1081" s="261" t="s">
        <v>20</v>
      </c>
      <c r="B1081" s="264">
        <v>502</v>
      </c>
      <c r="C1081" s="243" t="s">
        <v>291</v>
      </c>
      <c r="D1081" s="249" t="s">
        <v>510</v>
      </c>
      <c r="E1081" s="336">
        <v>38200</v>
      </c>
      <c r="F1081" s="257">
        <v>8202529</v>
      </c>
      <c r="G1081" s="249">
        <v>48725</v>
      </c>
      <c r="H1081" s="242"/>
      <c r="I1081" s="251"/>
      <c r="J1081" s="242"/>
      <c r="K1081" s="226"/>
    </row>
    <row r="1082" spans="1:11" ht="10.15" customHeight="1" x14ac:dyDescent="0.2">
      <c r="A1082" s="249"/>
      <c r="B1082" s="249"/>
      <c r="C1082" s="284"/>
      <c r="D1082" s="244" t="s">
        <v>263</v>
      </c>
      <c r="E1082" s="281"/>
      <c r="F1082" s="257"/>
      <c r="G1082" s="249"/>
      <c r="H1082" s="242">
        <v>1200</v>
      </c>
      <c r="I1082" s="251">
        <f>H1082/H$1085</f>
        <v>3.7209302325581395E-2</v>
      </c>
      <c r="J1082" s="253"/>
      <c r="K1082" s="226"/>
    </row>
    <row r="1083" spans="1:11" ht="10.15" customHeight="1" x14ac:dyDescent="0.2">
      <c r="A1083" s="249"/>
      <c r="B1083" s="249"/>
      <c r="C1083" s="284"/>
      <c r="D1083" s="244" t="s">
        <v>286</v>
      </c>
      <c r="E1083" s="281"/>
      <c r="F1083" s="257"/>
      <c r="G1083" s="249"/>
      <c r="H1083" s="242">
        <v>4050</v>
      </c>
      <c r="I1083" s="251">
        <f>H1083/H$1085</f>
        <v>0.12558139534883722</v>
      </c>
      <c r="J1083" s="253"/>
      <c r="K1083" s="226"/>
    </row>
    <row r="1084" spans="1:11" ht="10.15" customHeight="1" x14ac:dyDescent="0.2">
      <c r="A1084" s="249"/>
      <c r="B1084" s="249"/>
      <c r="C1084" s="284"/>
      <c r="D1084" s="244" t="s">
        <v>290</v>
      </c>
      <c r="E1084" s="281"/>
      <c r="F1084" s="257"/>
      <c r="G1084" s="249"/>
      <c r="H1084" s="242">
        <v>27000</v>
      </c>
      <c r="I1084" s="251">
        <f>H1084/H$1085</f>
        <v>0.83720930232558144</v>
      </c>
      <c r="J1084" s="252" t="s">
        <v>290</v>
      </c>
      <c r="K1084" s="226"/>
    </row>
    <row r="1085" spans="1:11" ht="10.15" customHeight="1" x14ac:dyDescent="0.2">
      <c r="A1085" s="249"/>
      <c r="B1085" s="249"/>
      <c r="C1085" s="284"/>
      <c r="D1085" s="243" t="s">
        <v>33</v>
      </c>
      <c r="E1085" s="281"/>
      <c r="F1085" s="257"/>
      <c r="G1085" s="249"/>
      <c r="H1085" s="265">
        <f>SUM(H1082:H1084)</f>
        <v>32250</v>
      </c>
      <c r="I1085" s="256">
        <f>SUM(I1082:I1084)</f>
        <v>1</v>
      </c>
      <c r="J1085" s="242"/>
      <c r="K1085" s="226"/>
    </row>
    <row r="1086" spans="1:11" ht="10.15" customHeight="1" x14ac:dyDescent="0.2">
      <c r="A1086" s="249"/>
      <c r="B1086" s="249"/>
      <c r="C1086" s="284"/>
      <c r="D1086" s="243"/>
      <c r="E1086" s="281"/>
      <c r="F1086" s="257"/>
      <c r="G1086" s="249"/>
      <c r="H1086" s="249"/>
      <c r="I1086" s="262"/>
      <c r="J1086" s="242"/>
      <c r="K1086" s="226"/>
    </row>
    <row r="1087" spans="1:11" ht="10.15" customHeight="1" x14ac:dyDescent="0.2">
      <c r="A1087" s="261" t="s">
        <v>20</v>
      </c>
      <c r="B1087" s="320" t="s">
        <v>511</v>
      </c>
      <c r="C1087" s="243" t="s">
        <v>291</v>
      </c>
      <c r="D1087" s="249" t="s">
        <v>476</v>
      </c>
      <c r="E1087" s="336">
        <v>38200</v>
      </c>
      <c r="F1087" s="257">
        <v>4980614</v>
      </c>
      <c r="G1087" s="249">
        <v>17983</v>
      </c>
      <c r="H1087" s="242"/>
      <c r="I1087" s="251"/>
      <c r="J1087" s="242"/>
      <c r="K1087" s="226"/>
    </row>
    <row r="1088" spans="1:11" ht="10.15" customHeight="1" x14ac:dyDescent="0.2">
      <c r="A1088" s="249"/>
      <c r="B1088" s="249"/>
      <c r="C1088" s="284"/>
      <c r="D1088" s="244" t="s">
        <v>241</v>
      </c>
      <c r="E1088" s="281"/>
      <c r="F1088" s="257"/>
      <c r="G1088" s="249"/>
      <c r="H1088" s="242">
        <v>750</v>
      </c>
      <c r="I1088" s="251">
        <f>H1088/H$1092</f>
        <v>5.6429162591227149E-2</v>
      </c>
      <c r="J1088" s="253"/>
      <c r="K1088" s="226"/>
    </row>
    <row r="1089" spans="1:11" ht="10.15" customHeight="1" x14ac:dyDescent="0.2">
      <c r="A1089" s="249"/>
      <c r="B1089" s="249"/>
      <c r="C1089" s="284"/>
      <c r="D1089" s="244" t="s">
        <v>264</v>
      </c>
      <c r="E1089" s="281"/>
      <c r="F1089" s="257"/>
      <c r="G1089" s="249"/>
      <c r="H1089" s="242">
        <v>6156</v>
      </c>
      <c r="I1089" s="251">
        <f>H1089/H$1092</f>
        <v>0.46317056654879241</v>
      </c>
      <c r="J1089" s="252" t="s">
        <v>264</v>
      </c>
      <c r="K1089" s="226"/>
    </row>
    <row r="1090" spans="1:11" ht="10.15" customHeight="1" x14ac:dyDescent="0.2">
      <c r="A1090" s="249"/>
      <c r="B1090" s="249"/>
      <c r="C1090" s="321"/>
      <c r="D1090" s="244" t="s">
        <v>486</v>
      </c>
      <c r="E1090" s="281"/>
      <c r="F1090" s="257"/>
      <c r="G1090" s="249"/>
      <c r="H1090" s="242">
        <v>105</v>
      </c>
      <c r="I1090" s="251">
        <f>H1090/H$1092</f>
        <v>7.9000827627717998E-3</v>
      </c>
      <c r="J1090" s="253"/>
      <c r="K1090" s="226"/>
    </row>
    <row r="1091" spans="1:11" ht="10.15" customHeight="1" x14ac:dyDescent="0.2">
      <c r="A1091" s="249"/>
      <c r="B1091" s="249"/>
      <c r="C1091" s="284"/>
      <c r="D1091" s="244" t="s">
        <v>290</v>
      </c>
      <c r="E1091" s="281"/>
      <c r="F1091" s="257"/>
      <c r="G1091" s="249"/>
      <c r="H1091" s="242">
        <v>6280</v>
      </c>
      <c r="I1091" s="251">
        <f>H1091/H$1092</f>
        <v>0.47250018809720862</v>
      </c>
      <c r="J1091" s="252" t="s">
        <v>290</v>
      </c>
      <c r="K1091" s="226"/>
    </row>
    <row r="1092" spans="1:11" ht="10.15" customHeight="1" x14ac:dyDescent="0.2">
      <c r="A1092" s="249"/>
      <c r="B1092" s="249"/>
      <c r="C1092" s="284"/>
      <c r="D1092" s="243" t="s">
        <v>33</v>
      </c>
      <c r="E1092" s="281"/>
      <c r="F1092" s="257"/>
      <c r="G1092" s="249"/>
      <c r="H1092" s="265">
        <f>SUM(H1088:H1091)</f>
        <v>13291</v>
      </c>
      <c r="I1092" s="256">
        <f>SUM(I1088:I1091)</f>
        <v>0.99999999999999989</v>
      </c>
      <c r="J1092" s="242"/>
      <c r="K1092" s="226"/>
    </row>
    <row r="1093" spans="1:11" ht="10.15" customHeight="1" x14ac:dyDescent="0.2">
      <c r="A1093" s="249"/>
      <c r="B1093" s="249"/>
      <c r="C1093" s="284"/>
      <c r="D1093" s="243"/>
      <c r="E1093" s="281"/>
      <c r="F1093" s="257"/>
      <c r="G1093" s="249"/>
      <c r="H1093" s="249"/>
      <c r="I1093" s="262"/>
      <c r="J1093" s="242"/>
      <c r="K1093" s="226"/>
    </row>
    <row r="1094" spans="1:11" ht="10.15" customHeight="1" x14ac:dyDescent="0.2">
      <c r="A1094" s="261" t="s">
        <v>20</v>
      </c>
      <c r="B1094" s="264">
        <v>504</v>
      </c>
      <c r="C1094" s="243" t="s">
        <v>291</v>
      </c>
      <c r="D1094" s="249" t="s">
        <v>521</v>
      </c>
      <c r="E1094" s="336">
        <v>38534</v>
      </c>
      <c r="F1094" s="322">
        <v>12710930</v>
      </c>
      <c r="G1094" s="249">
        <v>76257</v>
      </c>
      <c r="H1094" s="249"/>
      <c r="I1094" s="262"/>
      <c r="J1094" s="242"/>
      <c r="K1094" s="226"/>
    </row>
    <row r="1095" spans="1:11" ht="10.15" customHeight="1" x14ac:dyDescent="0.2">
      <c r="A1095" s="249"/>
      <c r="B1095" s="249"/>
      <c r="C1095" s="284"/>
      <c r="D1095" s="244" t="s">
        <v>263</v>
      </c>
      <c r="E1095" s="281"/>
      <c r="F1095" s="257"/>
      <c r="G1095" s="249"/>
      <c r="H1095" s="267">
        <v>9028</v>
      </c>
      <c r="I1095" s="271">
        <f>H1095/H1101</f>
        <v>0.18088196990643346</v>
      </c>
      <c r="J1095" s="253"/>
      <c r="K1095" s="226"/>
    </row>
    <row r="1096" spans="1:11" ht="10.15" customHeight="1" x14ac:dyDescent="0.2">
      <c r="A1096" s="249"/>
      <c r="B1096" s="249"/>
      <c r="C1096" s="284"/>
      <c r="D1096" s="244" t="s">
        <v>240</v>
      </c>
      <c r="E1096" s="281"/>
      <c r="F1096" s="257"/>
      <c r="G1096" s="249"/>
      <c r="H1096" s="267">
        <v>2962</v>
      </c>
      <c r="I1096" s="271">
        <f>H1096/H1101</f>
        <v>5.9345635230710667E-2</v>
      </c>
      <c r="J1096" s="242"/>
      <c r="K1096" s="226"/>
    </row>
    <row r="1097" spans="1:11" ht="10.15" customHeight="1" x14ac:dyDescent="0.2">
      <c r="A1097" s="249"/>
      <c r="B1097" s="249"/>
      <c r="C1097" s="284"/>
      <c r="D1097" s="244" t="s">
        <v>241</v>
      </c>
      <c r="E1097" s="281"/>
      <c r="F1097" s="257"/>
      <c r="G1097" s="249"/>
      <c r="H1097" s="267">
        <v>13647</v>
      </c>
      <c r="I1097" s="271">
        <f>H1097/H1101</f>
        <v>0.27342669952515475</v>
      </c>
      <c r="J1097" s="253"/>
      <c r="K1097" s="226"/>
    </row>
    <row r="1098" spans="1:11" ht="10.15" customHeight="1" x14ac:dyDescent="0.2">
      <c r="A1098" s="249"/>
      <c r="B1098" s="249"/>
      <c r="C1098" s="284"/>
      <c r="D1098" s="244" t="s">
        <v>286</v>
      </c>
      <c r="E1098" s="281"/>
      <c r="F1098" s="257"/>
      <c r="G1098" s="249"/>
      <c r="H1098" s="267">
        <v>1102</v>
      </c>
      <c r="I1098" s="271">
        <f>H1098/H1101</f>
        <v>2.2079301156057784E-2</v>
      </c>
      <c r="J1098" s="253"/>
      <c r="K1098" s="226"/>
    </row>
    <row r="1099" spans="1:11" ht="10.15" customHeight="1" x14ac:dyDescent="0.2">
      <c r="A1099" s="249"/>
      <c r="B1099" s="249"/>
      <c r="C1099" s="284"/>
      <c r="D1099" s="244" t="s">
        <v>295</v>
      </c>
      <c r="E1099" s="281"/>
      <c r="F1099" s="257"/>
      <c r="G1099" s="249"/>
      <c r="H1099" s="267">
        <v>615</v>
      </c>
      <c r="I1099" s="271">
        <f>H1099/H1101</f>
        <v>1.2321933040812647E-2</v>
      </c>
      <c r="J1099" s="253"/>
      <c r="K1099" s="226"/>
    </row>
    <row r="1100" spans="1:11" ht="10.15" customHeight="1" x14ac:dyDescent="0.2">
      <c r="A1100" s="249"/>
      <c r="B1100" s="249"/>
      <c r="C1100" s="284"/>
      <c r="D1100" s="244" t="s">
        <v>290</v>
      </c>
      <c r="E1100" s="365"/>
      <c r="F1100" s="257"/>
      <c r="G1100" s="249"/>
      <c r="H1100" s="267">
        <v>22557</v>
      </c>
      <c r="I1100" s="271">
        <f>H1100/H1101</f>
        <v>0.4519444611408307</v>
      </c>
      <c r="J1100" s="252" t="s">
        <v>290</v>
      </c>
      <c r="K1100" s="226"/>
    </row>
    <row r="1101" spans="1:11" ht="10.15" customHeight="1" x14ac:dyDescent="0.2">
      <c r="A1101" s="249"/>
      <c r="B1101" s="249"/>
      <c r="C1101" s="284"/>
      <c r="D1101" s="243" t="s">
        <v>33</v>
      </c>
      <c r="E1101" s="281"/>
      <c r="F1101" s="257"/>
      <c r="G1101" s="249"/>
      <c r="H1101" s="273">
        <f>SUM(H1095:H1100)</f>
        <v>49911</v>
      </c>
      <c r="I1101" s="274">
        <f>SUM(I1095:I1100)</f>
        <v>1</v>
      </c>
      <c r="J1101" s="242"/>
      <c r="K1101" s="226"/>
    </row>
    <row r="1102" spans="1:11" ht="10.15" customHeight="1" x14ac:dyDescent="0.2">
      <c r="A1102" s="249"/>
      <c r="B1102" s="249"/>
      <c r="C1102" s="284"/>
      <c r="D1102" s="243"/>
      <c r="E1102" s="281"/>
      <c r="F1102" s="257"/>
      <c r="G1102" s="249"/>
      <c r="H1102" s="249"/>
      <c r="I1102" s="262"/>
      <c r="J1102" s="242"/>
      <c r="K1102" s="226"/>
    </row>
    <row r="1103" spans="1:11" ht="10.15" customHeight="1" x14ac:dyDescent="0.2">
      <c r="A1103" s="261" t="s">
        <v>20</v>
      </c>
      <c r="B1103" s="264">
        <v>513</v>
      </c>
      <c r="C1103" s="243" t="s">
        <v>291</v>
      </c>
      <c r="D1103" s="249" t="s">
        <v>554</v>
      </c>
      <c r="E1103" s="336">
        <v>39234</v>
      </c>
      <c r="F1103" s="257">
        <v>69170675</v>
      </c>
      <c r="G1103" s="249">
        <v>199269</v>
      </c>
      <c r="H1103" s="242"/>
      <c r="I1103" s="251"/>
      <c r="J1103" s="242"/>
      <c r="K1103" s="226"/>
    </row>
    <row r="1104" spans="1:11" ht="10.15" customHeight="1" x14ac:dyDescent="0.2">
      <c r="A1104" s="249"/>
      <c r="B1104" s="249"/>
      <c r="C1104" s="284"/>
      <c r="D1104" s="244" t="s">
        <v>241</v>
      </c>
      <c r="E1104" s="281"/>
      <c r="F1104" s="257"/>
      <c r="G1104" s="249"/>
      <c r="H1104" s="242">
        <v>55087</v>
      </c>
      <c r="I1104" s="251">
        <f>H1104/H$1107</f>
        <v>0.49349613889237276</v>
      </c>
      <c r="J1104" s="253" t="s">
        <v>241</v>
      </c>
      <c r="K1104" s="226"/>
    </row>
    <row r="1105" spans="1:68" ht="10.15" customHeight="1" x14ac:dyDescent="0.2">
      <c r="A1105" s="249"/>
      <c r="B1105" s="249"/>
      <c r="C1105" s="284"/>
      <c r="D1105" s="244" t="s">
        <v>290</v>
      </c>
      <c r="E1105" s="281"/>
      <c r="F1105" s="257"/>
      <c r="G1105" s="249"/>
      <c r="H1105" s="242">
        <v>27478</v>
      </c>
      <c r="I1105" s="251">
        <f>H1105/H$1107</f>
        <v>0.24616128858868006</v>
      </c>
      <c r="J1105" s="253"/>
      <c r="K1105" s="226"/>
    </row>
    <row r="1106" spans="1:68" ht="10.15" customHeight="1" x14ac:dyDescent="0.2">
      <c r="A1106" s="249"/>
      <c r="B1106" s="249"/>
      <c r="C1106" s="284"/>
      <c r="D1106" s="244" t="s">
        <v>294</v>
      </c>
      <c r="E1106" s="281"/>
      <c r="F1106" s="257"/>
      <c r="G1106" s="249"/>
      <c r="H1106" s="242">
        <v>29061</v>
      </c>
      <c r="I1106" s="251">
        <f>H1106/H$1107</f>
        <v>0.26034257251894721</v>
      </c>
      <c r="J1106" s="252"/>
      <c r="K1106" s="226"/>
    </row>
    <row r="1107" spans="1:68" ht="10.15" customHeight="1" x14ac:dyDescent="0.2">
      <c r="A1107" s="249"/>
      <c r="B1107" s="249"/>
      <c r="C1107" s="284"/>
      <c r="D1107" s="243" t="s">
        <v>33</v>
      </c>
      <c r="E1107" s="281"/>
      <c r="F1107" s="257"/>
      <c r="G1107" s="249"/>
      <c r="H1107" s="265">
        <f>SUM(H1104:H1106)</f>
        <v>111626</v>
      </c>
      <c r="I1107" s="256">
        <f>SUM(I1104:I1106)</f>
        <v>1</v>
      </c>
      <c r="J1107" s="242"/>
      <c r="K1107" s="226"/>
    </row>
    <row r="1108" spans="1:68" ht="10.15" customHeight="1" x14ac:dyDescent="0.2">
      <c r="A1108" s="249"/>
      <c r="B1108" s="249"/>
      <c r="C1108" s="284"/>
      <c r="D1108" s="243"/>
      <c r="E1108" s="281"/>
      <c r="F1108" s="257"/>
      <c r="G1108" s="249"/>
      <c r="H1108" s="249"/>
      <c r="I1108" s="262"/>
      <c r="J1108" s="242"/>
      <c r="K1108" s="226"/>
    </row>
    <row r="1109" spans="1:68" ht="10.15" customHeight="1" x14ac:dyDescent="0.2">
      <c r="A1109" s="261" t="s">
        <v>20</v>
      </c>
      <c r="B1109" s="320">
        <v>521</v>
      </c>
      <c r="C1109" s="243" t="s">
        <v>291</v>
      </c>
      <c r="D1109" s="249" t="s">
        <v>117</v>
      </c>
      <c r="E1109" s="336">
        <v>39356</v>
      </c>
      <c r="F1109" s="257">
        <v>18627512</v>
      </c>
      <c r="G1109" s="249">
        <v>57917</v>
      </c>
      <c r="H1109" s="249"/>
      <c r="I1109" s="262"/>
      <c r="J1109" s="249"/>
      <c r="K1109" s="226"/>
    </row>
    <row r="1110" spans="1:68" ht="10.15" customHeight="1" x14ac:dyDescent="0.2">
      <c r="A1110" s="249"/>
      <c r="B1110" s="249"/>
      <c r="C1110" s="284"/>
      <c r="D1110" s="244" t="s">
        <v>241</v>
      </c>
      <c r="E1110" s="281"/>
      <c r="F1110" s="257"/>
      <c r="G1110" s="249"/>
      <c r="H1110" s="249">
        <v>20320</v>
      </c>
      <c r="I1110" s="262">
        <f>H1110/H$1114</f>
        <v>0.71076288082829064</v>
      </c>
      <c r="J1110" s="253" t="s">
        <v>241</v>
      </c>
      <c r="K1110" s="226"/>
    </row>
    <row r="1111" spans="1:68" ht="10.15" customHeight="1" x14ac:dyDescent="0.2">
      <c r="A1111" s="249"/>
      <c r="B1111" s="249"/>
      <c r="C1111" s="284"/>
      <c r="D1111" s="244" t="s">
        <v>286</v>
      </c>
      <c r="E1111" s="281"/>
      <c r="F1111" s="257"/>
      <c r="G1111" s="249"/>
      <c r="H1111" s="249">
        <v>1749</v>
      </c>
      <c r="I1111" s="262">
        <f>H1111/H$1114</f>
        <v>6.1177375913813004E-2</v>
      </c>
      <c r="J1111" s="266"/>
      <c r="K1111" s="226"/>
    </row>
    <row r="1112" spans="1:68" s="21" customFormat="1" ht="10.15" customHeight="1" x14ac:dyDescent="0.2">
      <c r="A1112" s="249"/>
      <c r="B1112" s="249"/>
      <c r="C1112" s="321"/>
      <c r="D1112" s="244" t="s">
        <v>244</v>
      </c>
      <c r="E1112" s="281"/>
      <c r="F1112" s="257"/>
      <c r="G1112" s="249"/>
      <c r="H1112" s="249">
        <v>570</v>
      </c>
      <c r="I1112" s="262">
        <f>H1112/H$1114</f>
        <v>1.9937738290951065E-2</v>
      </c>
      <c r="J1112" s="248"/>
      <c r="K1112" s="226"/>
      <c r="L1112" s="10"/>
      <c r="M1112" s="10"/>
      <c r="N1112" s="10"/>
      <c r="O1112" s="10"/>
      <c r="P1112" s="10"/>
      <c r="Q1112" s="10"/>
      <c r="R1112" s="20"/>
      <c r="S1112" s="20"/>
      <c r="T1112" s="20"/>
      <c r="U1112" s="20"/>
      <c r="V1112" s="20"/>
      <c r="W1112" s="20"/>
      <c r="X1112" s="20"/>
      <c r="Y1112" s="20"/>
      <c r="Z1112" s="20"/>
      <c r="AA1112" s="20"/>
      <c r="AB1112" s="20"/>
      <c r="AC1112" s="20"/>
      <c r="AD1112" s="20"/>
      <c r="AE1112" s="20"/>
      <c r="AF1112" s="20"/>
      <c r="AG1112" s="20"/>
      <c r="AH1112" s="20"/>
      <c r="AI1112" s="20"/>
      <c r="AJ1112" s="20"/>
      <c r="AK1112" s="20"/>
      <c r="AL1112" s="20"/>
      <c r="AM1112" s="20"/>
      <c r="AN1112" s="20"/>
      <c r="AO1112" s="20"/>
      <c r="AP1112" s="20"/>
      <c r="AQ1112" s="20"/>
      <c r="AR1112" s="20"/>
      <c r="AS1112" s="20"/>
      <c r="AT1112" s="20"/>
      <c r="AU1112" s="20"/>
      <c r="AV1112" s="20"/>
      <c r="AW1112" s="20"/>
      <c r="AX1112" s="20"/>
      <c r="AY1112" s="20"/>
      <c r="AZ1112" s="20"/>
      <c r="BA1112" s="20"/>
      <c r="BB1112" s="20"/>
      <c r="BC1112" s="20"/>
      <c r="BD1112" s="20"/>
      <c r="BE1112" s="20"/>
      <c r="BF1112" s="20"/>
      <c r="BG1112" s="20"/>
      <c r="BH1112" s="20"/>
      <c r="BI1112" s="20"/>
      <c r="BJ1112" s="20"/>
      <c r="BK1112" s="20"/>
      <c r="BL1112" s="20"/>
      <c r="BM1112" s="20"/>
      <c r="BN1112" s="20"/>
      <c r="BO1112" s="20"/>
      <c r="BP1112" s="20"/>
    </row>
    <row r="1113" spans="1:68" s="21" customFormat="1" ht="10.15" customHeight="1" x14ac:dyDescent="0.2">
      <c r="A1113" s="249"/>
      <c r="B1113" s="249"/>
      <c r="C1113" s="284"/>
      <c r="D1113" s="244" t="s">
        <v>290</v>
      </c>
      <c r="E1113" s="281"/>
      <c r="F1113" s="257"/>
      <c r="G1113" s="249"/>
      <c r="H1113" s="249">
        <v>5950</v>
      </c>
      <c r="I1113" s="262">
        <f>H1113/H$1114</f>
        <v>0.20812200496694533</v>
      </c>
      <c r="J1113" s="266"/>
      <c r="K1113" s="226"/>
      <c r="L1113" s="10"/>
      <c r="M1113" s="10"/>
      <c r="N1113" s="10"/>
      <c r="O1113" s="10"/>
      <c r="P1113" s="10"/>
      <c r="Q1113" s="10"/>
      <c r="R1113" s="20"/>
      <c r="S1113" s="20"/>
      <c r="T1113" s="20"/>
      <c r="U1113" s="20"/>
      <c r="V1113" s="20"/>
      <c r="W1113" s="20"/>
      <c r="X1113" s="20"/>
      <c r="Y1113" s="20"/>
      <c r="Z1113" s="20"/>
      <c r="AA1113" s="20"/>
      <c r="AB1113" s="20"/>
      <c r="AC1113" s="20"/>
      <c r="AD1113" s="20"/>
      <c r="AE1113" s="20"/>
      <c r="AF1113" s="20"/>
      <c r="AG1113" s="20"/>
      <c r="AH1113" s="20"/>
      <c r="AI1113" s="20"/>
      <c r="AJ1113" s="20"/>
      <c r="AK1113" s="20"/>
      <c r="AL1113" s="20"/>
      <c r="AM1113" s="20"/>
      <c r="AN1113" s="20"/>
      <c r="AO1113" s="20"/>
      <c r="AP1113" s="20"/>
      <c r="AQ1113" s="20"/>
      <c r="AR1113" s="20"/>
      <c r="AS1113" s="20"/>
      <c r="AT1113" s="20"/>
      <c r="AU1113" s="20"/>
      <c r="AV1113" s="20"/>
      <c r="AW1113" s="20"/>
      <c r="AX1113" s="20"/>
      <c r="AY1113" s="20"/>
      <c r="AZ1113" s="20"/>
      <c r="BA1113" s="20"/>
      <c r="BB1113" s="20"/>
      <c r="BC1113" s="20"/>
      <c r="BD1113" s="20"/>
      <c r="BE1113" s="20"/>
      <c r="BF1113" s="20"/>
      <c r="BG1113" s="20"/>
      <c r="BH1113" s="20"/>
      <c r="BI1113" s="20"/>
      <c r="BJ1113" s="20"/>
      <c r="BK1113" s="20"/>
      <c r="BL1113" s="20"/>
      <c r="BM1113" s="20"/>
      <c r="BN1113" s="20"/>
      <c r="BO1113" s="20"/>
      <c r="BP1113" s="20"/>
    </row>
    <row r="1114" spans="1:68" s="21" customFormat="1" ht="10.15" customHeight="1" x14ac:dyDescent="0.2">
      <c r="A1114" s="249"/>
      <c r="B1114" s="249"/>
      <c r="C1114" s="284"/>
      <c r="D1114" s="243" t="s">
        <v>33</v>
      </c>
      <c r="E1114" s="281"/>
      <c r="F1114" s="257"/>
      <c r="G1114" s="249"/>
      <c r="H1114" s="265">
        <f>SUM(H1110:H1113)</f>
        <v>28589</v>
      </c>
      <c r="I1114" s="256">
        <f>SUM(I1110:I1113)</f>
        <v>1</v>
      </c>
      <c r="J1114" s="249"/>
      <c r="K1114" s="226"/>
      <c r="L1114" s="10"/>
      <c r="M1114" s="10"/>
      <c r="N1114" s="10"/>
      <c r="O1114" s="10"/>
      <c r="P1114" s="10"/>
      <c r="Q1114" s="10"/>
      <c r="R1114" s="20"/>
      <c r="S1114" s="20"/>
      <c r="T1114" s="20"/>
      <c r="U1114" s="20"/>
      <c r="V1114" s="20"/>
      <c r="W1114" s="20"/>
      <c r="X1114" s="20"/>
      <c r="Y1114" s="20"/>
      <c r="Z1114" s="20"/>
      <c r="AA1114" s="20"/>
      <c r="AB1114" s="20"/>
      <c r="AC1114" s="20"/>
      <c r="AD1114" s="20"/>
      <c r="AE1114" s="20"/>
      <c r="AF1114" s="20"/>
      <c r="AG1114" s="20"/>
      <c r="AH1114" s="20"/>
      <c r="AI1114" s="20"/>
      <c r="AJ1114" s="20"/>
      <c r="AK1114" s="20"/>
      <c r="AL1114" s="20"/>
      <c r="AM1114" s="20"/>
      <c r="AN1114" s="20"/>
      <c r="AO1114" s="20"/>
      <c r="AP1114" s="20"/>
      <c r="AQ1114" s="20"/>
      <c r="AR1114" s="20"/>
      <c r="AS1114" s="20"/>
      <c r="AT1114" s="20"/>
      <c r="AU1114" s="20"/>
      <c r="AV1114" s="20"/>
      <c r="AW1114" s="20"/>
      <c r="AX1114" s="20"/>
      <c r="AY1114" s="20"/>
      <c r="AZ1114" s="20"/>
      <c r="BA1114" s="20"/>
      <c r="BB1114" s="20"/>
      <c r="BC1114" s="20"/>
      <c r="BD1114" s="20"/>
      <c r="BE1114" s="20"/>
      <c r="BF1114" s="20"/>
      <c r="BG1114" s="20"/>
      <c r="BH1114" s="20"/>
      <c r="BI1114" s="20"/>
      <c r="BJ1114" s="20"/>
      <c r="BK1114" s="20"/>
      <c r="BL1114" s="20"/>
      <c r="BM1114" s="20"/>
      <c r="BN1114" s="20"/>
      <c r="BO1114" s="20"/>
      <c r="BP1114" s="20"/>
    </row>
    <row r="1115" spans="1:68" s="21" customFormat="1" ht="10.15" customHeight="1" x14ac:dyDescent="0.2">
      <c r="A1115" s="249"/>
      <c r="B1115" s="249"/>
      <c r="C1115" s="284"/>
      <c r="D1115" s="243"/>
      <c r="E1115" s="281"/>
      <c r="F1115" s="257"/>
      <c r="G1115" s="249"/>
      <c r="H1115" s="249"/>
      <c r="I1115" s="262"/>
      <c r="J1115" s="249"/>
      <c r="K1115" s="226"/>
      <c r="L1115" s="10"/>
      <c r="M1115" s="10"/>
      <c r="N1115" s="10"/>
      <c r="O1115" s="10"/>
      <c r="P1115" s="10"/>
      <c r="Q1115" s="10"/>
      <c r="R1115" s="20"/>
      <c r="S1115" s="20"/>
      <c r="T1115" s="20"/>
      <c r="U1115" s="20"/>
      <c r="V1115" s="20"/>
      <c r="W1115" s="20"/>
      <c r="X1115" s="20"/>
      <c r="Y1115" s="20"/>
      <c r="Z1115" s="20"/>
      <c r="AA1115" s="20"/>
      <c r="AB1115" s="20"/>
      <c r="AC1115" s="20"/>
      <c r="AD1115" s="20"/>
      <c r="AE1115" s="20"/>
      <c r="AF1115" s="20"/>
      <c r="AG1115" s="20"/>
      <c r="AH1115" s="20"/>
      <c r="AI1115" s="20"/>
      <c r="AJ1115" s="20"/>
      <c r="AK1115" s="20"/>
      <c r="AL1115" s="20"/>
      <c r="AM1115" s="20"/>
      <c r="AN1115" s="20"/>
      <c r="AO1115" s="20"/>
      <c r="AP1115" s="20"/>
      <c r="AQ1115" s="20"/>
      <c r="AR1115" s="20"/>
      <c r="AS1115" s="20"/>
      <c r="AT1115" s="20"/>
      <c r="AU1115" s="20"/>
      <c r="AV1115" s="20"/>
      <c r="AW1115" s="20"/>
      <c r="AX1115" s="20"/>
      <c r="AY1115" s="20"/>
      <c r="AZ1115" s="20"/>
      <c r="BA1115" s="20"/>
      <c r="BB1115" s="20"/>
      <c r="BC1115" s="20"/>
      <c r="BD1115" s="20"/>
      <c r="BE1115" s="20"/>
      <c r="BF1115" s="20"/>
      <c r="BG1115" s="20"/>
      <c r="BH1115" s="20"/>
      <c r="BI1115" s="20"/>
      <c r="BJ1115" s="20"/>
      <c r="BK1115" s="20"/>
      <c r="BL1115" s="20"/>
      <c r="BM1115" s="20"/>
      <c r="BN1115" s="20"/>
      <c r="BO1115" s="20"/>
      <c r="BP1115" s="20"/>
    </row>
    <row r="1116" spans="1:68" s="21" customFormat="1" ht="10.15" customHeight="1" x14ac:dyDescent="0.2">
      <c r="A1116" s="261" t="s">
        <v>20</v>
      </c>
      <c r="B1116" s="320">
        <v>530</v>
      </c>
      <c r="C1116" s="243" t="s">
        <v>513</v>
      </c>
      <c r="D1116" s="249" t="s">
        <v>573</v>
      </c>
      <c r="E1116" s="336">
        <v>39630</v>
      </c>
      <c r="F1116" s="257">
        <v>1149466</v>
      </c>
      <c r="G1116" s="249">
        <v>7000</v>
      </c>
      <c r="H1116" s="249"/>
      <c r="I1116" s="262"/>
      <c r="J1116" s="249"/>
      <c r="K1116" s="226"/>
      <c r="L1116" s="10"/>
      <c r="M1116" s="10"/>
      <c r="N1116" s="10"/>
      <c r="O1116" s="10"/>
      <c r="P1116" s="10"/>
      <c r="Q1116" s="10"/>
      <c r="R1116" s="20"/>
      <c r="S1116" s="20"/>
      <c r="T1116" s="20"/>
      <c r="U1116" s="20"/>
      <c r="V1116" s="20"/>
      <c r="W1116" s="20"/>
      <c r="X1116" s="20"/>
      <c r="Y1116" s="20"/>
      <c r="Z1116" s="20"/>
      <c r="AA1116" s="20"/>
      <c r="AB1116" s="20"/>
      <c r="AC1116" s="20"/>
      <c r="AD1116" s="20"/>
      <c r="AE1116" s="20"/>
      <c r="AF1116" s="20"/>
      <c r="AG1116" s="20"/>
      <c r="AH1116" s="20"/>
      <c r="AI1116" s="20"/>
      <c r="AJ1116" s="20"/>
      <c r="AK1116" s="20"/>
      <c r="AL1116" s="20"/>
      <c r="AM1116" s="20"/>
      <c r="AN1116" s="20"/>
      <c r="AO1116" s="20"/>
      <c r="AP1116" s="20"/>
      <c r="AQ1116" s="20"/>
      <c r="AR1116" s="20"/>
      <c r="AS1116" s="20"/>
      <c r="AT1116" s="20"/>
      <c r="AU1116" s="20"/>
      <c r="AV1116" s="20"/>
      <c r="AW1116" s="20"/>
      <c r="AX1116" s="20"/>
      <c r="AY1116" s="20"/>
      <c r="AZ1116" s="20"/>
      <c r="BA1116" s="20"/>
      <c r="BB1116" s="20"/>
      <c r="BC1116" s="20"/>
      <c r="BD1116" s="20"/>
      <c r="BE1116" s="20"/>
      <c r="BF1116" s="20"/>
      <c r="BG1116" s="20"/>
      <c r="BH1116" s="20"/>
      <c r="BI1116" s="20"/>
      <c r="BJ1116" s="20"/>
      <c r="BK1116" s="20"/>
      <c r="BL1116" s="20"/>
      <c r="BM1116" s="20"/>
      <c r="BN1116" s="20"/>
      <c r="BO1116" s="20"/>
      <c r="BP1116" s="20"/>
    </row>
    <row r="1117" spans="1:68" s="21" customFormat="1" ht="10.15" customHeight="1" x14ac:dyDescent="0.2">
      <c r="A1117" s="249"/>
      <c r="B1117" s="249"/>
      <c r="C1117" s="284"/>
      <c r="D1117" s="244" t="s">
        <v>241</v>
      </c>
      <c r="E1117" s="281"/>
      <c r="F1117" s="257"/>
      <c r="G1117" s="249"/>
      <c r="H1117" s="249">
        <v>2589</v>
      </c>
      <c r="I1117" s="262">
        <f>H1117/H$1120</f>
        <v>0.52208106473079252</v>
      </c>
      <c r="J1117" s="253" t="s">
        <v>241</v>
      </c>
      <c r="K1117" s="226"/>
      <c r="L1117" s="10"/>
      <c r="M1117" s="10"/>
      <c r="N1117" s="10"/>
      <c r="O1117" s="10"/>
      <c r="P1117" s="10"/>
      <c r="Q1117" s="10"/>
      <c r="R1117" s="20"/>
      <c r="S1117" s="20"/>
      <c r="T1117" s="20"/>
      <c r="U1117" s="20"/>
      <c r="V1117" s="20"/>
      <c r="W1117" s="20"/>
      <c r="X1117" s="20"/>
      <c r="Y1117" s="20"/>
      <c r="Z1117" s="20"/>
      <c r="AA1117" s="20"/>
      <c r="AB1117" s="20"/>
      <c r="AC1117" s="20"/>
      <c r="AD1117" s="20"/>
      <c r="AE1117" s="20"/>
      <c r="AF1117" s="20"/>
      <c r="AG1117" s="20"/>
      <c r="AH1117" s="20"/>
      <c r="AI1117" s="20"/>
      <c r="AJ1117" s="20"/>
      <c r="AK1117" s="20"/>
      <c r="AL1117" s="20"/>
      <c r="AM1117" s="20"/>
      <c r="AN1117" s="20"/>
      <c r="AO1117" s="20"/>
      <c r="AP1117" s="20"/>
      <c r="AQ1117" s="20"/>
      <c r="AR1117" s="20"/>
      <c r="AS1117" s="20"/>
      <c r="AT1117" s="20"/>
      <c r="AU1117" s="20"/>
      <c r="AV1117" s="20"/>
      <c r="AW1117" s="20"/>
      <c r="AX1117" s="20"/>
      <c r="AY1117" s="20"/>
      <c r="AZ1117" s="20"/>
      <c r="BA1117" s="20"/>
      <c r="BB1117" s="20"/>
      <c r="BC1117" s="20"/>
      <c r="BD1117" s="20"/>
      <c r="BE1117" s="20"/>
      <c r="BF1117" s="20"/>
      <c r="BG1117" s="20"/>
      <c r="BH1117" s="20"/>
      <c r="BI1117" s="20"/>
      <c r="BJ1117" s="20"/>
      <c r="BK1117" s="20"/>
      <c r="BL1117" s="20"/>
      <c r="BM1117" s="20"/>
      <c r="BN1117" s="20"/>
      <c r="BO1117" s="20"/>
      <c r="BP1117" s="20"/>
    </row>
    <row r="1118" spans="1:68" s="21" customFormat="1" ht="10.15" customHeight="1" x14ac:dyDescent="0.2">
      <c r="A1118" s="249"/>
      <c r="B1118" s="249"/>
      <c r="C1118" s="284"/>
      <c r="D1118" s="244" t="s">
        <v>290</v>
      </c>
      <c r="E1118" s="281"/>
      <c r="F1118" s="257"/>
      <c r="G1118" s="249"/>
      <c r="H1118" s="249">
        <v>820</v>
      </c>
      <c r="I1118" s="262">
        <f>H1118/H$1120</f>
        <v>0.16535591853196208</v>
      </c>
      <c r="J1118" s="249"/>
      <c r="K1118" s="226"/>
      <c r="L1118" s="10"/>
      <c r="M1118" s="10"/>
      <c r="N1118" s="10"/>
      <c r="O1118" s="10"/>
      <c r="P1118" s="10"/>
      <c r="Q1118" s="10"/>
      <c r="R1118" s="20"/>
      <c r="S1118" s="20"/>
      <c r="T1118" s="20"/>
      <c r="U1118" s="20"/>
      <c r="V1118" s="20"/>
      <c r="W1118" s="20"/>
      <c r="X1118" s="20"/>
      <c r="Y1118" s="20"/>
      <c r="Z1118" s="20"/>
      <c r="AA1118" s="20"/>
      <c r="AB1118" s="20"/>
      <c r="AC1118" s="20"/>
      <c r="AD1118" s="20"/>
      <c r="AE1118" s="20"/>
      <c r="AF1118" s="20"/>
      <c r="AG1118" s="20"/>
      <c r="AH1118" s="20"/>
      <c r="AI1118" s="20"/>
      <c r="AJ1118" s="20"/>
      <c r="AK1118" s="20"/>
      <c r="AL1118" s="20"/>
      <c r="AM1118" s="20"/>
      <c r="AN1118" s="20"/>
      <c r="AO1118" s="20"/>
      <c r="AP1118" s="20"/>
      <c r="AQ1118" s="20"/>
      <c r="AR1118" s="20"/>
      <c r="AS1118" s="20"/>
      <c r="AT1118" s="20"/>
      <c r="AU1118" s="20"/>
      <c r="AV1118" s="20"/>
      <c r="AW1118" s="20"/>
      <c r="AX1118" s="20"/>
      <c r="AY1118" s="20"/>
      <c r="AZ1118" s="20"/>
      <c r="BA1118" s="20"/>
      <c r="BB1118" s="20"/>
      <c r="BC1118" s="20"/>
      <c r="BD1118" s="20"/>
      <c r="BE1118" s="20"/>
      <c r="BF1118" s="20"/>
      <c r="BG1118" s="20"/>
      <c r="BH1118" s="20"/>
      <c r="BI1118" s="20"/>
      <c r="BJ1118" s="20"/>
      <c r="BK1118" s="20"/>
      <c r="BL1118" s="20"/>
      <c r="BM1118" s="20"/>
      <c r="BN1118" s="20"/>
      <c r="BO1118" s="20"/>
      <c r="BP1118" s="20"/>
    </row>
    <row r="1119" spans="1:68" s="21" customFormat="1" ht="10.15" customHeight="1" x14ac:dyDescent="0.2">
      <c r="A1119" s="249"/>
      <c r="B1119" s="249"/>
      <c r="C1119" s="284"/>
      <c r="D1119" s="244" t="s">
        <v>294</v>
      </c>
      <c r="E1119" s="281"/>
      <c r="F1119" s="257"/>
      <c r="G1119" s="249"/>
      <c r="H1119" s="249">
        <v>1550</v>
      </c>
      <c r="I1119" s="262">
        <f>H1119/H$1120</f>
        <v>0.3125630167372454</v>
      </c>
      <c r="J1119" s="266" t="s">
        <v>294</v>
      </c>
      <c r="K1119" s="226"/>
      <c r="L1119" s="10"/>
      <c r="M1119" s="10"/>
      <c r="N1119" s="10"/>
      <c r="O1119" s="10"/>
      <c r="P1119" s="10"/>
      <c r="Q1119" s="10"/>
      <c r="R1119" s="20"/>
      <c r="S1119" s="20"/>
      <c r="T1119" s="20"/>
      <c r="U1119" s="20"/>
      <c r="V1119" s="20"/>
      <c r="W1119" s="20"/>
      <c r="X1119" s="20"/>
      <c r="Y1119" s="20"/>
      <c r="Z1119" s="20"/>
      <c r="AA1119" s="20"/>
      <c r="AB1119" s="20"/>
      <c r="AC1119" s="20"/>
      <c r="AD1119" s="20"/>
      <c r="AE1119" s="20"/>
      <c r="AF1119" s="20"/>
      <c r="AG1119" s="20"/>
      <c r="AH1119" s="20"/>
      <c r="AI1119" s="20"/>
      <c r="AJ1119" s="20"/>
      <c r="AK1119" s="20"/>
      <c r="AL1119" s="20"/>
      <c r="AM1119" s="20"/>
      <c r="AN1119" s="20"/>
      <c r="AO1119" s="20"/>
      <c r="AP1119" s="20"/>
      <c r="AQ1119" s="20"/>
      <c r="AR1119" s="20"/>
      <c r="AS1119" s="20"/>
      <c r="AT1119" s="20"/>
      <c r="AU1119" s="20"/>
      <c r="AV1119" s="20"/>
      <c r="AW1119" s="20"/>
      <c r="AX1119" s="20"/>
      <c r="AY1119" s="20"/>
      <c r="AZ1119" s="20"/>
      <c r="BA1119" s="20"/>
      <c r="BB1119" s="20"/>
      <c r="BC1119" s="20"/>
      <c r="BD1119" s="20"/>
      <c r="BE1119" s="20"/>
      <c r="BF1119" s="20"/>
      <c r="BG1119" s="20"/>
      <c r="BH1119" s="20"/>
      <c r="BI1119" s="20"/>
      <c r="BJ1119" s="20"/>
      <c r="BK1119" s="20"/>
      <c r="BL1119" s="20"/>
      <c r="BM1119" s="20"/>
      <c r="BN1119" s="20"/>
      <c r="BO1119" s="20"/>
      <c r="BP1119" s="20"/>
    </row>
    <row r="1120" spans="1:68" s="21" customFormat="1" ht="10.15" customHeight="1" x14ac:dyDescent="0.2">
      <c r="A1120" s="249"/>
      <c r="B1120" s="249"/>
      <c r="C1120" s="284"/>
      <c r="D1120" s="243" t="s">
        <v>33</v>
      </c>
      <c r="E1120" s="281"/>
      <c r="F1120" s="257"/>
      <c r="G1120" s="249"/>
      <c r="H1120" s="265">
        <f>SUM(H1117:H1119)</f>
        <v>4959</v>
      </c>
      <c r="I1120" s="302">
        <f>SUM(I1117:I1119)</f>
        <v>1</v>
      </c>
      <c r="J1120" s="249"/>
      <c r="K1120" s="226"/>
      <c r="L1120" s="10"/>
      <c r="M1120" s="10"/>
      <c r="N1120" s="10"/>
      <c r="O1120" s="10"/>
      <c r="P1120" s="10"/>
      <c r="Q1120" s="10"/>
      <c r="R1120" s="20"/>
      <c r="S1120" s="20"/>
      <c r="T1120" s="20"/>
      <c r="U1120" s="20"/>
      <c r="V1120" s="20"/>
      <c r="W1120" s="20"/>
      <c r="X1120" s="20"/>
      <c r="Y1120" s="20"/>
      <c r="Z1120" s="20"/>
      <c r="AA1120" s="20"/>
      <c r="AB1120" s="20"/>
      <c r="AC1120" s="20"/>
      <c r="AD1120" s="20"/>
      <c r="AE1120" s="20"/>
      <c r="AF1120" s="20"/>
      <c r="AG1120" s="20"/>
      <c r="AH1120" s="20"/>
      <c r="AI1120" s="20"/>
      <c r="AJ1120" s="20"/>
      <c r="AK1120" s="20"/>
      <c r="AL1120" s="20"/>
      <c r="AM1120" s="20"/>
      <c r="AN1120" s="20"/>
      <c r="AO1120" s="20"/>
      <c r="AP1120" s="20"/>
      <c r="AQ1120" s="20"/>
      <c r="AR1120" s="20"/>
      <c r="AS1120" s="20"/>
      <c r="AT1120" s="20"/>
      <c r="AU1120" s="20"/>
      <c r="AV1120" s="20"/>
      <c r="AW1120" s="20"/>
      <c r="AX1120" s="20"/>
      <c r="AY1120" s="20"/>
      <c r="AZ1120" s="20"/>
      <c r="BA1120" s="20"/>
      <c r="BB1120" s="20"/>
      <c r="BC1120" s="20"/>
      <c r="BD1120" s="20"/>
      <c r="BE1120" s="20"/>
      <c r="BF1120" s="20"/>
      <c r="BG1120" s="20"/>
      <c r="BH1120" s="20"/>
      <c r="BI1120" s="20"/>
      <c r="BJ1120" s="20"/>
      <c r="BK1120" s="20"/>
      <c r="BL1120" s="20"/>
      <c r="BM1120" s="20"/>
      <c r="BN1120" s="20"/>
      <c r="BO1120" s="20"/>
      <c r="BP1120" s="20"/>
    </row>
    <row r="1121" spans="1:68" s="21" customFormat="1" ht="10.15" customHeight="1" x14ac:dyDescent="0.2">
      <c r="A1121" s="249"/>
      <c r="B1121" s="249"/>
      <c r="C1121" s="284"/>
      <c r="D1121" s="243"/>
      <c r="E1121" s="281"/>
      <c r="F1121" s="257"/>
      <c r="G1121" s="249"/>
      <c r="H1121" s="249"/>
      <c r="I1121" s="323"/>
      <c r="J1121" s="249"/>
      <c r="K1121" s="226"/>
      <c r="L1121" s="10"/>
      <c r="M1121" s="10"/>
      <c r="N1121" s="10"/>
      <c r="O1121" s="10"/>
      <c r="P1121" s="10"/>
      <c r="Q1121" s="10"/>
      <c r="R1121" s="20"/>
      <c r="S1121" s="20"/>
      <c r="T1121" s="20"/>
      <c r="U1121" s="20"/>
      <c r="V1121" s="20"/>
      <c r="W1121" s="20"/>
      <c r="X1121" s="20"/>
      <c r="Y1121" s="20"/>
      <c r="Z1121" s="20"/>
      <c r="AA1121" s="20"/>
      <c r="AB1121" s="20"/>
      <c r="AC1121" s="20"/>
      <c r="AD1121" s="20"/>
      <c r="AE1121" s="20"/>
      <c r="AF1121" s="20"/>
      <c r="AG1121" s="20"/>
      <c r="AH1121" s="20"/>
      <c r="AI1121" s="20"/>
      <c r="AJ1121" s="20"/>
      <c r="AK1121" s="20"/>
      <c r="AL1121" s="20"/>
      <c r="AM1121" s="20"/>
      <c r="AN1121" s="20"/>
      <c r="AO1121" s="20"/>
      <c r="AP1121" s="20"/>
      <c r="AQ1121" s="20"/>
      <c r="AR1121" s="20"/>
      <c r="AS1121" s="20"/>
      <c r="AT1121" s="20"/>
      <c r="AU1121" s="20"/>
      <c r="AV1121" s="20"/>
      <c r="AW1121" s="20"/>
      <c r="AX1121" s="20"/>
      <c r="AY1121" s="20"/>
      <c r="AZ1121" s="20"/>
      <c r="BA1121" s="20"/>
      <c r="BB1121" s="20"/>
      <c r="BC1121" s="20"/>
      <c r="BD1121" s="20"/>
      <c r="BE1121" s="20"/>
      <c r="BF1121" s="20"/>
      <c r="BG1121" s="20"/>
      <c r="BH1121" s="20"/>
      <c r="BI1121" s="20"/>
      <c r="BJ1121" s="20"/>
      <c r="BK1121" s="20"/>
      <c r="BL1121" s="20"/>
      <c r="BM1121" s="20"/>
      <c r="BN1121" s="20"/>
      <c r="BO1121" s="20"/>
      <c r="BP1121" s="20"/>
    </row>
    <row r="1122" spans="1:68" s="21" customFormat="1" ht="10.15" customHeight="1" x14ac:dyDescent="0.2">
      <c r="A1122" s="261" t="s">
        <v>20</v>
      </c>
      <c r="B1122" s="261">
        <v>521</v>
      </c>
      <c r="C1122" s="261" t="s">
        <v>291</v>
      </c>
      <c r="D1122" s="263" t="s">
        <v>577</v>
      </c>
      <c r="E1122" s="281">
        <v>40368</v>
      </c>
      <c r="F1122" s="257">
        <v>19179884</v>
      </c>
      <c r="G1122" s="249">
        <v>74710</v>
      </c>
      <c r="H1122" s="249"/>
      <c r="I1122" s="323"/>
      <c r="J1122" s="249"/>
      <c r="K1122" s="137"/>
      <c r="L1122" s="20"/>
      <c r="M1122" s="20"/>
      <c r="N1122" s="20"/>
      <c r="O1122" s="20"/>
      <c r="P1122" s="20"/>
      <c r="Q1122" s="20"/>
      <c r="R1122" s="20"/>
      <c r="S1122" s="20"/>
      <c r="T1122" s="20"/>
      <c r="U1122" s="20"/>
      <c r="V1122" s="20"/>
      <c r="W1122" s="20"/>
      <c r="X1122" s="20"/>
      <c r="Y1122" s="20"/>
      <c r="Z1122" s="20"/>
      <c r="AA1122" s="20"/>
      <c r="AB1122" s="20"/>
      <c r="AC1122" s="20"/>
      <c r="AD1122" s="20"/>
      <c r="AE1122" s="20"/>
      <c r="AF1122" s="20"/>
      <c r="AG1122" s="20"/>
      <c r="AH1122" s="20"/>
      <c r="AI1122" s="20"/>
      <c r="AJ1122" s="20"/>
      <c r="AK1122" s="20"/>
      <c r="AL1122" s="20"/>
      <c r="AM1122" s="20"/>
      <c r="AN1122" s="20"/>
      <c r="AO1122" s="20"/>
      <c r="AP1122" s="20"/>
      <c r="AQ1122" s="20"/>
      <c r="AR1122" s="20"/>
      <c r="AS1122" s="20"/>
      <c r="AT1122" s="20"/>
      <c r="AU1122" s="20"/>
      <c r="AV1122" s="20"/>
      <c r="AW1122" s="20"/>
      <c r="AX1122" s="20"/>
      <c r="AY1122" s="20"/>
      <c r="AZ1122" s="20"/>
      <c r="BA1122" s="20"/>
      <c r="BB1122" s="20"/>
      <c r="BC1122" s="20"/>
      <c r="BD1122" s="20"/>
      <c r="BE1122" s="20"/>
      <c r="BF1122" s="20"/>
      <c r="BG1122" s="20"/>
      <c r="BH1122" s="20"/>
      <c r="BI1122" s="20"/>
      <c r="BJ1122" s="20"/>
      <c r="BK1122" s="20"/>
      <c r="BL1122" s="20"/>
      <c r="BM1122" s="20"/>
      <c r="BN1122" s="20"/>
      <c r="BO1122" s="20"/>
      <c r="BP1122" s="20"/>
    </row>
    <row r="1123" spans="1:68" s="21" customFormat="1" ht="10.15" customHeight="1" x14ac:dyDescent="0.2">
      <c r="A1123" s="249"/>
      <c r="B1123" s="249"/>
      <c r="C1123" s="284"/>
      <c r="D1123" s="263" t="s">
        <v>293</v>
      </c>
      <c r="E1123" s="281"/>
      <c r="F1123" s="257"/>
      <c r="G1123" s="249"/>
      <c r="H1123" s="249">
        <v>23835</v>
      </c>
      <c r="I1123" s="299">
        <f>H1123/H1125</f>
        <v>0.65860735009671179</v>
      </c>
      <c r="J1123" s="248" t="s">
        <v>109</v>
      </c>
      <c r="K1123" s="137"/>
      <c r="L1123" s="20"/>
      <c r="M1123" s="20"/>
      <c r="N1123" s="20"/>
      <c r="O1123" s="20"/>
      <c r="P1123" s="20"/>
      <c r="Q1123" s="20"/>
      <c r="R1123" s="20"/>
      <c r="S1123" s="20"/>
      <c r="T1123" s="20"/>
      <c r="U1123" s="20"/>
      <c r="V1123" s="20"/>
      <c r="W1123" s="20"/>
      <c r="X1123" s="20"/>
      <c r="Y1123" s="20"/>
      <c r="Z1123" s="20"/>
      <c r="AA1123" s="20"/>
      <c r="AB1123" s="20"/>
      <c r="AC1123" s="20"/>
      <c r="AD1123" s="20"/>
      <c r="AE1123" s="20"/>
      <c r="AF1123" s="20"/>
      <c r="AG1123" s="20"/>
      <c r="AH1123" s="20"/>
      <c r="AI1123" s="20"/>
      <c r="AJ1123" s="20"/>
      <c r="AK1123" s="20"/>
      <c r="AL1123" s="20"/>
      <c r="AM1123" s="20"/>
      <c r="AN1123" s="20"/>
      <c r="AO1123" s="20"/>
      <c r="AP1123" s="20"/>
      <c r="AQ1123" s="20"/>
      <c r="AR1123" s="20"/>
      <c r="AS1123" s="20"/>
      <c r="AT1123" s="20"/>
      <c r="AU1123" s="20"/>
      <c r="AV1123" s="20"/>
      <c r="AW1123" s="20"/>
      <c r="AX1123" s="20"/>
      <c r="AY1123" s="20"/>
      <c r="AZ1123" s="20"/>
      <c r="BA1123" s="20"/>
      <c r="BB1123" s="20"/>
      <c r="BC1123" s="20"/>
      <c r="BD1123" s="20"/>
      <c r="BE1123" s="20"/>
      <c r="BF1123" s="20"/>
      <c r="BG1123" s="20"/>
      <c r="BH1123" s="20"/>
      <c r="BI1123" s="20"/>
      <c r="BJ1123" s="20"/>
      <c r="BK1123" s="20"/>
      <c r="BL1123" s="20"/>
      <c r="BM1123" s="20"/>
      <c r="BN1123" s="20"/>
      <c r="BO1123" s="20"/>
      <c r="BP1123" s="20"/>
    </row>
    <row r="1124" spans="1:68" s="21" customFormat="1" ht="10.15" customHeight="1" x14ac:dyDescent="0.2">
      <c r="A1124" s="249"/>
      <c r="B1124" s="249"/>
      <c r="C1124" s="284"/>
      <c r="D1124" s="263" t="s">
        <v>242</v>
      </c>
      <c r="E1124" s="281"/>
      <c r="F1124" s="257"/>
      <c r="G1124" s="249"/>
      <c r="H1124" s="249">
        <v>12355</v>
      </c>
      <c r="I1124" s="299">
        <f>H1124/H1125</f>
        <v>0.34139264990328821</v>
      </c>
      <c r="J1124" s="248" t="s">
        <v>63</v>
      </c>
      <c r="K1124" s="137"/>
      <c r="L1124" s="20"/>
      <c r="M1124" s="20"/>
      <c r="N1124" s="20"/>
      <c r="O1124" s="20"/>
      <c r="P1124" s="20"/>
      <c r="Q1124" s="20"/>
      <c r="R1124" s="20"/>
      <c r="S1124" s="20"/>
      <c r="T1124" s="20"/>
      <c r="U1124" s="20"/>
      <c r="V1124" s="20"/>
      <c r="W1124" s="20"/>
      <c r="X1124" s="20"/>
      <c r="Y1124" s="20"/>
      <c r="Z1124" s="20"/>
      <c r="AA1124" s="20"/>
      <c r="AB1124" s="20"/>
      <c r="AC1124" s="20"/>
      <c r="AD1124" s="20"/>
      <c r="AE1124" s="20"/>
      <c r="AF1124" s="20"/>
      <c r="AG1124" s="20"/>
      <c r="AH1124" s="20"/>
      <c r="AI1124" s="20"/>
      <c r="AJ1124" s="20"/>
      <c r="AK1124" s="20"/>
      <c r="AL1124" s="20"/>
      <c r="AM1124" s="20"/>
      <c r="AN1124" s="20"/>
      <c r="AO1124" s="20"/>
      <c r="AP1124" s="20"/>
      <c r="AQ1124" s="20"/>
      <c r="AR1124" s="20"/>
      <c r="AS1124" s="20"/>
      <c r="AT1124" s="20"/>
      <c r="AU1124" s="20"/>
      <c r="AV1124" s="20"/>
      <c r="AW1124" s="20"/>
      <c r="AX1124" s="20"/>
      <c r="AY1124" s="20"/>
      <c r="AZ1124" s="20"/>
      <c r="BA1124" s="20"/>
      <c r="BB1124" s="20"/>
      <c r="BC1124" s="20"/>
      <c r="BD1124" s="20"/>
      <c r="BE1124" s="20"/>
      <c r="BF1124" s="20"/>
      <c r="BG1124" s="20"/>
      <c r="BH1124" s="20"/>
      <c r="BI1124" s="20"/>
      <c r="BJ1124" s="20"/>
      <c r="BK1124" s="20"/>
      <c r="BL1124" s="20"/>
      <c r="BM1124" s="20"/>
      <c r="BN1124" s="20"/>
      <c r="BO1124" s="20"/>
      <c r="BP1124" s="20"/>
    </row>
    <row r="1125" spans="1:68" s="21" customFormat="1" ht="10.15" customHeight="1" x14ac:dyDescent="0.2">
      <c r="A1125" s="249"/>
      <c r="B1125" s="249"/>
      <c r="C1125" s="284"/>
      <c r="D1125" s="243" t="s">
        <v>33</v>
      </c>
      <c r="E1125" s="281"/>
      <c r="F1125" s="257"/>
      <c r="G1125" s="249"/>
      <c r="H1125" s="265">
        <f>SUM(H1123:H1124)</f>
        <v>36190</v>
      </c>
      <c r="I1125" s="298">
        <f>SUM(I1123:I1124)</f>
        <v>1</v>
      </c>
      <c r="J1125" s="249"/>
      <c r="K1125" s="137"/>
      <c r="L1125" s="20"/>
      <c r="M1125" s="20"/>
      <c r="N1125" s="20"/>
      <c r="O1125" s="20"/>
      <c r="P1125" s="20"/>
      <c r="Q1125" s="20"/>
      <c r="R1125" s="20"/>
      <c r="S1125" s="20"/>
      <c r="T1125" s="20"/>
      <c r="U1125" s="20"/>
      <c r="V1125" s="20"/>
      <c r="W1125" s="20"/>
      <c r="X1125" s="20"/>
      <c r="Y1125" s="20"/>
      <c r="Z1125" s="20"/>
      <c r="AA1125" s="20"/>
      <c r="AB1125" s="20"/>
      <c r="AC1125" s="20"/>
      <c r="AD1125" s="20"/>
      <c r="AE1125" s="20"/>
      <c r="AF1125" s="20"/>
      <c r="AG1125" s="20"/>
      <c r="AH1125" s="20"/>
      <c r="AI1125" s="20"/>
      <c r="AJ1125" s="20"/>
      <c r="AK1125" s="20"/>
      <c r="AL1125" s="20"/>
      <c r="AM1125" s="20"/>
      <c r="AN1125" s="20"/>
      <c r="AO1125" s="20"/>
      <c r="AP1125" s="20"/>
      <c r="AQ1125" s="20"/>
      <c r="AR1125" s="20"/>
      <c r="AS1125" s="20"/>
      <c r="AT1125" s="20"/>
      <c r="AU1125" s="20"/>
      <c r="AV1125" s="20"/>
      <c r="AW1125" s="20"/>
      <c r="AX1125" s="20"/>
      <c r="AY1125" s="20"/>
      <c r="AZ1125" s="20"/>
      <c r="BA1125" s="20"/>
      <c r="BB1125" s="20"/>
      <c r="BC1125" s="20"/>
      <c r="BD1125" s="20"/>
      <c r="BE1125" s="20"/>
      <c r="BF1125" s="20"/>
      <c r="BG1125" s="20"/>
      <c r="BH1125" s="20"/>
      <c r="BI1125" s="20"/>
      <c r="BJ1125" s="20"/>
      <c r="BK1125" s="20"/>
      <c r="BL1125" s="20"/>
      <c r="BM1125" s="20"/>
      <c r="BN1125" s="20"/>
      <c r="BO1125" s="20"/>
      <c r="BP1125" s="20"/>
    </row>
    <row r="1126" spans="1:68" s="21" customFormat="1" ht="10.15" customHeight="1" x14ac:dyDescent="0.2">
      <c r="A1126" s="249"/>
      <c r="B1126" s="249"/>
      <c r="C1126" s="284"/>
      <c r="D1126" s="243"/>
      <c r="E1126" s="281"/>
      <c r="F1126" s="257"/>
      <c r="G1126" s="249"/>
      <c r="H1126" s="249"/>
      <c r="I1126" s="323"/>
      <c r="J1126" s="249"/>
      <c r="K1126" s="137"/>
      <c r="L1126" s="20"/>
      <c r="M1126" s="20"/>
      <c r="N1126" s="20"/>
      <c r="O1126" s="20"/>
      <c r="P1126" s="20"/>
      <c r="Q1126" s="20"/>
      <c r="R1126" s="20"/>
      <c r="S1126" s="20"/>
      <c r="T1126" s="20"/>
      <c r="U1126" s="20"/>
      <c r="V1126" s="20"/>
      <c r="W1126" s="20"/>
      <c r="X1126" s="20"/>
      <c r="Y1126" s="20"/>
      <c r="Z1126" s="20"/>
      <c r="AA1126" s="20"/>
      <c r="AB1126" s="20"/>
      <c r="AC1126" s="20"/>
      <c r="AD1126" s="20"/>
      <c r="AE1126" s="20"/>
      <c r="AF1126" s="20"/>
      <c r="AG1126" s="20"/>
      <c r="AH1126" s="20"/>
      <c r="AI1126" s="20"/>
      <c r="AJ1126" s="20"/>
      <c r="AK1126" s="20"/>
      <c r="AL1126" s="20"/>
      <c r="AM1126" s="20"/>
      <c r="AN1126" s="20"/>
      <c r="AO1126" s="20"/>
      <c r="AP1126" s="20"/>
      <c r="AQ1126" s="20"/>
      <c r="AR1126" s="20"/>
      <c r="AS1126" s="20"/>
      <c r="AT1126" s="20"/>
      <c r="AU1126" s="20"/>
      <c r="AV1126" s="20"/>
      <c r="AW1126" s="20"/>
      <c r="AX1126" s="20"/>
      <c r="AY1126" s="20"/>
      <c r="AZ1126" s="20"/>
      <c r="BA1126" s="20"/>
      <c r="BB1126" s="20"/>
      <c r="BC1126" s="20"/>
      <c r="BD1126" s="20"/>
      <c r="BE1126" s="20"/>
      <c r="BF1126" s="20"/>
      <c r="BG1126" s="20"/>
      <c r="BH1126" s="20"/>
      <c r="BI1126" s="20"/>
      <c r="BJ1126" s="20"/>
      <c r="BK1126" s="20"/>
      <c r="BL1126" s="20"/>
      <c r="BM1126" s="20"/>
      <c r="BN1126" s="20"/>
      <c r="BO1126" s="20"/>
      <c r="BP1126" s="20"/>
    </row>
    <row r="1127" spans="1:68" s="21" customFormat="1" ht="10.15" customHeight="1" x14ac:dyDescent="0.2">
      <c r="A1127" s="249"/>
      <c r="B1127" s="249"/>
      <c r="C1127" s="284"/>
      <c r="D1127" s="243"/>
      <c r="E1127" s="281"/>
      <c r="F1127" s="257"/>
      <c r="G1127" s="249"/>
      <c r="H1127" s="249"/>
      <c r="I1127" s="323"/>
      <c r="J1127" s="249"/>
      <c r="K1127" s="137"/>
      <c r="L1127" s="20"/>
      <c r="M1127" s="20"/>
      <c r="N1127" s="20"/>
      <c r="O1127" s="20"/>
      <c r="P1127" s="20"/>
      <c r="Q1127" s="20"/>
      <c r="R1127" s="20"/>
      <c r="S1127" s="20"/>
      <c r="T1127" s="20"/>
      <c r="U1127" s="20"/>
      <c r="V1127" s="20"/>
      <c r="W1127" s="20"/>
      <c r="X1127" s="20"/>
      <c r="Y1127" s="20"/>
      <c r="Z1127" s="20"/>
      <c r="AA1127" s="20"/>
      <c r="AB1127" s="20"/>
      <c r="AC1127" s="20"/>
      <c r="AD1127" s="20"/>
      <c r="AE1127" s="20"/>
      <c r="AF1127" s="20"/>
      <c r="AG1127" s="20"/>
      <c r="AH1127" s="20"/>
      <c r="AI1127" s="20"/>
      <c r="AJ1127" s="20"/>
      <c r="AK1127" s="20"/>
      <c r="AL1127" s="20"/>
      <c r="AM1127" s="20"/>
      <c r="AN1127" s="20"/>
      <c r="AO1127" s="20"/>
      <c r="AP1127" s="20"/>
      <c r="AQ1127" s="20"/>
      <c r="AR1127" s="20"/>
      <c r="AS1127" s="20"/>
      <c r="AT1127" s="20"/>
      <c r="AU1127" s="20"/>
      <c r="AV1127" s="20"/>
      <c r="AW1127" s="20"/>
      <c r="AX1127" s="20"/>
      <c r="AY1127" s="20"/>
      <c r="AZ1127" s="20"/>
      <c r="BA1127" s="20"/>
      <c r="BB1127" s="20"/>
      <c r="BC1127" s="20"/>
      <c r="BD1127" s="20"/>
      <c r="BE1127" s="20"/>
      <c r="BF1127" s="20"/>
      <c r="BG1127" s="20"/>
      <c r="BH1127" s="20"/>
      <c r="BI1127" s="20"/>
      <c r="BJ1127" s="20"/>
      <c r="BK1127" s="20"/>
      <c r="BL1127" s="20"/>
      <c r="BM1127" s="20"/>
      <c r="BN1127" s="20"/>
      <c r="BO1127" s="20"/>
      <c r="BP1127" s="20"/>
    </row>
    <row r="1128" spans="1:68" s="21" customFormat="1" ht="10.15" customHeight="1" x14ac:dyDescent="0.2">
      <c r="A1128" s="261" t="s">
        <v>20</v>
      </c>
      <c r="B1128" s="261">
        <v>528</v>
      </c>
      <c r="C1128" s="261" t="s">
        <v>291</v>
      </c>
      <c r="D1128" s="263" t="s">
        <v>578</v>
      </c>
      <c r="E1128" s="281">
        <v>40277</v>
      </c>
      <c r="F1128" s="257">
        <v>19179884</v>
      </c>
      <c r="G1128" s="249">
        <v>77380</v>
      </c>
      <c r="H1128" s="249"/>
      <c r="I1128" s="323"/>
      <c r="J1128" s="249"/>
      <c r="K1128" s="137"/>
      <c r="L1128" s="20"/>
      <c r="M1128" s="20"/>
      <c r="N1128" s="20"/>
      <c r="O1128" s="20"/>
      <c r="P1128" s="20"/>
      <c r="Q1128" s="20"/>
      <c r="R1128" s="20"/>
      <c r="S1128" s="20"/>
      <c r="T1128" s="20"/>
      <c r="U1128" s="20"/>
      <c r="V1128" s="20"/>
      <c r="W1128" s="20"/>
      <c r="X1128" s="20"/>
      <c r="Y1128" s="20"/>
      <c r="Z1128" s="20"/>
      <c r="AA1128" s="20"/>
      <c r="AB1128" s="20"/>
      <c r="AC1128" s="20"/>
      <c r="AD1128" s="20"/>
      <c r="AE1128" s="20"/>
      <c r="AF1128" s="20"/>
      <c r="AG1128" s="20"/>
      <c r="AH1128" s="20"/>
      <c r="AI1128" s="20"/>
      <c r="AJ1128" s="20"/>
      <c r="AK1128" s="20"/>
      <c r="AL1128" s="20"/>
      <c r="AM1128" s="20"/>
      <c r="AN1128" s="20"/>
      <c r="AO1128" s="20"/>
      <c r="AP1128" s="20"/>
      <c r="AQ1128" s="20"/>
      <c r="AR1128" s="20"/>
      <c r="AS1128" s="20"/>
      <c r="AT1128" s="20"/>
      <c r="AU1128" s="20"/>
      <c r="AV1128" s="20"/>
      <c r="AW1128" s="20"/>
      <c r="AX1128" s="20"/>
      <c r="AY1128" s="20"/>
      <c r="AZ1128" s="20"/>
      <c r="BA1128" s="20"/>
      <c r="BB1128" s="20"/>
      <c r="BC1128" s="20"/>
      <c r="BD1128" s="20"/>
      <c r="BE1128" s="20"/>
      <c r="BF1128" s="20"/>
      <c r="BG1128" s="20"/>
      <c r="BH1128" s="20"/>
      <c r="BI1128" s="20"/>
      <c r="BJ1128" s="20"/>
      <c r="BK1128" s="20"/>
      <c r="BL1128" s="20"/>
      <c r="BM1128" s="20"/>
      <c r="BN1128" s="20"/>
      <c r="BO1128" s="20"/>
      <c r="BP1128" s="20"/>
    </row>
    <row r="1129" spans="1:68" s="21" customFormat="1" ht="10.15" customHeight="1" x14ac:dyDescent="0.2">
      <c r="A1129" s="249"/>
      <c r="B1129" s="249"/>
      <c r="C1129" s="284"/>
      <c r="D1129" s="263" t="s">
        <v>292</v>
      </c>
      <c r="E1129" s="281"/>
      <c r="F1129" s="257"/>
      <c r="G1129" s="249"/>
      <c r="H1129" s="249">
        <v>16807</v>
      </c>
      <c r="I1129" s="299">
        <f>H1129/H1132</f>
        <v>0.39940589353612166</v>
      </c>
      <c r="J1129" s="248" t="s">
        <v>108</v>
      </c>
      <c r="K1129" s="137"/>
      <c r="L1129" s="20"/>
      <c r="M1129" s="20"/>
      <c r="N1129" s="20"/>
      <c r="O1129" s="20"/>
      <c r="P1129" s="20"/>
      <c r="Q1129" s="20"/>
      <c r="R1129" s="20"/>
      <c r="S1129" s="20"/>
      <c r="T1129" s="20"/>
      <c r="U1129" s="20"/>
      <c r="V1129" s="20"/>
      <c r="W1129" s="20"/>
      <c r="X1129" s="20"/>
      <c r="Y1129" s="20"/>
      <c r="Z1129" s="20"/>
      <c r="AA1129" s="20"/>
      <c r="AB1129" s="20"/>
      <c r="AC1129" s="20"/>
      <c r="AD1129" s="20"/>
      <c r="AE1129" s="20"/>
      <c r="AF1129" s="20"/>
      <c r="AG1129" s="20"/>
      <c r="AH1129" s="20"/>
      <c r="AI1129" s="20"/>
      <c r="AJ1129" s="20"/>
      <c r="AK1129" s="20"/>
      <c r="AL1129" s="20"/>
      <c r="AM1129" s="20"/>
      <c r="AN1129" s="20"/>
      <c r="AO1129" s="20"/>
      <c r="AP1129" s="20"/>
      <c r="AQ1129" s="20"/>
      <c r="AR1129" s="20"/>
      <c r="AS1129" s="20"/>
      <c r="AT1129" s="20"/>
      <c r="AU1129" s="20"/>
      <c r="AV1129" s="20"/>
      <c r="AW1129" s="20"/>
      <c r="AX1129" s="20"/>
      <c r="AY1129" s="20"/>
      <c r="AZ1129" s="20"/>
      <c r="BA1129" s="20"/>
      <c r="BB1129" s="20"/>
      <c r="BC1129" s="20"/>
      <c r="BD1129" s="20"/>
      <c r="BE1129" s="20"/>
      <c r="BF1129" s="20"/>
      <c r="BG1129" s="20"/>
      <c r="BH1129" s="20"/>
      <c r="BI1129" s="20"/>
      <c r="BJ1129" s="20"/>
      <c r="BK1129" s="20"/>
      <c r="BL1129" s="20"/>
      <c r="BM1129" s="20"/>
      <c r="BN1129" s="20"/>
      <c r="BO1129" s="20"/>
      <c r="BP1129" s="20"/>
    </row>
    <row r="1130" spans="1:68" s="21" customFormat="1" ht="10.15" customHeight="1" x14ac:dyDescent="0.2">
      <c r="A1130" s="249"/>
      <c r="B1130" s="249"/>
      <c r="C1130" s="284"/>
      <c r="D1130" s="263" t="s">
        <v>264</v>
      </c>
      <c r="E1130" s="281"/>
      <c r="F1130" s="257"/>
      <c r="G1130" s="249"/>
      <c r="H1130" s="249">
        <v>14061</v>
      </c>
      <c r="I1130" s="299">
        <f>H1130/H1132</f>
        <v>0.33414923954372622</v>
      </c>
      <c r="J1130" s="248" t="s">
        <v>75</v>
      </c>
      <c r="K1130" s="137"/>
      <c r="L1130" s="20"/>
      <c r="M1130" s="20"/>
      <c r="N1130" s="20"/>
      <c r="O1130" s="20"/>
      <c r="P1130" s="20"/>
      <c r="Q1130" s="20"/>
      <c r="R1130" s="20"/>
      <c r="S1130" s="20"/>
      <c r="T1130" s="20"/>
      <c r="U1130" s="20"/>
      <c r="V1130" s="20"/>
      <c r="W1130" s="20"/>
      <c r="X1130" s="20"/>
      <c r="Y1130" s="20"/>
      <c r="Z1130" s="20"/>
      <c r="AA1130" s="20"/>
      <c r="AB1130" s="20"/>
      <c r="AC1130" s="20"/>
      <c r="AD1130" s="20"/>
      <c r="AE1130" s="20"/>
      <c r="AF1130" s="20"/>
      <c r="AG1130" s="20"/>
      <c r="AH1130" s="20"/>
      <c r="AI1130" s="20"/>
      <c r="AJ1130" s="20"/>
      <c r="AK1130" s="20"/>
      <c r="AL1130" s="20"/>
      <c r="AM1130" s="20"/>
      <c r="AN1130" s="20"/>
      <c r="AO1130" s="20"/>
      <c r="AP1130" s="20"/>
      <c r="AQ1130" s="20"/>
      <c r="AR1130" s="20"/>
      <c r="AS1130" s="20"/>
      <c r="AT1130" s="20"/>
      <c r="AU1130" s="20"/>
      <c r="AV1130" s="20"/>
      <c r="AW1130" s="20"/>
      <c r="AX1130" s="20"/>
      <c r="AY1130" s="20"/>
      <c r="AZ1130" s="20"/>
      <c r="BA1130" s="20"/>
      <c r="BB1130" s="20"/>
      <c r="BC1130" s="20"/>
      <c r="BD1130" s="20"/>
      <c r="BE1130" s="20"/>
      <c r="BF1130" s="20"/>
      <c r="BG1130" s="20"/>
      <c r="BH1130" s="20"/>
      <c r="BI1130" s="20"/>
      <c r="BJ1130" s="20"/>
      <c r="BK1130" s="20"/>
      <c r="BL1130" s="20"/>
      <c r="BM1130" s="20"/>
      <c r="BN1130" s="20"/>
      <c r="BO1130" s="20"/>
      <c r="BP1130" s="20"/>
    </row>
    <row r="1131" spans="1:68" ht="10.15" customHeight="1" x14ac:dyDescent="0.2">
      <c r="A1131" s="249"/>
      <c r="B1131" s="249"/>
      <c r="C1131" s="284"/>
      <c r="D1131" s="263" t="s">
        <v>242</v>
      </c>
      <c r="E1131" s="281"/>
      <c r="F1131" s="257"/>
      <c r="G1131" s="249"/>
      <c r="H1131" s="249">
        <v>11212</v>
      </c>
      <c r="I1131" s="299">
        <f>H1131/H1132</f>
        <v>0.26644486692015207</v>
      </c>
      <c r="J1131" s="248" t="s">
        <v>63</v>
      </c>
      <c r="K1131" s="137"/>
      <c r="L1131" s="20"/>
      <c r="M1131" s="20"/>
      <c r="N1131" s="20"/>
      <c r="O1131" s="20"/>
      <c r="P1131" s="20"/>
      <c r="Q1131" s="20"/>
    </row>
    <row r="1132" spans="1:68" ht="12.75" x14ac:dyDescent="0.2">
      <c r="A1132" s="249"/>
      <c r="B1132" s="249"/>
      <c r="C1132" s="284"/>
      <c r="D1132" s="243" t="s">
        <v>33</v>
      </c>
      <c r="E1132" s="281"/>
      <c r="F1132" s="257"/>
      <c r="G1132" s="249"/>
      <c r="H1132" s="265">
        <f>SUM(H1129:H1131)</f>
        <v>42080</v>
      </c>
      <c r="I1132" s="298">
        <f>SUM(I1129:I1131)</f>
        <v>1</v>
      </c>
      <c r="J1132" s="249"/>
      <c r="K1132" s="137"/>
      <c r="L1132" s="20"/>
      <c r="M1132" s="20"/>
      <c r="N1132" s="20"/>
      <c r="O1132" s="20"/>
      <c r="P1132" s="20"/>
      <c r="Q1132" s="20"/>
    </row>
    <row r="1133" spans="1:68" ht="10.15" customHeight="1" x14ac:dyDescent="0.2">
      <c r="A1133" s="249"/>
      <c r="B1133" s="249"/>
      <c r="C1133" s="284"/>
      <c r="D1133" s="243"/>
      <c r="E1133" s="281"/>
      <c r="F1133" s="257"/>
      <c r="G1133" s="249"/>
      <c r="H1133" s="249"/>
      <c r="I1133" s="323"/>
      <c r="J1133" s="249"/>
      <c r="K1133" s="137"/>
      <c r="L1133" s="20"/>
      <c r="M1133" s="20"/>
      <c r="N1133" s="20"/>
      <c r="O1133" s="20"/>
      <c r="P1133" s="20"/>
      <c r="Q1133" s="20"/>
    </row>
    <row r="1134" spans="1:68" ht="10.15" customHeight="1" x14ac:dyDescent="0.2">
      <c r="A1134" s="261" t="s">
        <v>20</v>
      </c>
      <c r="B1134" s="261">
        <v>536</v>
      </c>
      <c r="C1134" s="261" t="s">
        <v>291</v>
      </c>
      <c r="D1134" s="263" t="s">
        <v>579</v>
      </c>
      <c r="E1134" s="281">
        <v>39904</v>
      </c>
      <c r="F1134" s="257">
        <v>15691296</v>
      </c>
      <c r="G1134" s="249">
        <v>117442</v>
      </c>
      <c r="H1134" s="249"/>
      <c r="I1134" s="323"/>
      <c r="J1134" s="249"/>
      <c r="K1134" s="137"/>
      <c r="L1134" s="20"/>
      <c r="M1134" s="20"/>
      <c r="N1134" s="20"/>
      <c r="O1134" s="20"/>
      <c r="P1134" s="20"/>
      <c r="Q1134" s="20"/>
    </row>
    <row r="1135" spans="1:68" ht="10.15" customHeight="1" x14ac:dyDescent="0.2">
      <c r="A1135" s="249"/>
      <c r="B1135" s="249"/>
      <c r="C1135" s="284"/>
      <c r="D1135" s="263" t="s">
        <v>263</v>
      </c>
      <c r="E1135" s="281"/>
      <c r="F1135" s="257"/>
      <c r="G1135" s="249"/>
      <c r="H1135" s="249">
        <v>1865</v>
      </c>
      <c r="I1135" s="299">
        <f>H1135/$H$1140</f>
        <v>2.6391384946297423E-2</v>
      </c>
      <c r="J1135" s="249"/>
      <c r="K1135" s="137"/>
      <c r="L1135" s="20"/>
      <c r="M1135" s="20"/>
      <c r="N1135" s="20"/>
      <c r="O1135" s="20"/>
      <c r="P1135" s="20"/>
      <c r="Q1135" s="20"/>
    </row>
    <row r="1136" spans="1:68" ht="10.15" customHeight="1" x14ac:dyDescent="0.2">
      <c r="A1136" s="249"/>
      <c r="B1136" s="249"/>
      <c r="C1136" s="284"/>
      <c r="D1136" s="263" t="s">
        <v>293</v>
      </c>
      <c r="E1136" s="281"/>
      <c r="F1136" s="257"/>
      <c r="G1136" s="249"/>
      <c r="H1136" s="249">
        <v>13498</v>
      </c>
      <c r="I1136" s="299">
        <f>H1136/$H$1140</f>
        <v>0.19100853297861803</v>
      </c>
      <c r="J1136" s="249"/>
      <c r="K1136" s="137"/>
      <c r="L1136" s="20"/>
      <c r="M1136" s="20"/>
      <c r="N1136" s="20"/>
      <c r="O1136" s="20"/>
      <c r="P1136" s="20"/>
      <c r="Q1136" s="20"/>
    </row>
    <row r="1137" spans="1:17" ht="10.15" customHeight="1" x14ac:dyDescent="0.2">
      <c r="A1137" s="249"/>
      <c r="B1137" s="249"/>
      <c r="C1137" s="284"/>
      <c r="D1137" s="263" t="s">
        <v>244</v>
      </c>
      <c r="E1137" s="281"/>
      <c r="F1137" s="257"/>
      <c r="G1137" s="249"/>
      <c r="H1137" s="249">
        <v>3209</v>
      </c>
      <c r="I1137" s="299">
        <f>H1137/$H$1140</f>
        <v>4.541016315960774E-2</v>
      </c>
      <c r="J1137" s="249"/>
      <c r="K1137" s="137"/>
      <c r="L1137" s="20"/>
      <c r="M1137" s="20"/>
      <c r="N1137" s="20"/>
      <c r="O1137" s="20"/>
      <c r="P1137" s="20"/>
      <c r="Q1137" s="20"/>
    </row>
    <row r="1138" spans="1:17" ht="10.15" customHeight="1" x14ac:dyDescent="0.2">
      <c r="A1138" s="249"/>
      <c r="B1138" s="249"/>
      <c r="C1138" s="284"/>
      <c r="D1138" s="263" t="s">
        <v>242</v>
      </c>
      <c r="E1138" s="281"/>
      <c r="F1138" s="257"/>
      <c r="G1138" s="249"/>
      <c r="H1138" s="249">
        <v>47004</v>
      </c>
      <c r="I1138" s="299">
        <f>H1138/$H$1140</f>
        <v>0.66514780590657596</v>
      </c>
      <c r="J1138" s="248" t="s">
        <v>63</v>
      </c>
      <c r="K1138" s="137"/>
      <c r="L1138" s="20"/>
      <c r="M1138" s="20"/>
      <c r="N1138" s="20"/>
      <c r="O1138" s="20"/>
      <c r="P1138" s="20"/>
      <c r="Q1138" s="20"/>
    </row>
    <row r="1139" spans="1:17" ht="10.15" customHeight="1" x14ac:dyDescent="0.2">
      <c r="A1139" s="249"/>
      <c r="B1139" s="249"/>
      <c r="C1139" s="284"/>
      <c r="D1139" s="263" t="s">
        <v>294</v>
      </c>
      <c r="E1139" s="281"/>
      <c r="F1139" s="257"/>
      <c r="G1139" s="249"/>
      <c r="H1139" s="249">
        <v>5091</v>
      </c>
      <c r="I1139" s="299">
        <f>H1139/$H$1140</f>
        <v>7.2042113008900899E-2</v>
      </c>
      <c r="J1139" s="249"/>
      <c r="K1139" s="137"/>
      <c r="L1139" s="20"/>
      <c r="M1139" s="20"/>
      <c r="N1139" s="20"/>
      <c r="O1139" s="20"/>
      <c r="P1139" s="20"/>
      <c r="Q1139" s="20"/>
    </row>
    <row r="1140" spans="1:17" s="10" customFormat="1" ht="10.15" customHeight="1" x14ac:dyDescent="0.2">
      <c r="A1140" s="249"/>
      <c r="B1140" s="249"/>
      <c r="C1140" s="284"/>
      <c r="D1140" s="243" t="s">
        <v>33</v>
      </c>
      <c r="E1140" s="281"/>
      <c r="F1140" s="257"/>
      <c r="G1140" s="249"/>
      <c r="H1140" s="265">
        <f>SUM(H1135:H1139)</f>
        <v>70667</v>
      </c>
      <c r="I1140" s="298">
        <f>SUM(I1135:I1139)</f>
        <v>1</v>
      </c>
      <c r="J1140" s="249"/>
      <c r="K1140" s="137"/>
      <c r="L1140" s="20"/>
      <c r="M1140" s="20"/>
      <c r="N1140" s="20"/>
      <c r="O1140" s="20"/>
      <c r="P1140" s="20"/>
      <c r="Q1140" s="20"/>
    </row>
    <row r="1141" spans="1:17" ht="12.75" customHeight="1" x14ac:dyDescent="0.2">
      <c r="A1141" s="249"/>
      <c r="B1141" s="249"/>
      <c r="C1141" s="284"/>
      <c r="D1141" s="244"/>
      <c r="E1141" s="281"/>
      <c r="F1141" s="257"/>
      <c r="G1141" s="249"/>
      <c r="H1141" s="249"/>
      <c r="I1141" s="262"/>
      <c r="J1141" s="249"/>
      <c r="K1141" s="226"/>
    </row>
    <row r="1142" spans="1:17" ht="10.15" customHeight="1" x14ac:dyDescent="0.2">
      <c r="A1142" s="261" t="s">
        <v>20</v>
      </c>
      <c r="B1142" s="261">
        <v>536</v>
      </c>
      <c r="C1142" s="261" t="s">
        <v>291</v>
      </c>
      <c r="D1142" s="244" t="s">
        <v>628</v>
      </c>
      <c r="E1142" s="281">
        <v>40299</v>
      </c>
      <c r="F1142" s="257">
        <v>3509721</v>
      </c>
      <c r="G1142" s="249">
        <v>16726</v>
      </c>
      <c r="H1142" s="249"/>
      <c r="I1142" s="262"/>
      <c r="J1142" s="249"/>
      <c r="K1142" s="226"/>
    </row>
    <row r="1143" spans="1:17" ht="10.15" customHeight="1" x14ac:dyDescent="0.2">
      <c r="A1143" s="249"/>
      <c r="B1143" s="249"/>
      <c r="C1143" s="284"/>
      <c r="D1143" s="244" t="s">
        <v>263</v>
      </c>
      <c r="E1143" s="281"/>
      <c r="F1143" s="257"/>
      <c r="G1143" s="249"/>
      <c r="H1143" s="249">
        <v>160</v>
      </c>
      <c r="I1143" s="262">
        <f>H1143/$H$1148</f>
        <v>1.015228426395939E-2</v>
      </c>
      <c r="J1143" s="249"/>
      <c r="K1143" s="226"/>
    </row>
    <row r="1144" spans="1:17" ht="10.15" customHeight="1" x14ac:dyDescent="0.2">
      <c r="A1144" s="249"/>
      <c r="B1144" s="249"/>
      <c r="C1144" s="284"/>
      <c r="D1144" s="244" t="s">
        <v>240</v>
      </c>
      <c r="E1144" s="281"/>
      <c r="F1144" s="257"/>
      <c r="G1144" s="249"/>
      <c r="H1144" s="249">
        <v>4242</v>
      </c>
      <c r="I1144" s="262">
        <f>H1144/$H$1148</f>
        <v>0.26916243654822336</v>
      </c>
      <c r="J1144" s="248" t="s">
        <v>16</v>
      </c>
      <c r="K1144" s="226"/>
    </row>
    <row r="1145" spans="1:17" ht="10.15" customHeight="1" x14ac:dyDescent="0.2">
      <c r="A1145" s="249"/>
      <c r="B1145" s="249"/>
      <c r="C1145" s="284"/>
      <c r="D1145" s="244" t="s">
        <v>244</v>
      </c>
      <c r="E1145" s="281"/>
      <c r="F1145" s="257"/>
      <c r="G1145" s="249"/>
      <c r="H1145" s="249">
        <v>2938</v>
      </c>
      <c r="I1145" s="262">
        <f>H1145/$H$1148</f>
        <v>0.18642131979695431</v>
      </c>
      <c r="J1145" s="248"/>
      <c r="K1145" s="226"/>
    </row>
    <row r="1146" spans="1:17" ht="10.15" customHeight="1" x14ac:dyDescent="0.2">
      <c r="A1146" s="249"/>
      <c r="B1146" s="249"/>
      <c r="C1146" s="284"/>
      <c r="D1146" s="244" t="s">
        <v>290</v>
      </c>
      <c r="E1146" s="281"/>
      <c r="F1146" s="257"/>
      <c r="G1146" s="249"/>
      <c r="H1146" s="249">
        <v>2796</v>
      </c>
      <c r="I1146" s="262">
        <f>H1146/$H$1148</f>
        <v>0.17741116751269034</v>
      </c>
      <c r="J1146" s="248"/>
      <c r="K1146" s="226"/>
    </row>
    <row r="1147" spans="1:17" ht="10.15" customHeight="1" x14ac:dyDescent="0.2">
      <c r="A1147" s="249"/>
      <c r="B1147" s="249"/>
      <c r="C1147" s="284"/>
      <c r="D1147" s="244" t="s">
        <v>294</v>
      </c>
      <c r="E1147" s="281"/>
      <c r="F1147" s="257"/>
      <c r="G1147" s="249"/>
      <c r="H1147" s="249">
        <v>5624</v>
      </c>
      <c r="I1147" s="262">
        <f>H1147/$H$1148</f>
        <v>0.35685279187817259</v>
      </c>
      <c r="J1147" s="248" t="s">
        <v>629</v>
      </c>
      <c r="K1147" s="226"/>
    </row>
    <row r="1148" spans="1:17" ht="10.15" customHeight="1" x14ac:dyDescent="0.2">
      <c r="A1148" s="249"/>
      <c r="B1148" s="249"/>
      <c r="C1148" s="284"/>
      <c r="D1148" s="243" t="s">
        <v>33</v>
      </c>
      <c r="E1148" s="281"/>
      <c r="F1148" s="257"/>
      <c r="G1148" s="249"/>
      <c r="H1148" s="282">
        <f>SUM(H1143:H1147)</f>
        <v>15760</v>
      </c>
      <c r="I1148" s="283">
        <f>SUM(I1143:I1147)</f>
        <v>1</v>
      </c>
      <c r="J1148" s="249"/>
      <c r="K1148" s="226"/>
    </row>
    <row r="1149" spans="1:17" ht="10.15" customHeight="1" x14ac:dyDescent="0.2">
      <c r="A1149" s="249"/>
      <c r="B1149" s="249"/>
      <c r="C1149" s="284"/>
      <c r="D1149" s="243"/>
      <c r="E1149" s="281"/>
      <c r="F1149" s="257"/>
      <c r="G1149" s="249"/>
      <c r="H1149" s="249"/>
      <c r="I1149" s="262"/>
      <c r="J1149" s="249"/>
      <c r="K1149" s="226"/>
    </row>
    <row r="1150" spans="1:17" ht="10.15" customHeight="1" x14ac:dyDescent="0.2">
      <c r="A1150" s="261" t="s">
        <v>20</v>
      </c>
      <c r="B1150" s="249"/>
      <c r="C1150" s="261" t="s">
        <v>513</v>
      </c>
      <c r="D1150" s="244" t="s">
        <v>657</v>
      </c>
      <c r="E1150" s="281">
        <v>40969</v>
      </c>
      <c r="F1150" s="257">
        <v>19369407</v>
      </c>
      <c r="G1150" s="249">
        <v>79998</v>
      </c>
      <c r="H1150" s="249"/>
      <c r="I1150" s="262"/>
      <c r="J1150" s="249"/>
      <c r="K1150" s="226"/>
    </row>
    <row r="1151" spans="1:17" ht="10.15" customHeight="1" x14ac:dyDescent="0.2">
      <c r="A1151" s="249"/>
      <c r="B1151" s="249"/>
      <c r="C1151" s="284"/>
      <c r="D1151" s="263" t="s">
        <v>597</v>
      </c>
      <c r="E1151" s="281"/>
      <c r="F1151" s="257"/>
      <c r="G1151" s="249"/>
      <c r="H1151" s="249">
        <v>22749</v>
      </c>
      <c r="I1151" s="262">
        <f>(H1151/$H$1162)</f>
        <v>0.33045714036693252</v>
      </c>
      <c r="J1151" s="248" t="s">
        <v>16</v>
      </c>
      <c r="K1151" s="226"/>
    </row>
    <row r="1152" spans="1:17" ht="10.15" customHeight="1" x14ac:dyDescent="0.2">
      <c r="A1152" s="249"/>
      <c r="B1152" s="249"/>
      <c r="C1152" s="284"/>
      <c r="D1152" s="263" t="s">
        <v>646</v>
      </c>
      <c r="E1152" s="281"/>
      <c r="F1152" s="257"/>
      <c r="G1152" s="249"/>
      <c r="H1152" s="249">
        <v>2769</v>
      </c>
      <c r="I1152" s="262">
        <f t="shared" ref="I1152:I1161" si="26">(H1152/$H$1162)</f>
        <v>4.0223122848302609E-2</v>
      </c>
      <c r="J1152" s="249"/>
      <c r="K1152" s="226"/>
    </row>
    <row r="1153" spans="1:11" ht="10.15" customHeight="1" x14ac:dyDescent="0.2">
      <c r="A1153" s="249"/>
      <c r="B1153" s="249"/>
      <c r="C1153" s="284"/>
      <c r="D1153" s="263" t="s">
        <v>620</v>
      </c>
      <c r="E1153" s="281"/>
      <c r="F1153" s="257"/>
      <c r="G1153" s="249"/>
      <c r="H1153" s="249">
        <v>0</v>
      </c>
      <c r="I1153" s="262">
        <f t="shared" si="26"/>
        <v>0</v>
      </c>
      <c r="J1153" s="249"/>
      <c r="K1153" s="226"/>
    </row>
    <row r="1154" spans="1:11" s="10" customFormat="1" ht="10.15" customHeight="1" x14ac:dyDescent="0.2">
      <c r="A1154" s="249"/>
      <c r="B1154" s="249"/>
      <c r="C1154" s="284"/>
      <c r="D1154" s="263" t="s">
        <v>599</v>
      </c>
      <c r="E1154" s="281"/>
      <c r="F1154" s="257"/>
      <c r="G1154" s="249"/>
      <c r="H1154" s="249">
        <v>3217</v>
      </c>
      <c r="I1154" s="262">
        <f t="shared" si="26"/>
        <v>4.6730872590462082E-2</v>
      </c>
      <c r="J1154" s="249"/>
      <c r="K1154" s="226"/>
    </row>
    <row r="1155" spans="1:11" s="10" customFormat="1" ht="10.15" customHeight="1" x14ac:dyDescent="0.2">
      <c r="A1155" s="249"/>
      <c r="B1155" s="249"/>
      <c r="C1155" s="284"/>
      <c r="D1155" s="263" t="s">
        <v>610</v>
      </c>
      <c r="E1155" s="281"/>
      <c r="F1155" s="257"/>
      <c r="G1155" s="249"/>
      <c r="H1155" s="249">
        <v>0</v>
      </c>
      <c r="I1155" s="262">
        <f t="shared" si="26"/>
        <v>0</v>
      </c>
      <c r="J1155" s="249"/>
      <c r="K1155" s="226"/>
    </row>
    <row r="1156" spans="1:11" s="10" customFormat="1" ht="10.15" customHeight="1" x14ac:dyDescent="0.2">
      <c r="A1156" s="249"/>
      <c r="B1156" s="249"/>
      <c r="C1156" s="284"/>
      <c r="D1156" s="263" t="s">
        <v>600</v>
      </c>
      <c r="E1156" s="281"/>
      <c r="F1156" s="257"/>
      <c r="G1156" s="249"/>
      <c r="H1156" s="249">
        <v>0</v>
      </c>
      <c r="I1156" s="262">
        <f t="shared" si="26"/>
        <v>0</v>
      </c>
      <c r="J1156" s="249"/>
      <c r="K1156" s="226"/>
    </row>
    <row r="1157" spans="1:11" s="10" customFormat="1" ht="10.15" customHeight="1" x14ac:dyDescent="0.2">
      <c r="A1157" s="249"/>
      <c r="B1157" s="249"/>
      <c r="C1157" s="284"/>
      <c r="D1157" s="263" t="s">
        <v>615</v>
      </c>
      <c r="E1157" s="281"/>
      <c r="F1157" s="257"/>
      <c r="G1157" s="249"/>
      <c r="H1157" s="249">
        <v>0</v>
      </c>
      <c r="I1157" s="262">
        <f t="shared" si="26"/>
        <v>0</v>
      </c>
      <c r="J1157" s="249"/>
      <c r="K1157" s="226"/>
    </row>
    <row r="1158" spans="1:11" s="10" customFormat="1" ht="10.15" customHeight="1" x14ac:dyDescent="0.2">
      <c r="A1158" s="249"/>
      <c r="B1158" s="249"/>
      <c r="C1158" s="284"/>
      <c r="D1158" s="263" t="s">
        <v>647</v>
      </c>
      <c r="E1158" s="281"/>
      <c r="F1158" s="257"/>
      <c r="G1158" s="249"/>
      <c r="H1158" s="249">
        <v>0</v>
      </c>
      <c r="I1158" s="262">
        <f t="shared" si="26"/>
        <v>0</v>
      </c>
      <c r="J1158" s="249"/>
      <c r="K1158" s="226"/>
    </row>
    <row r="1159" spans="1:11" s="10" customFormat="1" ht="10.15" customHeight="1" x14ac:dyDescent="0.2">
      <c r="A1159" s="249"/>
      <c r="B1159" s="249"/>
      <c r="C1159" s="284"/>
      <c r="D1159" s="263" t="s">
        <v>605</v>
      </c>
      <c r="E1159" s="281"/>
      <c r="F1159" s="257"/>
      <c r="G1159" s="249"/>
      <c r="H1159" s="249">
        <v>5371</v>
      </c>
      <c r="I1159" s="262">
        <f t="shared" si="26"/>
        <v>7.8020365770398448E-2</v>
      </c>
      <c r="J1159" s="249"/>
      <c r="K1159" s="226"/>
    </row>
    <row r="1160" spans="1:11" s="10" customFormat="1" ht="10.15" customHeight="1" x14ac:dyDescent="0.2">
      <c r="A1160" s="249"/>
      <c r="B1160" s="249"/>
      <c r="C1160" s="284"/>
      <c r="D1160" s="263" t="s">
        <v>611</v>
      </c>
      <c r="E1160" s="281"/>
      <c r="F1160" s="257"/>
      <c r="G1160" s="249"/>
      <c r="H1160" s="249">
        <v>1234</v>
      </c>
      <c r="I1160" s="262">
        <f t="shared" si="26"/>
        <v>1.7925364245144609E-2</v>
      </c>
      <c r="J1160" s="249"/>
      <c r="K1160" s="226"/>
    </row>
    <row r="1161" spans="1:11" s="10" customFormat="1" ht="10.15" customHeight="1" x14ac:dyDescent="0.2">
      <c r="A1161" s="249"/>
      <c r="B1161" s="249"/>
      <c r="C1161" s="284"/>
      <c r="D1161" s="263" t="s">
        <v>634</v>
      </c>
      <c r="E1161" s="281"/>
      <c r="F1161" s="257"/>
      <c r="G1161" s="249"/>
      <c r="H1161" s="249">
        <v>33501</v>
      </c>
      <c r="I1161" s="262">
        <f t="shared" si="26"/>
        <v>0.48664313417875976</v>
      </c>
      <c r="J1161" s="248"/>
      <c r="K1161" s="226"/>
    </row>
    <row r="1162" spans="1:11" s="10" customFormat="1" ht="10.15" customHeight="1" x14ac:dyDescent="0.2">
      <c r="A1162" s="249"/>
      <c r="B1162" s="249"/>
      <c r="C1162" s="284"/>
      <c r="D1162" s="243" t="s">
        <v>33</v>
      </c>
      <c r="E1162" s="281"/>
      <c r="F1162" s="257"/>
      <c r="G1162" s="249"/>
      <c r="H1162" s="282">
        <f>SUM(H1151:H1161)</f>
        <v>68841</v>
      </c>
      <c r="I1162" s="283">
        <f>SUM(I1151:I1161)</f>
        <v>1</v>
      </c>
      <c r="J1162" s="249"/>
      <c r="K1162" s="226"/>
    </row>
    <row r="1163" spans="1:11" s="10" customFormat="1" ht="10.15" customHeight="1" x14ac:dyDescent="0.2">
      <c r="A1163" s="249"/>
      <c r="B1163" s="249"/>
      <c r="C1163" s="284"/>
      <c r="D1163" s="263"/>
      <c r="E1163" s="281"/>
      <c r="F1163" s="257"/>
      <c r="G1163" s="249"/>
      <c r="H1163" s="249"/>
      <c r="I1163" s="262"/>
      <c r="J1163" s="242"/>
      <c r="K1163" s="226"/>
    </row>
    <row r="1164" spans="1:11" ht="10.15" customHeight="1" x14ac:dyDescent="0.2">
      <c r="A1164" s="261" t="s">
        <v>20</v>
      </c>
      <c r="B1164" s="261"/>
      <c r="C1164" s="261" t="s">
        <v>291</v>
      </c>
      <c r="D1164" s="263" t="s">
        <v>680</v>
      </c>
      <c r="E1164" s="281">
        <v>42370</v>
      </c>
      <c r="F1164" s="257">
        <v>15650465</v>
      </c>
      <c r="G1164" s="249">
        <v>54887</v>
      </c>
      <c r="H1164" s="249"/>
      <c r="I1164" s="262"/>
      <c r="J1164" s="249"/>
      <c r="K1164" s="226"/>
    </row>
    <row r="1165" spans="1:11" ht="10.15" customHeight="1" x14ac:dyDescent="0.2">
      <c r="A1165" s="249"/>
      <c r="B1165" s="249"/>
      <c r="C1165" s="284"/>
      <c r="D1165" s="263" t="s">
        <v>597</v>
      </c>
      <c r="E1165" s="281"/>
      <c r="F1165" s="257"/>
      <c r="G1165" s="249"/>
      <c r="H1165" s="249">
        <v>13744</v>
      </c>
      <c r="I1165" s="262">
        <f t="shared" ref="I1165:I1170" si="27">H1165/$H$1170</f>
        <v>0.48476297968397292</v>
      </c>
      <c r="J1165" s="248" t="s">
        <v>16</v>
      </c>
      <c r="K1165" s="226"/>
    </row>
    <row r="1166" spans="1:11" ht="10.15" customHeight="1" x14ac:dyDescent="0.2">
      <c r="A1166" s="249"/>
      <c r="B1166" s="249"/>
      <c r="C1166" s="284"/>
      <c r="D1166" s="263" t="s">
        <v>646</v>
      </c>
      <c r="E1166" s="281"/>
      <c r="F1166" s="257"/>
      <c r="G1166" s="249"/>
      <c r="H1166" s="249">
        <v>2750</v>
      </c>
      <c r="I1166" s="262">
        <f t="shared" si="27"/>
        <v>9.6994920993227984E-2</v>
      </c>
      <c r="J1166" s="249"/>
      <c r="K1166" s="226"/>
    </row>
    <row r="1167" spans="1:11" s="10" customFormat="1" ht="10.15" customHeight="1" x14ac:dyDescent="0.2">
      <c r="A1167" s="249"/>
      <c r="B1167" s="249"/>
      <c r="C1167" s="284"/>
      <c r="D1167" s="263" t="s">
        <v>599</v>
      </c>
      <c r="E1167" s="281"/>
      <c r="F1167" s="257"/>
      <c r="G1167" s="249"/>
      <c r="H1167" s="249">
        <v>1085</v>
      </c>
      <c r="I1167" s="262">
        <f t="shared" si="27"/>
        <v>3.8268905191873592E-2</v>
      </c>
      <c r="J1167" s="249"/>
      <c r="K1167" s="226"/>
    </row>
    <row r="1168" spans="1:11" ht="12.75" customHeight="1" x14ac:dyDescent="0.2">
      <c r="A1168" s="249"/>
      <c r="B1168" s="249"/>
      <c r="C1168" s="284"/>
      <c r="D1168" s="263" t="s">
        <v>605</v>
      </c>
      <c r="E1168" s="281"/>
      <c r="F1168" s="257"/>
      <c r="G1168" s="249"/>
      <c r="H1168" s="249">
        <v>10345</v>
      </c>
      <c r="I1168" s="262">
        <f t="shared" si="27"/>
        <v>0.36487725733634313</v>
      </c>
      <c r="J1168" s="248" t="s">
        <v>63</v>
      </c>
      <c r="K1168" s="226"/>
    </row>
    <row r="1169" spans="1:11" ht="10.15" customHeight="1" x14ac:dyDescent="0.2">
      <c r="A1169" s="249"/>
      <c r="B1169" s="249"/>
      <c r="C1169" s="284"/>
      <c r="D1169" s="263" t="s">
        <v>634</v>
      </c>
      <c r="E1169" s="281"/>
      <c r="F1169" s="257"/>
      <c r="G1169" s="249"/>
      <c r="H1169" s="249">
        <v>428</v>
      </c>
      <c r="I1169" s="262">
        <f t="shared" si="27"/>
        <v>1.5095936794582392E-2</v>
      </c>
      <c r="J1169" s="249"/>
      <c r="K1169" s="226"/>
    </row>
    <row r="1170" spans="1:11" ht="10.15" customHeight="1" x14ac:dyDescent="0.2">
      <c r="A1170" s="249"/>
      <c r="B1170" s="249"/>
      <c r="C1170" s="284"/>
      <c r="D1170" s="243" t="s">
        <v>33</v>
      </c>
      <c r="E1170" s="281"/>
      <c r="F1170" s="257"/>
      <c r="G1170" s="249"/>
      <c r="H1170" s="249">
        <f>SUM(H1165:H1169)</f>
        <v>28352</v>
      </c>
      <c r="I1170" s="262">
        <f t="shared" si="27"/>
        <v>1</v>
      </c>
      <c r="J1170" s="249"/>
      <c r="K1170" s="226"/>
    </row>
    <row r="1171" spans="1:11" ht="10.15" customHeight="1" x14ac:dyDescent="0.2">
      <c r="A1171" s="249"/>
      <c r="B1171" s="249"/>
      <c r="C1171" s="284"/>
      <c r="D1171" s="263"/>
      <c r="E1171" s="281"/>
      <c r="F1171" s="257"/>
      <c r="G1171" s="249"/>
      <c r="H1171" s="249"/>
      <c r="I1171" s="262"/>
      <c r="J1171" s="249"/>
      <c r="K1171" s="226"/>
    </row>
    <row r="1172" spans="1:11" ht="10.15" customHeight="1" x14ac:dyDescent="0.2">
      <c r="A1172" s="261" t="s">
        <v>20</v>
      </c>
      <c r="B1172" s="261"/>
      <c r="C1172" s="261" t="s">
        <v>291</v>
      </c>
      <c r="D1172" s="263" t="s">
        <v>681</v>
      </c>
      <c r="E1172" s="281">
        <v>42370</v>
      </c>
      <c r="F1172" s="257">
        <v>5663766</v>
      </c>
      <c r="G1172" s="249">
        <v>21657</v>
      </c>
      <c r="H1172" s="249"/>
      <c r="I1172" s="262"/>
      <c r="J1172" s="249"/>
      <c r="K1172" s="226"/>
    </row>
    <row r="1173" spans="1:11" ht="10.15" customHeight="1" x14ac:dyDescent="0.2">
      <c r="A1173" s="249"/>
      <c r="B1173" s="249"/>
      <c r="C1173" s="284"/>
      <c r="D1173" s="263" t="s">
        <v>599</v>
      </c>
      <c r="E1173" s="281"/>
      <c r="F1173" s="257"/>
      <c r="G1173" s="249"/>
      <c r="H1173" s="249">
        <v>3673</v>
      </c>
      <c r="I1173" s="262">
        <f>H1173/$H$1176</f>
        <v>0.36774128954745694</v>
      </c>
      <c r="J1173" s="248" t="s">
        <v>42</v>
      </c>
      <c r="K1173" s="226"/>
    </row>
    <row r="1174" spans="1:11" ht="10.15" customHeight="1" x14ac:dyDescent="0.2">
      <c r="A1174" s="249"/>
      <c r="B1174" s="249"/>
      <c r="C1174" s="284"/>
      <c r="D1174" s="263" t="s">
        <v>605</v>
      </c>
      <c r="E1174" s="281"/>
      <c r="F1174" s="257"/>
      <c r="G1174" s="249"/>
      <c r="H1174" s="249">
        <v>4481</v>
      </c>
      <c r="I1174" s="262">
        <f>H1174/$H$1176</f>
        <v>0.44863836603924712</v>
      </c>
      <c r="J1174" s="253" t="s">
        <v>63</v>
      </c>
      <c r="K1174" s="226"/>
    </row>
    <row r="1175" spans="1:11" ht="10.15" customHeight="1" x14ac:dyDescent="0.2">
      <c r="A1175" s="249"/>
      <c r="B1175" s="249"/>
      <c r="C1175" s="284"/>
      <c r="D1175" s="263" t="s">
        <v>634</v>
      </c>
      <c r="E1175" s="281"/>
      <c r="F1175" s="257"/>
      <c r="G1175" s="249"/>
      <c r="H1175" s="249">
        <v>1834</v>
      </c>
      <c r="I1175" s="262">
        <f>H1175/$H$1176</f>
        <v>0.18362034441329594</v>
      </c>
      <c r="J1175" s="242"/>
      <c r="K1175" s="226"/>
    </row>
    <row r="1176" spans="1:11" ht="10.15" customHeight="1" x14ac:dyDescent="0.2">
      <c r="A1176" s="249"/>
      <c r="B1176" s="249"/>
      <c r="C1176" s="284"/>
      <c r="D1176" s="243" t="s">
        <v>33</v>
      </c>
      <c r="E1176" s="281"/>
      <c r="F1176" s="257"/>
      <c r="G1176" s="249"/>
      <c r="H1176" s="282">
        <f>SUM(H1173:H1175)</f>
        <v>9988</v>
      </c>
      <c r="I1176" s="283">
        <f>H1176/$H$1176</f>
        <v>1</v>
      </c>
      <c r="J1176" s="242"/>
      <c r="K1176" s="226"/>
    </row>
    <row r="1177" spans="1:11" ht="10.15" customHeight="1" x14ac:dyDescent="0.2">
      <c r="A1177" s="261" t="s">
        <v>20</v>
      </c>
      <c r="B1177" s="261"/>
      <c r="C1177" s="261" t="s">
        <v>291</v>
      </c>
      <c r="D1177" s="263" t="s">
        <v>688</v>
      </c>
      <c r="E1177" s="281">
        <v>43102</v>
      </c>
      <c r="F1177" s="257">
        <v>44860690</v>
      </c>
      <c r="G1177" s="249">
        <v>105775</v>
      </c>
      <c r="H1177" s="249"/>
      <c r="I1177" s="262"/>
      <c r="J1177" s="249"/>
      <c r="K1177" s="226"/>
    </row>
    <row r="1178" spans="1:11" ht="10.15" customHeight="1" x14ac:dyDescent="0.2">
      <c r="A1178" s="249"/>
      <c r="B1178" s="249"/>
      <c r="C1178" s="284"/>
      <c r="D1178" s="263" t="s">
        <v>597</v>
      </c>
      <c r="E1178" s="281"/>
      <c r="F1178" s="257"/>
      <c r="G1178" s="249"/>
      <c r="H1178" s="249">
        <v>0</v>
      </c>
      <c r="I1178" s="262">
        <f>(H1178/$H$1189)</f>
        <v>0</v>
      </c>
      <c r="J1178" s="248" t="s">
        <v>238</v>
      </c>
      <c r="K1178" s="226"/>
    </row>
    <row r="1179" spans="1:11" ht="10.15" customHeight="1" x14ac:dyDescent="0.2">
      <c r="A1179" s="249"/>
      <c r="B1179" s="249"/>
      <c r="C1179" s="284"/>
      <c r="D1179" s="263" t="s">
        <v>646</v>
      </c>
      <c r="E1179" s="281"/>
      <c r="F1179" s="257"/>
      <c r="G1179" s="249"/>
      <c r="H1179" s="249">
        <v>0</v>
      </c>
      <c r="I1179" s="262">
        <f t="shared" ref="I1179:I1188" si="28">(H1179/$H$1189)</f>
        <v>0</v>
      </c>
      <c r="J1179" s="249"/>
      <c r="K1179" s="226"/>
    </row>
    <row r="1180" spans="1:11" ht="10.15" customHeight="1" x14ac:dyDescent="0.2">
      <c r="A1180" s="249"/>
      <c r="B1180" s="249"/>
      <c r="C1180" s="284"/>
      <c r="D1180" s="263" t="s">
        <v>620</v>
      </c>
      <c r="E1180" s="281"/>
      <c r="F1180" s="257"/>
      <c r="G1180" s="249"/>
      <c r="H1180" s="249">
        <v>39434</v>
      </c>
      <c r="I1180" s="262">
        <f t="shared" si="28"/>
        <v>0.53226611956213643</v>
      </c>
      <c r="J1180" s="248" t="s">
        <v>689</v>
      </c>
      <c r="K1180" s="226"/>
    </row>
    <row r="1181" spans="1:11" s="10" customFormat="1" ht="10.15" customHeight="1" x14ac:dyDescent="0.2">
      <c r="A1181" s="249"/>
      <c r="B1181" s="249"/>
      <c r="C1181" s="284"/>
      <c r="D1181" s="263" t="s">
        <v>599</v>
      </c>
      <c r="E1181" s="281"/>
      <c r="F1181" s="257"/>
      <c r="G1181" s="249"/>
      <c r="H1181" s="249">
        <v>0</v>
      </c>
      <c r="I1181" s="262">
        <f t="shared" si="28"/>
        <v>0</v>
      </c>
      <c r="J1181" s="249"/>
      <c r="K1181" s="226"/>
    </row>
    <row r="1182" spans="1:11" ht="12.75" customHeight="1" x14ac:dyDescent="0.2">
      <c r="A1182" s="249"/>
      <c r="B1182" s="249"/>
      <c r="C1182" s="284"/>
      <c r="D1182" s="263" t="s">
        <v>610</v>
      </c>
      <c r="E1182" s="281"/>
      <c r="F1182" s="257"/>
      <c r="G1182" s="249"/>
      <c r="H1182" s="249">
        <v>0</v>
      </c>
      <c r="I1182" s="262">
        <f t="shared" si="28"/>
        <v>0</v>
      </c>
      <c r="J1182" s="249"/>
      <c r="K1182" s="226"/>
    </row>
    <row r="1183" spans="1:11" ht="10.15" customHeight="1" x14ac:dyDescent="0.2">
      <c r="A1183" s="249"/>
      <c r="B1183" s="249"/>
      <c r="C1183" s="284"/>
      <c r="D1183" s="263" t="s">
        <v>600</v>
      </c>
      <c r="E1183" s="281"/>
      <c r="F1183" s="257"/>
      <c r="G1183" s="249"/>
      <c r="H1183" s="249">
        <v>0</v>
      </c>
      <c r="I1183" s="262">
        <f t="shared" si="28"/>
        <v>0</v>
      </c>
      <c r="J1183" s="249"/>
      <c r="K1183" s="226"/>
    </row>
    <row r="1184" spans="1:11" ht="10.15" customHeight="1" x14ac:dyDescent="0.2">
      <c r="A1184" s="249"/>
      <c r="B1184" s="249"/>
      <c r="C1184" s="284"/>
      <c r="D1184" s="263" t="s">
        <v>615</v>
      </c>
      <c r="E1184" s="281"/>
      <c r="F1184" s="257"/>
      <c r="G1184" s="249"/>
      <c r="H1184" s="249">
        <v>3923</v>
      </c>
      <c r="I1184" s="262">
        <f t="shared" si="28"/>
        <v>5.2951260005129105E-2</v>
      </c>
      <c r="J1184" s="249"/>
      <c r="K1184" s="226"/>
    </row>
    <row r="1185" spans="1:11" ht="10.15" customHeight="1" x14ac:dyDescent="0.2">
      <c r="A1185" s="249"/>
      <c r="B1185" s="249"/>
      <c r="C1185" s="284"/>
      <c r="D1185" s="263" t="s">
        <v>647</v>
      </c>
      <c r="E1185" s="281"/>
      <c r="F1185" s="257"/>
      <c r="G1185" s="249"/>
      <c r="H1185" s="249">
        <v>0</v>
      </c>
      <c r="I1185" s="262">
        <f t="shared" si="28"/>
        <v>0</v>
      </c>
      <c r="J1185" s="249"/>
      <c r="K1185" s="226"/>
    </row>
    <row r="1186" spans="1:11" ht="10.15" customHeight="1" x14ac:dyDescent="0.2">
      <c r="A1186" s="249"/>
      <c r="B1186" s="249"/>
      <c r="C1186" s="284"/>
      <c r="D1186" s="263" t="s">
        <v>605</v>
      </c>
      <c r="E1186" s="281"/>
      <c r="F1186" s="257"/>
      <c r="G1186" s="249"/>
      <c r="H1186" s="249">
        <v>15168</v>
      </c>
      <c r="I1186" s="262">
        <f t="shared" si="28"/>
        <v>0.20473227421814894</v>
      </c>
      <c r="J1186" s="248" t="s">
        <v>690</v>
      </c>
      <c r="K1186" s="226"/>
    </row>
    <row r="1187" spans="1:11" s="10" customFormat="1" ht="10.15" customHeight="1" x14ac:dyDescent="0.2">
      <c r="A1187" s="249"/>
      <c r="B1187" s="249"/>
      <c r="C1187" s="284"/>
      <c r="D1187" s="263" t="s">
        <v>611</v>
      </c>
      <c r="E1187" s="281"/>
      <c r="F1187" s="257"/>
      <c r="G1187" s="249"/>
      <c r="H1187" s="249">
        <v>3521</v>
      </c>
      <c r="I1187" s="262">
        <f t="shared" si="28"/>
        <v>4.7525206851404427E-2</v>
      </c>
      <c r="J1187" s="249"/>
      <c r="K1187" s="226"/>
    </row>
    <row r="1188" spans="1:11" ht="10.15" customHeight="1" x14ac:dyDescent="0.2">
      <c r="A1188" s="249"/>
      <c r="B1188" s="249"/>
      <c r="C1188" s="284"/>
      <c r="D1188" s="263" t="s">
        <v>634</v>
      </c>
      <c r="E1188" s="281"/>
      <c r="F1188" s="257"/>
      <c r="G1188" s="249"/>
      <c r="H1188" s="249">
        <v>12041</v>
      </c>
      <c r="I1188" s="262">
        <f t="shared" si="28"/>
        <v>0.16252513936318114</v>
      </c>
      <c r="J1188" s="248"/>
      <c r="K1188" s="226"/>
    </row>
    <row r="1189" spans="1:11" ht="10.15" customHeight="1" x14ac:dyDescent="0.2">
      <c r="A1189" s="249"/>
      <c r="B1189" s="249"/>
      <c r="C1189" s="284"/>
      <c r="D1189" s="243" t="s">
        <v>33</v>
      </c>
      <c r="E1189" s="281"/>
      <c r="F1189" s="257"/>
      <c r="G1189" s="249"/>
      <c r="H1189" s="282">
        <f>SUM(H1178:H1188)</f>
        <v>74087</v>
      </c>
      <c r="I1189" s="283">
        <f>SUM(I1178:I1188)</f>
        <v>1</v>
      </c>
      <c r="J1189" s="249"/>
      <c r="K1189" s="226"/>
    </row>
    <row r="1190" spans="1:11" ht="10.15" customHeight="1" x14ac:dyDescent="0.2">
      <c r="A1190" s="249"/>
      <c r="B1190" s="249"/>
      <c r="C1190" s="284"/>
      <c r="D1190" s="243"/>
      <c r="E1190" s="281"/>
      <c r="F1190" s="257"/>
      <c r="G1190" s="249"/>
      <c r="H1190" s="249"/>
      <c r="I1190" s="262"/>
      <c r="J1190" s="249"/>
      <c r="K1190" s="226"/>
    </row>
    <row r="1191" spans="1:11" ht="10.15" customHeight="1" x14ac:dyDescent="0.2">
      <c r="A1191" s="261" t="s">
        <v>20</v>
      </c>
      <c r="B1191" s="261"/>
      <c r="C1191" s="261" t="s">
        <v>291</v>
      </c>
      <c r="D1191" s="263" t="s">
        <v>713</v>
      </c>
      <c r="E1191" s="281">
        <v>43343</v>
      </c>
      <c r="F1191" s="257">
        <v>32120866</v>
      </c>
      <c r="G1191" s="249">
        <v>136786</v>
      </c>
      <c r="H1191" s="249"/>
      <c r="I1191" s="262"/>
      <c r="J1191" s="249"/>
      <c r="K1191" s="226"/>
    </row>
    <row r="1192" spans="1:11" ht="10.15" customHeight="1" x14ac:dyDescent="0.2">
      <c r="A1192" s="249"/>
      <c r="B1192" s="249"/>
      <c r="C1192" s="284"/>
      <c r="D1192" s="263" t="s">
        <v>597</v>
      </c>
      <c r="E1192" s="281"/>
      <c r="F1192" s="257"/>
      <c r="G1192" s="249"/>
      <c r="H1192" s="249">
        <v>7425</v>
      </c>
      <c r="I1192" s="262">
        <f>(H1192/$H$1196)</f>
        <v>8.2030602662542126E-2</v>
      </c>
      <c r="J1192" s="248" t="s">
        <v>238</v>
      </c>
      <c r="K1192" s="226"/>
    </row>
    <row r="1193" spans="1:11" ht="10.15" customHeight="1" x14ac:dyDescent="0.2">
      <c r="A1193" s="249"/>
      <c r="B1193" s="249"/>
      <c r="C1193" s="284"/>
      <c r="D1193" s="263" t="s">
        <v>646</v>
      </c>
      <c r="E1193" s="281"/>
      <c r="F1193" s="257"/>
      <c r="G1193" s="249"/>
      <c r="H1193" s="249">
        <v>1975</v>
      </c>
      <c r="I1193" s="262">
        <f>(H1193/$H$1196)</f>
        <v>2.1819587913605481E-2</v>
      </c>
      <c r="J1193" s="249"/>
      <c r="K1193" s="226"/>
    </row>
    <row r="1194" spans="1:11" s="10" customFormat="1" ht="10.15" customHeight="1" x14ac:dyDescent="0.2">
      <c r="A1194" s="249"/>
      <c r="B1194" s="249"/>
      <c r="C1194" s="284"/>
      <c r="D1194" s="263" t="s">
        <v>599</v>
      </c>
      <c r="E1194" s="281"/>
      <c r="F1194" s="257"/>
      <c r="G1194" s="249"/>
      <c r="H1194" s="249">
        <v>1725</v>
      </c>
      <c r="I1194" s="262">
        <f>(H1194/$H$1196)</f>
        <v>1.9057614759984534E-2</v>
      </c>
      <c r="J1194" s="249"/>
      <c r="K1194" s="226"/>
    </row>
    <row r="1195" spans="1:11" ht="10.15" customHeight="1" x14ac:dyDescent="0.2">
      <c r="A1195" s="249"/>
      <c r="B1195" s="249"/>
      <c r="C1195" s="284"/>
      <c r="D1195" s="263" t="s">
        <v>605</v>
      </c>
      <c r="E1195" s="281"/>
      <c r="F1195" s="257"/>
      <c r="G1195" s="249"/>
      <c r="H1195" s="249">
        <v>79390</v>
      </c>
      <c r="I1195" s="262">
        <f>(H1195/$H$1196)</f>
        <v>0.8770921946638679</v>
      </c>
      <c r="J1195" s="248" t="s">
        <v>690</v>
      </c>
      <c r="K1195" s="226"/>
    </row>
    <row r="1196" spans="1:11" ht="10.15" customHeight="1" x14ac:dyDescent="0.2">
      <c r="A1196" s="249"/>
      <c r="B1196" s="249"/>
      <c r="C1196" s="284"/>
      <c r="D1196" s="243" t="s">
        <v>33</v>
      </c>
      <c r="E1196" s="281"/>
      <c r="F1196" s="257"/>
      <c r="G1196" s="249"/>
      <c r="H1196" s="282">
        <f>SUM(H1192:H1195)</f>
        <v>90515</v>
      </c>
      <c r="I1196" s="283">
        <f>SUM(I1192:I1195)</f>
        <v>1</v>
      </c>
      <c r="J1196" s="249"/>
      <c r="K1196" s="226"/>
    </row>
    <row r="1197" spans="1:11" ht="10.15" customHeight="1" x14ac:dyDescent="0.2">
      <c r="A1197" s="249"/>
      <c r="B1197" s="249"/>
      <c r="C1197" s="284"/>
      <c r="D1197" s="243"/>
      <c r="E1197" s="281"/>
      <c r="F1197" s="257"/>
      <c r="G1197" s="249"/>
      <c r="H1197" s="249"/>
      <c r="I1197" s="262"/>
      <c r="J1197" s="249"/>
      <c r="K1197" s="226"/>
    </row>
    <row r="1198" spans="1:11" ht="10.15" customHeight="1" x14ac:dyDescent="0.2">
      <c r="A1198" s="288" t="s">
        <v>20</v>
      </c>
      <c r="B1198" s="288"/>
      <c r="C1198" s="288" t="s">
        <v>291</v>
      </c>
      <c r="D1198" s="324" t="s">
        <v>721</v>
      </c>
      <c r="E1198" s="290">
        <v>43708</v>
      </c>
      <c r="F1198" s="291">
        <v>51926939.270000003</v>
      </c>
      <c r="G1198" s="292">
        <v>148000</v>
      </c>
      <c r="H1198" s="292"/>
      <c r="I1198" s="293"/>
      <c r="J1198" s="292"/>
      <c r="K1198" s="226"/>
    </row>
    <row r="1199" spans="1:11" ht="10.15" customHeight="1" x14ac:dyDescent="0.2">
      <c r="A1199" s="249"/>
      <c r="B1199" s="249"/>
      <c r="C1199" s="284"/>
      <c r="D1199" s="263" t="s">
        <v>597</v>
      </c>
      <c r="E1199" s="281"/>
      <c r="F1199" s="257"/>
      <c r="G1199" s="249"/>
      <c r="H1199" s="249">
        <v>32304</v>
      </c>
      <c r="I1199" s="262">
        <f t="shared" ref="I1199:I1206" si="29">(H1199/$H$1206)</f>
        <v>0.20807193373439653</v>
      </c>
      <c r="J1199" s="248"/>
      <c r="K1199" s="226"/>
    </row>
    <row r="1200" spans="1:11" ht="10.15" customHeight="1" x14ac:dyDescent="0.2">
      <c r="A1200" s="249"/>
      <c r="B1200" s="249"/>
      <c r="C1200" s="284"/>
      <c r="D1200" s="263" t="s">
        <v>646</v>
      </c>
      <c r="E1200" s="281"/>
      <c r="F1200" s="257"/>
      <c r="G1200" s="249"/>
      <c r="H1200" s="249">
        <v>10041</v>
      </c>
      <c r="I1200" s="262">
        <f t="shared" si="29"/>
        <v>6.4674662166514227E-2</v>
      </c>
      <c r="J1200" s="249"/>
      <c r="K1200" s="226"/>
    </row>
    <row r="1201" spans="1:17" ht="10.15" customHeight="1" x14ac:dyDescent="0.2">
      <c r="A1201" s="249"/>
      <c r="B1201" s="249"/>
      <c r="C1201" s="284"/>
      <c r="D1201" s="263" t="s">
        <v>599</v>
      </c>
      <c r="E1201" s="281"/>
      <c r="F1201" s="257"/>
      <c r="G1201" s="249"/>
      <c r="H1201" s="249">
        <v>10490</v>
      </c>
      <c r="I1201" s="262">
        <f t="shared" si="29"/>
        <v>6.7566697154340633E-2</v>
      </c>
      <c r="J1201" s="249"/>
      <c r="K1201" s="226"/>
    </row>
    <row r="1202" spans="1:17" ht="10.15" customHeight="1" x14ac:dyDescent="0.2">
      <c r="A1202" s="249"/>
      <c r="B1202" s="249"/>
      <c r="C1202" s="284"/>
      <c r="D1202" s="308" t="s">
        <v>79</v>
      </c>
      <c r="E1202" s="281"/>
      <c r="F1202" s="257"/>
      <c r="G1202" s="249"/>
      <c r="H1202" s="249">
        <v>294</v>
      </c>
      <c r="I1202" s="262">
        <f t="shared" si="29"/>
        <v>1.8936710165277546E-3</v>
      </c>
      <c r="J1202" s="249"/>
      <c r="K1202" s="226"/>
    </row>
    <row r="1203" spans="1:17" ht="10.15" customHeight="1" x14ac:dyDescent="0.2">
      <c r="A1203" s="249"/>
      <c r="B1203" s="249"/>
      <c r="C1203" s="284"/>
      <c r="D1203" s="263" t="s">
        <v>605</v>
      </c>
      <c r="E1203" s="281"/>
      <c r="F1203" s="257"/>
      <c r="G1203" s="249"/>
      <c r="H1203" s="249">
        <v>29085</v>
      </c>
      <c r="I1203" s="262">
        <f t="shared" si="29"/>
        <v>0.18733816842078144</v>
      </c>
      <c r="J1203" s="248"/>
      <c r="K1203" s="226"/>
    </row>
    <row r="1204" spans="1:17" s="31" customFormat="1" ht="10.15" customHeight="1" x14ac:dyDescent="0.2">
      <c r="A1204" s="249"/>
      <c r="B1204" s="249"/>
      <c r="C1204" s="284"/>
      <c r="D1204" s="308" t="s">
        <v>99</v>
      </c>
      <c r="E1204" s="281"/>
      <c r="F1204" s="257"/>
      <c r="G1204" s="249"/>
      <c r="H1204" s="249">
        <v>1393</v>
      </c>
      <c r="I1204" s="262">
        <f t="shared" si="29"/>
        <v>8.9723936259291232E-3</v>
      </c>
      <c r="J1204" s="248"/>
      <c r="K1204" s="226"/>
      <c r="L1204" s="10"/>
      <c r="M1204" s="10"/>
      <c r="N1204" s="10"/>
      <c r="O1204" s="10"/>
      <c r="P1204" s="10"/>
      <c r="Q1204" s="10"/>
    </row>
    <row r="1205" spans="1:17" ht="10.15" customHeight="1" x14ac:dyDescent="0.2">
      <c r="A1205" s="249"/>
      <c r="B1205" s="249"/>
      <c r="C1205" s="284"/>
      <c r="D1205" s="308" t="s">
        <v>693</v>
      </c>
      <c r="E1205" s="281"/>
      <c r="F1205" s="257"/>
      <c r="G1205" s="249"/>
      <c r="H1205" s="249">
        <v>71647</v>
      </c>
      <c r="I1205" s="262">
        <f t="shared" si="29"/>
        <v>0.46148247388151031</v>
      </c>
      <c r="J1205" s="248"/>
      <c r="K1205" s="226"/>
    </row>
    <row r="1206" spans="1:17" ht="10.15" customHeight="1" x14ac:dyDescent="0.2">
      <c r="A1206" s="249"/>
      <c r="B1206" s="249"/>
      <c r="C1206" s="284"/>
      <c r="D1206" s="243" t="s">
        <v>33</v>
      </c>
      <c r="E1206" s="281"/>
      <c r="F1206" s="257"/>
      <c r="G1206" s="249"/>
      <c r="H1206" s="282">
        <f>SUM(H1199:H1205)</f>
        <v>155254</v>
      </c>
      <c r="I1206" s="283">
        <f t="shared" si="29"/>
        <v>1</v>
      </c>
      <c r="J1206" s="249"/>
      <c r="K1206" s="226"/>
    </row>
    <row r="1207" spans="1:17" ht="10.15" customHeight="1" x14ac:dyDescent="0.2">
      <c r="A1207" s="249"/>
      <c r="B1207" s="249"/>
      <c r="C1207" s="284"/>
      <c r="D1207" s="243"/>
      <c r="E1207" s="281"/>
      <c r="F1207" s="257"/>
      <c r="G1207" s="249"/>
      <c r="H1207" s="249"/>
      <c r="I1207" s="262"/>
      <c r="J1207" s="249"/>
      <c r="K1207" s="226"/>
    </row>
    <row r="1208" spans="1:17" ht="10.15" customHeight="1" x14ac:dyDescent="0.2">
      <c r="A1208" s="288" t="s">
        <v>20</v>
      </c>
      <c r="B1208" s="288"/>
      <c r="C1208" s="288" t="s">
        <v>291</v>
      </c>
      <c r="D1208" s="324" t="s">
        <v>722</v>
      </c>
      <c r="E1208" s="290" t="s">
        <v>723</v>
      </c>
      <c r="F1208" s="291">
        <v>5830863.8399999999</v>
      </c>
      <c r="G1208" s="292">
        <v>13086</v>
      </c>
      <c r="H1208" s="292"/>
      <c r="I1208" s="293"/>
      <c r="J1208" s="292"/>
      <c r="K1208" s="228"/>
      <c r="L1208" s="31"/>
      <c r="M1208" s="31"/>
      <c r="N1208" s="31"/>
      <c r="O1208" s="31"/>
      <c r="P1208" s="31"/>
      <c r="Q1208" s="31"/>
    </row>
    <row r="1209" spans="1:17" ht="10.15" customHeight="1" x14ac:dyDescent="0.2">
      <c r="A1209" s="249"/>
      <c r="B1209" s="249"/>
      <c r="C1209" s="284"/>
      <c r="D1209" s="263" t="s">
        <v>620</v>
      </c>
      <c r="E1209" s="281"/>
      <c r="F1209" s="257"/>
      <c r="G1209" s="249"/>
      <c r="H1209" s="249">
        <v>2703</v>
      </c>
      <c r="I1209" s="262">
        <f>(H1209/$H$1213)</f>
        <v>0.23706367303981757</v>
      </c>
      <c r="J1209" s="249"/>
      <c r="K1209" s="226"/>
    </row>
    <row r="1210" spans="1:17" ht="10.15" customHeight="1" x14ac:dyDescent="0.2">
      <c r="A1210" s="249"/>
      <c r="B1210" s="249"/>
      <c r="C1210" s="284"/>
      <c r="D1210" s="263" t="s">
        <v>599</v>
      </c>
      <c r="E1210" s="281"/>
      <c r="F1210" s="257"/>
      <c r="G1210" s="249"/>
      <c r="H1210" s="249">
        <v>287</v>
      </c>
      <c r="I1210" s="262">
        <f>(H1210/$H$1213)</f>
        <v>2.5171022627609192E-2</v>
      </c>
      <c r="J1210" s="249"/>
      <c r="K1210" s="226"/>
    </row>
    <row r="1211" spans="1:17" s="31" customFormat="1" ht="10.15" customHeight="1" x14ac:dyDescent="0.2">
      <c r="A1211" s="249"/>
      <c r="B1211" s="249"/>
      <c r="C1211" s="284"/>
      <c r="D1211" s="263" t="s">
        <v>605</v>
      </c>
      <c r="E1211" s="281"/>
      <c r="F1211" s="257"/>
      <c r="G1211" s="249"/>
      <c r="H1211" s="249">
        <v>1417</v>
      </c>
      <c r="I1211" s="262">
        <f>(H1211/$H$1213)</f>
        <v>0.12427644272934572</v>
      </c>
      <c r="J1211" s="248"/>
      <c r="K1211" s="226"/>
      <c r="L1211" s="10"/>
      <c r="M1211" s="10"/>
      <c r="N1211" s="10"/>
      <c r="O1211" s="10"/>
      <c r="P1211" s="10"/>
      <c r="Q1211" s="10"/>
    </row>
    <row r="1212" spans="1:17" ht="10.15" customHeight="1" x14ac:dyDescent="0.2">
      <c r="A1212" s="249"/>
      <c r="B1212" s="249"/>
      <c r="C1212" s="284"/>
      <c r="D1212" s="308" t="s">
        <v>693</v>
      </c>
      <c r="E1212" s="281"/>
      <c r="F1212" s="257"/>
      <c r="G1212" s="249"/>
      <c r="H1212" s="249">
        <v>6995</v>
      </c>
      <c r="I1212" s="262">
        <f>(H1212/$H$1213)</f>
        <v>0.61348886160322746</v>
      </c>
      <c r="J1212" s="248"/>
      <c r="K1212" s="226"/>
    </row>
    <row r="1213" spans="1:17" ht="10.15" customHeight="1" x14ac:dyDescent="0.2">
      <c r="A1213" s="249"/>
      <c r="B1213" s="249"/>
      <c r="C1213" s="284"/>
      <c r="D1213" s="243" t="s">
        <v>33</v>
      </c>
      <c r="E1213" s="281"/>
      <c r="F1213" s="257"/>
      <c r="G1213" s="249"/>
      <c r="H1213" s="282">
        <f>SUM(H1209:H1212)</f>
        <v>11402</v>
      </c>
      <c r="I1213" s="283">
        <f>(H1213/$H$1213)</f>
        <v>1</v>
      </c>
      <c r="J1213" s="249"/>
      <c r="K1213" s="226"/>
    </row>
    <row r="1214" spans="1:17" ht="10.15" customHeight="1" x14ac:dyDescent="0.2">
      <c r="A1214" s="249"/>
      <c r="B1214" s="249"/>
      <c r="C1214" s="284"/>
      <c r="D1214" s="243"/>
      <c r="E1214" s="281"/>
      <c r="F1214" s="257"/>
      <c r="G1214" s="249"/>
      <c r="H1214" s="249"/>
      <c r="I1214" s="262"/>
      <c r="J1214" s="249"/>
      <c r="K1214" s="226"/>
    </row>
    <row r="1215" spans="1:17" ht="10.15" customHeight="1" x14ac:dyDescent="0.2">
      <c r="A1215" s="288" t="s">
        <v>20</v>
      </c>
      <c r="B1215" s="288"/>
      <c r="C1215" s="288" t="s">
        <v>291</v>
      </c>
      <c r="D1215" s="324" t="s">
        <v>724</v>
      </c>
      <c r="E1215" s="290">
        <v>43709</v>
      </c>
      <c r="F1215" s="291">
        <v>13071508.380000001</v>
      </c>
      <c r="G1215" s="292">
        <v>242136</v>
      </c>
      <c r="H1215" s="292"/>
      <c r="I1215" s="293"/>
      <c r="J1215" s="292"/>
      <c r="K1215" s="228"/>
      <c r="L1215" s="31"/>
      <c r="M1215" s="31"/>
      <c r="N1215" s="31"/>
      <c r="O1215" s="31"/>
      <c r="P1215" s="31"/>
      <c r="Q1215" s="31"/>
    </row>
    <row r="1216" spans="1:17" s="31" customFormat="1" ht="10.15" customHeight="1" x14ac:dyDescent="0.2">
      <c r="A1216" s="249"/>
      <c r="B1216" s="249"/>
      <c r="C1216" s="284"/>
      <c r="D1216" s="308" t="s">
        <v>725</v>
      </c>
      <c r="E1216" s="281"/>
      <c r="F1216" s="257"/>
      <c r="G1216" s="249"/>
      <c r="H1216" s="249">
        <v>2733</v>
      </c>
      <c r="I1216" s="262">
        <f>(H1216/$H$1218)</f>
        <v>1.1881110642571155E-2</v>
      </c>
      <c r="J1216" s="249"/>
      <c r="K1216" s="226"/>
      <c r="L1216" s="10"/>
      <c r="M1216" s="10"/>
      <c r="N1216" s="10"/>
      <c r="O1216" s="10"/>
      <c r="P1216" s="10"/>
      <c r="Q1216" s="10"/>
    </row>
    <row r="1217" spans="1:17" ht="10.15" customHeight="1" x14ac:dyDescent="0.2">
      <c r="A1217" s="249"/>
      <c r="B1217" s="249"/>
      <c r="C1217" s="284"/>
      <c r="D1217" s="308" t="s">
        <v>693</v>
      </c>
      <c r="E1217" s="281"/>
      <c r="F1217" s="257"/>
      <c r="G1217" s="249"/>
      <c r="H1217" s="249">
        <v>227296</v>
      </c>
      <c r="I1217" s="262">
        <f>(H1217/$H$1218)</f>
        <v>0.98811888935742886</v>
      </c>
      <c r="J1217" s="248"/>
      <c r="K1217" s="226"/>
    </row>
    <row r="1218" spans="1:17" ht="10.15" customHeight="1" x14ac:dyDescent="0.2">
      <c r="A1218" s="249"/>
      <c r="B1218" s="249"/>
      <c r="C1218" s="284"/>
      <c r="D1218" s="243" t="s">
        <v>33</v>
      </c>
      <c r="E1218" s="281"/>
      <c r="F1218" s="257"/>
      <c r="G1218" s="249"/>
      <c r="H1218" s="282">
        <f>SUM(H1216:H1217)</f>
        <v>230029</v>
      </c>
      <c r="I1218" s="283">
        <f>(H1218/$H$1218)</f>
        <v>1</v>
      </c>
      <c r="J1218" s="249"/>
      <c r="K1218" s="226"/>
    </row>
    <row r="1219" spans="1:17" ht="10.15" customHeight="1" x14ac:dyDescent="0.2">
      <c r="A1219" s="249"/>
      <c r="B1219" s="249"/>
      <c r="C1219" s="284"/>
      <c r="D1219" s="243"/>
      <c r="E1219" s="281"/>
      <c r="F1219" s="257"/>
      <c r="G1219" s="249"/>
      <c r="H1219" s="249"/>
      <c r="I1219" s="262"/>
      <c r="J1219" s="249"/>
      <c r="K1219" s="226"/>
    </row>
    <row r="1220" spans="1:17" ht="9" customHeight="1" x14ac:dyDescent="0.2">
      <c r="A1220" s="288" t="s">
        <v>20</v>
      </c>
      <c r="B1220" s="288"/>
      <c r="C1220" s="288" t="s">
        <v>513</v>
      </c>
      <c r="D1220" s="324" t="s">
        <v>726</v>
      </c>
      <c r="E1220" s="290" t="s">
        <v>727</v>
      </c>
      <c r="F1220" s="291">
        <v>10480763.67</v>
      </c>
      <c r="G1220" s="292">
        <v>9221</v>
      </c>
      <c r="H1220" s="292"/>
      <c r="I1220" s="293"/>
      <c r="J1220" s="292"/>
      <c r="K1220" s="228"/>
      <c r="L1220" s="31"/>
      <c r="M1220" s="31"/>
      <c r="N1220" s="31"/>
      <c r="O1220" s="31"/>
      <c r="P1220" s="31"/>
      <c r="Q1220" s="31"/>
    </row>
    <row r="1221" spans="1:17" s="31" customFormat="1" ht="10.15" customHeight="1" x14ac:dyDescent="0.2">
      <c r="A1221" s="249"/>
      <c r="B1221" s="249"/>
      <c r="C1221" s="284"/>
      <c r="D1221" s="308" t="s">
        <v>706</v>
      </c>
      <c r="E1221" s="281"/>
      <c r="F1221" s="257"/>
      <c r="G1221" s="249"/>
      <c r="H1221" s="249">
        <v>229</v>
      </c>
      <c r="I1221" s="262">
        <f>(H1221/$H$1223)</f>
        <v>2.6624811068480411E-2</v>
      </c>
      <c r="J1221" s="249"/>
      <c r="K1221" s="226"/>
      <c r="L1221" s="10"/>
      <c r="M1221" s="10"/>
      <c r="N1221" s="10"/>
      <c r="O1221" s="10"/>
      <c r="P1221" s="10"/>
      <c r="Q1221" s="10"/>
    </row>
    <row r="1222" spans="1:17" ht="10.15" customHeight="1" x14ac:dyDescent="0.2">
      <c r="A1222" s="249"/>
      <c r="B1222" s="249"/>
      <c r="C1222" s="284"/>
      <c r="D1222" s="308" t="s">
        <v>693</v>
      </c>
      <c r="E1222" s="281"/>
      <c r="F1222" s="257"/>
      <c r="G1222" s="249"/>
      <c r="H1222" s="249">
        <v>8372</v>
      </c>
      <c r="I1222" s="262">
        <f>(H1222/$H$1223)</f>
        <v>0.97337518893151964</v>
      </c>
      <c r="J1222" s="248"/>
      <c r="K1222" s="226"/>
    </row>
    <row r="1223" spans="1:17" ht="10.15" customHeight="1" x14ac:dyDescent="0.2">
      <c r="A1223" s="249"/>
      <c r="B1223" s="249"/>
      <c r="C1223" s="284"/>
      <c r="D1223" s="243" t="s">
        <v>33</v>
      </c>
      <c r="E1223" s="281"/>
      <c r="F1223" s="257"/>
      <c r="G1223" s="249"/>
      <c r="H1223" s="282">
        <f>SUM(H1221:H1222)</f>
        <v>8601</v>
      </c>
      <c r="I1223" s="283">
        <f>(H1223/$H$1223)</f>
        <v>1</v>
      </c>
      <c r="J1223" s="249"/>
      <c r="K1223" s="226"/>
    </row>
    <row r="1224" spans="1:17" ht="10.15" customHeight="1" x14ac:dyDescent="0.2">
      <c r="A1224" s="249"/>
      <c r="B1224" s="249"/>
      <c r="C1224" s="284"/>
      <c r="D1224" s="243"/>
      <c r="E1224" s="281"/>
      <c r="F1224" s="257"/>
      <c r="G1224" s="249"/>
      <c r="H1224" s="249"/>
      <c r="I1224" s="262"/>
      <c r="J1224" s="249"/>
      <c r="K1224" s="226"/>
    </row>
    <row r="1225" spans="1:17" ht="10.15" customHeight="1" x14ac:dyDescent="0.2">
      <c r="A1225" s="288" t="s">
        <v>20</v>
      </c>
      <c r="B1225" s="288"/>
      <c r="C1225" s="288" t="s">
        <v>291</v>
      </c>
      <c r="D1225" s="324" t="s">
        <v>728</v>
      </c>
      <c r="E1225" s="290">
        <v>43642</v>
      </c>
      <c r="F1225" s="291">
        <v>3375161.14</v>
      </c>
      <c r="G1225" s="292">
        <v>23852</v>
      </c>
      <c r="H1225" s="292"/>
      <c r="I1225" s="293"/>
      <c r="J1225" s="292"/>
      <c r="K1225" s="228"/>
      <c r="L1225" s="31"/>
      <c r="M1225" s="31"/>
      <c r="N1225" s="31"/>
      <c r="O1225" s="31"/>
      <c r="P1225" s="31"/>
      <c r="Q1225" s="31"/>
    </row>
    <row r="1226" spans="1:17" ht="10.15" customHeight="1" x14ac:dyDescent="0.2">
      <c r="A1226" s="249"/>
      <c r="B1226" s="249"/>
      <c r="C1226" s="284"/>
      <c r="D1226" s="263" t="s">
        <v>597</v>
      </c>
      <c r="E1226" s="281"/>
      <c r="F1226" s="257"/>
      <c r="G1226" s="249"/>
      <c r="H1226" s="249">
        <v>4567</v>
      </c>
      <c r="I1226" s="262">
        <f>(H1226/$H$1230)</f>
        <v>0.20634346902814801</v>
      </c>
      <c r="J1226" s="248"/>
      <c r="K1226" s="226"/>
    </row>
    <row r="1227" spans="1:17" ht="10.15" customHeight="1" x14ac:dyDescent="0.2">
      <c r="A1227" s="249"/>
      <c r="B1227" s="249"/>
      <c r="C1227" s="284"/>
      <c r="D1227" s="263" t="s">
        <v>646</v>
      </c>
      <c r="E1227" s="281"/>
      <c r="F1227" s="257"/>
      <c r="G1227" s="249"/>
      <c r="H1227" s="249">
        <v>3694</v>
      </c>
      <c r="I1227" s="262">
        <f>(H1227/$H$1230)</f>
        <v>0.16690010391722768</v>
      </c>
      <c r="J1227" s="249"/>
      <c r="K1227" s="226"/>
    </row>
    <row r="1228" spans="1:17" s="31" customFormat="1" ht="10.15" customHeight="1" x14ac:dyDescent="0.2">
      <c r="A1228" s="249"/>
      <c r="B1228" s="249"/>
      <c r="C1228" s="284"/>
      <c r="D1228" s="263" t="s">
        <v>605</v>
      </c>
      <c r="E1228" s="281"/>
      <c r="F1228" s="257"/>
      <c r="G1228" s="249"/>
      <c r="H1228" s="249">
        <v>5912</v>
      </c>
      <c r="I1228" s="262">
        <f>(H1228/$H$1230)</f>
        <v>0.26711245651289928</v>
      </c>
      <c r="J1228" s="248" t="s">
        <v>612</v>
      </c>
      <c r="K1228" s="226"/>
      <c r="L1228" s="10"/>
      <c r="M1228" s="10"/>
      <c r="N1228" s="10"/>
      <c r="O1228" s="10"/>
      <c r="P1228" s="10"/>
      <c r="Q1228" s="10"/>
    </row>
    <row r="1229" spans="1:17" ht="10.15" customHeight="1" x14ac:dyDescent="0.2">
      <c r="A1229" s="249"/>
      <c r="B1229" s="249"/>
      <c r="C1229" s="284"/>
      <c r="D1229" s="308" t="s">
        <v>693</v>
      </c>
      <c r="E1229" s="281"/>
      <c r="F1229" s="257"/>
      <c r="G1229" s="249"/>
      <c r="H1229" s="249">
        <v>7960</v>
      </c>
      <c r="I1229" s="262">
        <f>(H1229/$H$1230)</f>
        <v>0.35964397054172503</v>
      </c>
      <c r="J1229" s="248"/>
      <c r="K1229" s="226"/>
    </row>
    <row r="1230" spans="1:17" ht="10.15" customHeight="1" x14ac:dyDescent="0.2">
      <c r="A1230" s="249"/>
      <c r="B1230" s="249"/>
      <c r="C1230" s="284"/>
      <c r="D1230" s="243" t="s">
        <v>33</v>
      </c>
      <c r="E1230" s="281"/>
      <c r="F1230" s="257"/>
      <c r="G1230" s="249"/>
      <c r="H1230" s="282">
        <f>SUM(H1226:H1229)</f>
        <v>22133</v>
      </c>
      <c r="I1230" s="262">
        <f>(H1230/$H$1230)</f>
        <v>1</v>
      </c>
      <c r="J1230" s="249"/>
      <c r="K1230" s="226"/>
    </row>
    <row r="1231" spans="1:17" ht="10.15" customHeight="1" x14ac:dyDescent="0.2">
      <c r="A1231" s="249"/>
      <c r="B1231" s="249"/>
      <c r="C1231" s="284"/>
      <c r="D1231" s="243"/>
      <c r="E1231" s="281"/>
      <c r="F1231" s="257"/>
      <c r="G1231" s="249"/>
      <c r="H1231" s="292"/>
      <c r="I1231" s="262"/>
      <c r="J1231" s="249"/>
      <c r="K1231" s="226"/>
    </row>
    <row r="1232" spans="1:17" s="31" customFormat="1" ht="10.15" customHeight="1" x14ac:dyDescent="0.2">
      <c r="A1232" s="288" t="s">
        <v>20</v>
      </c>
      <c r="B1232" s="288"/>
      <c r="C1232" s="288" t="s">
        <v>291</v>
      </c>
      <c r="D1232" s="324" t="s">
        <v>736</v>
      </c>
      <c r="E1232" s="290">
        <v>43913</v>
      </c>
      <c r="F1232" s="291">
        <v>21080731.789999999</v>
      </c>
      <c r="G1232" s="292">
        <v>47942</v>
      </c>
      <c r="H1232" s="292"/>
      <c r="I1232" s="293"/>
      <c r="J1232" s="292"/>
      <c r="K1232" s="228"/>
    </row>
    <row r="1233" spans="1:17" ht="10.15" customHeight="1" x14ac:dyDescent="0.2">
      <c r="A1233" s="249"/>
      <c r="B1233" s="249"/>
      <c r="C1233" s="284"/>
      <c r="D1233" s="263" t="s">
        <v>597</v>
      </c>
      <c r="E1233" s="281"/>
      <c r="F1233" s="257"/>
      <c r="G1233" s="249"/>
      <c r="H1233" s="249">
        <v>2108</v>
      </c>
      <c r="I1233" s="262">
        <f>H1233/H1238</f>
        <v>6.1947162714155575E-2</v>
      </c>
      <c r="J1233" s="248"/>
      <c r="K1233" s="226"/>
    </row>
    <row r="1234" spans="1:17" ht="10.15" customHeight="1" x14ac:dyDescent="0.2">
      <c r="A1234" s="249"/>
      <c r="B1234" s="249"/>
      <c r="C1234" s="284"/>
      <c r="D1234" s="308" t="s">
        <v>42</v>
      </c>
      <c r="E1234" s="281"/>
      <c r="F1234" s="257"/>
      <c r="G1234" s="249"/>
      <c r="H1234" s="249">
        <v>26783</v>
      </c>
      <c r="I1234" s="262">
        <f>H1234/H1238</f>
        <v>0.78706397484498514</v>
      </c>
      <c r="J1234" s="248" t="s">
        <v>42</v>
      </c>
      <c r="K1234" s="226"/>
    </row>
    <row r="1235" spans="1:17" ht="10.15" customHeight="1" x14ac:dyDescent="0.2">
      <c r="A1235" s="249"/>
      <c r="B1235" s="249"/>
      <c r="C1235" s="284"/>
      <c r="D1235" s="308" t="s">
        <v>737</v>
      </c>
      <c r="E1235" s="281"/>
      <c r="F1235" s="257"/>
      <c r="G1235" s="249"/>
      <c r="H1235" s="249">
        <v>665</v>
      </c>
      <c r="I1235" s="262">
        <f>H1235/H1238</f>
        <v>1.954215522054718E-2</v>
      </c>
      <c r="J1235" s="249"/>
      <c r="K1235" s="226"/>
    </row>
    <row r="1236" spans="1:17" ht="10.15" customHeight="1" x14ac:dyDescent="0.2">
      <c r="A1236" s="249"/>
      <c r="B1236" s="249"/>
      <c r="C1236" s="284"/>
      <c r="D1236" s="263" t="s">
        <v>605</v>
      </c>
      <c r="E1236" s="281"/>
      <c r="F1236" s="257"/>
      <c r="G1236" s="249"/>
      <c r="H1236" s="249">
        <v>4445</v>
      </c>
      <c r="I1236" s="262">
        <f>H1236/H1238</f>
        <v>0.13062387963207853</v>
      </c>
      <c r="J1236" s="248"/>
      <c r="K1236" s="228"/>
      <c r="L1236" s="31"/>
      <c r="M1236" s="31"/>
      <c r="N1236" s="31"/>
      <c r="O1236" s="31"/>
      <c r="P1236" s="31"/>
      <c r="Q1236" s="31"/>
    </row>
    <row r="1237" spans="1:17" ht="10.15" customHeight="1" x14ac:dyDescent="0.2">
      <c r="A1237" s="249"/>
      <c r="B1237" s="249"/>
      <c r="C1237" s="284"/>
      <c r="D1237" s="308" t="s">
        <v>99</v>
      </c>
      <c r="E1237" s="281"/>
      <c r="F1237" s="257"/>
      <c r="G1237" s="249"/>
      <c r="H1237" s="249">
        <v>28</v>
      </c>
      <c r="I1237" s="262">
        <f>H1237/H1238</f>
        <v>8.2282758823356552E-4</v>
      </c>
      <c r="J1237" s="248"/>
      <c r="K1237" s="226"/>
    </row>
    <row r="1238" spans="1:17" ht="10.15" customHeight="1" x14ac:dyDescent="0.2">
      <c r="A1238" s="249"/>
      <c r="B1238" s="249"/>
      <c r="C1238" s="284"/>
      <c r="D1238" s="243" t="s">
        <v>33</v>
      </c>
      <c r="E1238" s="281"/>
      <c r="F1238" s="257"/>
      <c r="G1238" s="249"/>
      <c r="H1238" s="282">
        <f>SUM(H1233:H1237)</f>
        <v>34029</v>
      </c>
      <c r="I1238" s="262">
        <f>SUM(I1233:I1237)</f>
        <v>1</v>
      </c>
      <c r="J1238" s="249"/>
      <c r="K1238" s="226"/>
    </row>
    <row r="1239" spans="1:17" ht="10.15" customHeight="1" x14ac:dyDescent="0.2">
      <c r="A1239" s="249"/>
      <c r="B1239" s="249"/>
      <c r="C1239" s="284"/>
      <c r="D1239" s="243"/>
      <c r="E1239" s="281"/>
      <c r="F1239" s="257"/>
      <c r="G1239" s="249"/>
      <c r="H1239" s="292"/>
      <c r="I1239" s="262"/>
      <c r="J1239" s="249"/>
      <c r="K1239" s="226"/>
    </row>
    <row r="1240" spans="1:17" ht="10.15" customHeight="1" x14ac:dyDescent="0.2">
      <c r="A1240" s="249"/>
      <c r="B1240" s="249"/>
      <c r="C1240" s="284"/>
      <c r="D1240" s="243"/>
      <c r="E1240" s="281"/>
      <c r="F1240" s="257"/>
      <c r="G1240" s="249"/>
      <c r="H1240" s="292"/>
      <c r="I1240" s="262"/>
      <c r="J1240" s="249"/>
      <c r="K1240" s="226"/>
    </row>
    <row r="1241" spans="1:17" ht="10.15" customHeight="1" x14ac:dyDescent="0.2">
      <c r="A1241" s="249"/>
      <c r="B1241" s="249"/>
      <c r="C1241" s="284"/>
      <c r="D1241" s="243"/>
      <c r="E1241" s="281"/>
      <c r="F1241" s="257"/>
      <c r="G1241" s="249"/>
      <c r="H1241" s="249"/>
      <c r="I1241" s="262"/>
      <c r="J1241" s="249"/>
      <c r="K1241" s="226"/>
    </row>
    <row r="1242" spans="1:17" ht="10.15" customHeight="1" x14ac:dyDescent="0.2">
      <c r="A1242" s="249"/>
      <c r="B1242" s="249"/>
      <c r="C1242" s="284"/>
      <c r="D1242" s="243"/>
      <c r="E1242" s="281"/>
      <c r="F1242" s="257"/>
      <c r="G1242" s="249"/>
      <c r="H1242" s="249"/>
      <c r="I1242" s="262"/>
      <c r="J1242" s="249"/>
      <c r="K1242" s="226"/>
    </row>
    <row r="1243" spans="1:17" ht="10.15" customHeight="1" x14ac:dyDescent="0.2">
      <c r="A1243" s="243" t="s">
        <v>17</v>
      </c>
      <c r="B1243" s="243" t="s">
        <v>343</v>
      </c>
      <c r="C1243" s="243" t="s">
        <v>236</v>
      </c>
      <c r="D1243" s="244" t="s">
        <v>158</v>
      </c>
      <c r="E1243" s="277" t="s">
        <v>344</v>
      </c>
      <c r="F1243" s="245">
        <v>4849900</v>
      </c>
      <c r="G1243" s="246">
        <v>71500</v>
      </c>
      <c r="H1243" s="242"/>
      <c r="I1243" s="251"/>
      <c r="J1243" s="253"/>
      <c r="K1243" s="226"/>
    </row>
    <row r="1244" spans="1:17" ht="10.15" customHeight="1" x14ac:dyDescent="0.2">
      <c r="A1244" s="248"/>
      <c r="B1244" s="248"/>
      <c r="C1244" s="261"/>
      <c r="D1244" s="244" t="s">
        <v>263</v>
      </c>
      <c r="E1244" s="281"/>
      <c r="F1244" s="257"/>
      <c r="G1244" s="249"/>
      <c r="H1244" s="250">
        <v>12825</v>
      </c>
      <c r="I1244" s="251">
        <f t="shared" ref="I1244:I1250" si="30">ROUND(H1244/$H$1251,4)</f>
        <v>0.31369999999999998</v>
      </c>
      <c r="J1244" s="252" t="s">
        <v>263</v>
      </c>
      <c r="K1244" s="226"/>
    </row>
    <row r="1245" spans="1:17" ht="10.15" customHeight="1" x14ac:dyDescent="0.2">
      <c r="A1245" s="248"/>
      <c r="B1245" s="248"/>
      <c r="C1245" s="261"/>
      <c r="D1245" s="244" t="s">
        <v>240</v>
      </c>
      <c r="E1245" s="281"/>
      <c r="F1245" s="257"/>
      <c r="G1245" s="249"/>
      <c r="H1245" s="250">
        <v>4000</v>
      </c>
      <c r="I1245" s="251">
        <f t="shared" si="30"/>
        <v>9.7799999999999998E-2</v>
      </c>
      <c r="J1245" s="253"/>
      <c r="K1245" s="226"/>
    </row>
    <row r="1246" spans="1:17" ht="10.15" customHeight="1" x14ac:dyDescent="0.2">
      <c r="A1246" s="248"/>
      <c r="B1246" s="248"/>
      <c r="C1246" s="261"/>
      <c r="D1246" s="244" t="s">
        <v>241</v>
      </c>
      <c r="E1246" s="281"/>
      <c r="F1246" s="257"/>
      <c r="G1246" s="249"/>
      <c r="H1246" s="250">
        <v>1200</v>
      </c>
      <c r="I1246" s="251">
        <f t="shared" si="30"/>
        <v>2.9399999999999999E-2</v>
      </c>
      <c r="J1246" s="253"/>
      <c r="K1246" s="226"/>
    </row>
    <row r="1247" spans="1:17" ht="10.15" customHeight="1" x14ac:dyDescent="0.2">
      <c r="A1247" s="248"/>
      <c r="B1247" s="248"/>
      <c r="C1247" s="261"/>
      <c r="D1247" s="244" t="s">
        <v>242</v>
      </c>
      <c r="E1247" s="281"/>
      <c r="F1247" s="257"/>
      <c r="G1247" s="249"/>
      <c r="H1247" s="250">
        <v>19980</v>
      </c>
      <c r="I1247" s="251">
        <f t="shared" si="30"/>
        <v>0.48870000000000002</v>
      </c>
      <c r="J1247" s="252" t="s">
        <v>242</v>
      </c>
      <c r="K1247" s="226"/>
    </row>
    <row r="1248" spans="1:17" ht="10.15" customHeight="1" x14ac:dyDescent="0.2">
      <c r="A1248" s="248"/>
      <c r="B1248" s="248"/>
      <c r="C1248" s="261"/>
      <c r="D1248" s="244" t="s">
        <v>244</v>
      </c>
      <c r="E1248" s="281"/>
      <c r="F1248" s="257"/>
      <c r="G1248" s="249"/>
      <c r="H1248" s="250">
        <v>600</v>
      </c>
      <c r="I1248" s="251">
        <f t="shared" si="30"/>
        <v>1.47E-2</v>
      </c>
      <c r="J1248" s="253"/>
      <c r="K1248" s="226"/>
    </row>
    <row r="1249" spans="1:11" ht="10.15" customHeight="1" x14ac:dyDescent="0.2">
      <c r="A1249" s="248"/>
      <c r="B1249" s="248"/>
      <c r="C1249" s="261"/>
      <c r="D1249" s="244" t="s">
        <v>245</v>
      </c>
      <c r="E1249" s="281"/>
      <c r="F1249" s="257"/>
      <c r="G1249" s="249"/>
      <c r="H1249" s="250">
        <v>2000</v>
      </c>
      <c r="I1249" s="251">
        <f t="shared" si="30"/>
        <v>4.8899999999999999E-2</v>
      </c>
      <c r="J1249" s="253"/>
      <c r="K1249" s="226"/>
    </row>
    <row r="1250" spans="1:11" ht="10.15" customHeight="1" x14ac:dyDescent="0.2">
      <c r="A1250" s="248"/>
      <c r="B1250" s="248"/>
      <c r="C1250" s="261"/>
      <c r="D1250" s="254" t="s">
        <v>246</v>
      </c>
      <c r="E1250" s="281"/>
      <c r="F1250" s="257"/>
      <c r="G1250" s="249"/>
      <c r="H1250" s="250">
        <v>280</v>
      </c>
      <c r="I1250" s="251">
        <f t="shared" si="30"/>
        <v>6.7999999999999996E-3</v>
      </c>
      <c r="J1250" s="253"/>
      <c r="K1250" s="226"/>
    </row>
    <row r="1251" spans="1:11" ht="10.15" customHeight="1" x14ac:dyDescent="0.2">
      <c r="A1251" s="248"/>
      <c r="B1251" s="248"/>
      <c r="C1251" s="261"/>
      <c r="D1251" s="243" t="s">
        <v>33</v>
      </c>
      <c r="E1251" s="281"/>
      <c r="F1251" s="257"/>
      <c r="G1251" s="249"/>
      <c r="H1251" s="255">
        <f>SUM(H1244:H1250)</f>
        <v>40885</v>
      </c>
      <c r="I1251" s="256">
        <f>SUM(I1244:I1250)</f>
        <v>1</v>
      </c>
      <c r="J1251" s="253"/>
      <c r="K1251" s="226"/>
    </row>
    <row r="1252" spans="1:11" ht="10.15" customHeight="1" x14ac:dyDescent="0.2">
      <c r="A1252" s="248"/>
      <c r="B1252" s="248"/>
      <c r="C1252" s="261"/>
      <c r="D1252" s="243"/>
      <c r="E1252" s="281"/>
      <c r="F1252" s="257"/>
      <c r="G1252" s="249"/>
      <c r="H1252" s="258"/>
      <c r="I1252" s="259"/>
      <c r="J1252" s="253"/>
      <c r="K1252" s="226"/>
    </row>
    <row r="1253" spans="1:11" ht="10.15" customHeight="1" x14ac:dyDescent="0.2">
      <c r="A1253" s="243" t="s">
        <v>17</v>
      </c>
      <c r="B1253" s="243" t="s">
        <v>345</v>
      </c>
      <c r="C1253" s="243" t="s">
        <v>236</v>
      </c>
      <c r="D1253" s="244" t="s">
        <v>45</v>
      </c>
      <c r="E1253" s="277" t="s">
        <v>346</v>
      </c>
      <c r="F1253" s="245">
        <v>4885500</v>
      </c>
      <c r="G1253" s="246">
        <v>78403</v>
      </c>
      <c r="H1253" s="242"/>
      <c r="I1253" s="251"/>
      <c r="J1253" s="253"/>
      <c r="K1253" s="226"/>
    </row>
    <row r="1254" spans="1:11" ht="10.15" customHeight="1" x14ac:dyDescent="0.2">
      <c r="A1254" s="248"/>
      <c r="B1254" s="248"/>
      <c r="C1254" s="261"/>
      <c r="D1254" s="244" t="s">
        <v>263</v>
      </c>
      <c r="E1254" s="281"/>
      <c r="F1254" s="257"/>
      <c r="G1254" s="249"/>
      <c r="H1254" s="250">
        <v>2600</v>
      </c>
      <c r="I1254" s="251">
        <f>ROUND(H1254/$H$1259,4)</f>
        <v>4.07E-2</v>
      </c>
      <c r="J1254" s="253"/>
      <c r="K1254" s="226"/>
    </row>
    <row r="1255" spans="1:11" ht="10.15" customHeight="1" x14ac:dyDescent="0.2">
      <c r="A1255" s="248"/>
      <c r="B1255" s="248"/>
      <c r="C1255" s="261"/>
      <c r="D1255" s="244" t="s">
        <v>240</v>
      </c>
      <c r="E1255" s="281"/>
      <c r="F1255" s="257"/>
      <c r="G1255" s="249"/>
      <c r="H1255" s="250">
        <v>800</v>
      </c>
      <c r="I1255" s="251">
        <f>ROUND(H1255/$H$1259,4)</f>
        <v>1.2500000000000001E-2</v>
      </c>
      <c r="J1255" s="253"/>
      <c r="K1255" s="226"/>
    </row>
    <row r="1256" spans="1:11" ht="12.2" customHeight="1" x14ac:dyDescent="0.2">
      <c r="A1256" s="248"/>
      <c r="B1256" s="248"/>
      <c r="C1256" s="261"/>
      <c r="D1256" s="244" t="s">
        <v>243</v>
      </c>
      <c r="E1256" s="281"/>
      <c r="F1256" s="257"/>
      <c r="G1256" s="249"/>
      <c r="H1256" s="250">
        <v>56952</v>
      </c>
      <c r="I1256" s="251">
        <f>ROUND(H1256/$H$1259,4)</f>
        <v>0.89239999999999997</v>
      </c>
      <c r="J1256" s="252" t="s">
        <v>243</v>
      </c>
      <c r="K1256" s="226"/>
    </row>
    <row r="1257" spans="1:11" ht="10.15" customHeight="1" x14ac:dyDescent="0.2">
      <c r="A1257" s="248"/>
      <c r="B1257" s="248"/>
      <c r="C1257" s="261"/>
      <c r="D1257" s="244" t="s">
        <v>242</v>
      </c>
      <c r="E1257" s="281"/>
      <c r="F1257" s="257"/>
      <c r="G1257" s="249"/>
      <c r="H1257" s="250">
        <v>2820</v>
      </c>
      <c r="I1257" s="251">
        <f>ROUND(H1257/$H$1259,4)</f>
        <v>4.4200000000000003E-2</v>
      </c>
      <c r="J1257" s="253"/>
      <c r="K1257" s="226"/>
    </row>
    <row r="1258" spans="1:11" ht="10.15" customHeight="1" x14ac:dyDescent="0.2">
      <c r="A1258" s="248"/>
      <c r="B1258" s="248"/>
      <c r="C1258" s="261"/>
      <c r="D1258" s="244" t="s">
        <v>245</v>
      </c>
      <c r="E1258" s="281"/>
      <c r="F1258" s="257"/>
      <c r="G1258" s="249"/>
      <c r="H1258" s="250">
        <v>645</v>
      </c>
      <c r="I1258" s="251">
        <f>ROUND(H1258/$H$1259,4)+0.0001</f>
        <v>1.0199999999999999E-2</v>
      </c>
      <c r="J1258" s="253"/>
      <c r="K1258" s="226"/>
    </row>
    <row r="1259" spans="1:11" ht="10.15" customHeight="1" x14ac:dyDescent="0.2">
      <c r="A1259" s="248"/>
      <c r="B1259" s="248"/>
      <c r="C1259" s="261"/>
      <c r="D1259" s="243" t="s">
        <v>33</v>
      </c>
      <c r="E1259" s="281"/>
      <c r="F1259" s="257"/>
      <c r="G1259" s="249"/>
      <c r="H1259" s="255">
        <f>SUM(H1254:H1258)</f>
        <v>63817</v>
      </c>
      <c r="I1259" s="256">
        <f>SUM(I1254:I1258)</f>
        <v>1</v>
      </c>
      <c r="J1259" s="253"/>
      <c r="K1259" s="226"/>
    </row>
    <row r="1260" spans="1:11" ht="10.15" customHeight="1" x14ac:dyDescent="0.2">
      <c r="A1260" s="248"/>
      <c r="B1260" s="248"/>
      <c r="C1260" s="261"/>
      <c r="D1260" s="243"/>
      <c r="E1260" s="281"/>
      <c r="F1260" s="257"/>
      <c r="G1260" s="249"/>
      <c r="H1260" s="258"/>
      <c r="I1260" s="259"/>
      <c r="J1260" s="253"/>
      <c r="K1260" s="226"/>
    </row>
    <row r="1261" spans="1:11" ht="12.2" customHeight="1" x14ac:dyDescent="0.2">
      <c r="A1261" s="243" t="s">
        <v>17</v>
      </c>
      <c r="B1261" s="243" t="s">
        <v>347</v>
      </c>
      <c r="C1261" s="243" t="s">
        <v>236</v>
      </c>
      <c r="D1261" s="244" t="s">
        <v>348</v>
      </c>
      <c r="E1261" s="277" t="s">
        <v>349</v>
      </c>
      <c r="F1261" s="245">
        <v>1486102</v>
      </c>
      <c r="G1261" s="246">
        <v>20886</v>
      </c>
      <c r="H1261" s="242"/>
      <c r="I1261" s="251"/>
      <c r="J1261" s="253"/>
      <c r="K1261" s="226"/>
    </row>
    <row r="1262" spans="1:11" ht="10.15" customHeight="1" x14ac:dyDescent="0.2">
      <c r="A1262" s="248"/>
      <c r="B1262" s="248"/>
      <c r="C1262" s="261"/>
      <c r="D1262" s="244" t="s">
        <v>263</v>
      </c>
      <c r="E1262" s="281"/>
      <c r="F1262" s="257"/>
      <c r="G1262" s="249"/>
      <c r="H1262" s="250">
        <v>412</v>
      </c>
      <c r="I1262" s="251">
        <f>ROUND(H1262/$H$1266,4)</f>
        <v>2.52E-2</v>
      </c>
      <c r="J1262" s="253"/>
      <c r="K1262" s="226"/>
    </row>
    <row r="1263" spans="1:11" ht="10.15" customHeight="1" x14ac:dyDescent="0.2">
      <c r="A1263" s="248"/>
      <c r="B1263" s="248"/>
      <c r="C1263" s="261"/>
      <c r="D1263" s="244" t="s">
        <v>240</v>
      </c>
      <c r="E1263" s="281"/>
      <c r="F1263" s="257"/>
      <c r="G1263" s="249"/>
      <c r="H1263" s="250">
        <v>6988</v>
      </c>
      <c r="I1263" s="251">
        <f>ROUND(H1263/$H$1266,4)</f>
        <v>0.42799999999999999</v>
      </c>
      <c r="J1263" s="252" t="s">
        <v>240</v>
      </c>
      <c r="K1263" s="226"/>
    </row>
    <row r="1264" spans="1:11" ht="10.15" customHeight="1" x14ac:dyDescent="0.2">
      <c r="A1264" s="248"/>
      <c r="B1264" s="248"/>
      <c r="C1264" s="261"/>
      <c r="D1264" s="244" t="s">
        <v>242</v>
      </c>
      <c r="E1264" s="281"/>
      <c r="F1264" s="257"/>
      <c r="G1264" s="249"/>
      <c r="H1264" s="250">
        <v>1580</v>
      </c>
      <c r="I1264" s="251">
        <f>ROUND(H1264/$H$1266,4)</f>
        <v>9.6799999999999997E-2</v>
      </c>
      <c r="J1264" s="253"/>
      <c r="K1264" s="226"/>
    </row>
    <row r="1265" spans="1:11" ht="10.15" customHeight="1" x14ac:dyDescent="0.2">
      <c r="A1265" s="248"/>
      <c r="B1265" s="248"/>
      <c r="C1265" s="261"/>
      <c r="D1265" s="244" t="s">
        <v>264</v>
      </c>
      <c r="E1265" s="281"/>
      <c r="F1265" s="257"/>
      <c r="G1265" s="249"/>
      <c r="H1265" s="250">
        <v>7346</v>
      </c>
      <c r="I1265" s="251">
        <f>ROUND(H1265/$H$1266,4)</f>
        <v>0.45</v>
      </c>
      <c r="J1265" s="252" t="s">
        <v>264</v>
      </c>
      <c r="K1265" s="226"/>
    </row>
    <row r="1266" spans="1:11" ht="12.2" customHeight="1" x14ac:dyDescent="0.2">
      <c r="A1266" s="248"/>
      <c r="B1266" s="248"/>
      <c r="C1266" s="261"/>
      <c r="D1266" s="243" t="s">
        <v>33</v>
      </c>
      <c r="E1266" s="281"/>
      <c r="F1266" s="257"/>
      <c r="G1266" s="249"/>
      <c r="H1266" s="325">
        <f>SUM(H1262:H1265)</f>
        <v>16326</v>
      </c>
      <c r="I1266" s="326">
        <f>SUM(I1262:I1265)</f>
        <v>1</v>
      </c>
      <c r="J1266" s="253"/>
      <c r="K1266" s="226"/>
    </row>
    <row r="1267" spans="1:11" ht="10.15" customHeight="1" x14ac:dyDescent="0.2">
      <c r="A1267" s="248"/>
      <c r="B1267" s="248"/>
      <c r="C1267" s="261"/>
      <c r="D1267" s="243"/>
      <c r="E1267" s="281"/>
      <c r="F1267" s="257"/>
      <c r="G1267" s="249"/>
      <c r="H1267" s="258"/>
      <c r="I1267" s="259"/>
      <c r="J1267" s="253"/>
      <c r="K1267" s="226"/>
    </row>
    <row r="1268" spans="1:11" ht="10.15" customHeight="1" x14ac:dyDescent="0.2">
      <c r="A1268" s="243" t="s">
        <v>17</v>
      </c>
      <c r="B1268" s="243" t="s">
        <v>350</v>
      </c>
      <c r="C1268" s="243" t="s">
        <v>236</v>
      </c>
      <c r="D1268" s="244" t="s">
        <v>351</v>
      </c>
      <c r="E1268" s="277" t="s">
        <v>259</v>
      </c>
      <c r="F1268" s="245">
        <v>1597000</v>
      </c>
      <c r="G1268" s="246">
        <v>22161</v>
      </c>
      <c r="H1268" s="242"/>
      <c r="I1268" s="251"/>
      <c r="J1268" s="253"/>
      <c r="K1268" s="226"/>
    </row>
    <row r="1269" spans="1:11" ht="10.15" customHeight="1" x14ac:dyDescent="0.2">
      <c r="A1269" s="248"/>
      <c r="B1269" s="248"/>
      <c r="C1269" s="261"/>
      <c r="D1269" s="244" t="s">
        <v>242</v>
      </c>
      <c r="E1269" s="281"/>
      <c r="F1269" s="257"/>
      <c r="G1269" s="249"/>
      <c r="H1269" s="250">
        <v>6220</v>
      </c>
      <c r="I1269" s="251">
        <f>ROUND(H1269/$H$1271,4)</f>
        <v>0.42899999999999999</v>
      </c>
      <c r="J1269" s="253"/>
      <c r="K1269" s="226"/>
    </row>
    <row r="1270" spans="1:11" ht="12.2" customHeight="1" x14ac:dyDescent="0.2">
      <c r="A1270" s="248"/>
      <c r="B1270" s="248"/>
      <c r="C1270" s="261"/>
      <c r="D1270" s="244" t="s">
        <v>244</v>
      </c>
      <c r="E1270" s="281"/>
      <c r="F1270" s="257"/>
      <c r="G1270" s="249"/>
      <c r="H1270" s="250">
        <v>8280</v>
      </c>
      <c r="I1270" s="251">
        <f>ROUND(H1270/$H$1271,4)</f>
        <v>0.57099999999999995</v>
      </c>
      <c r="J1270" s="252" t="s">
        <v>244</v>
      </c>
      <c r="K1270" s="226"/>
    </row>
    <row r="1271" spans="1:11" ht="10.15" customHeight="1" x14ac:dyDescent="0.2">
      <c r="A1271" s="248"/>
      <c r="B1271" s="248"/>
      <c r="C1271" s="261"/>
      <c r="D1271" s="243" t="s">
        <v>33</v>
      </c>
      <c r="E1271" s="281"/>
      <c r="F1271" s="257"/>
      <c r="G1271" s="249"/>
      <c r="H1271" s="255">
        <f>SUM(H1269:H1270)</f>
        <v>14500</v>
      </c>
      <c r="I1271" s="256">
        <f>SUM(I1269:I1270)</f>
        <v>1</v>
      </c>
      <c r="J1271" s="253"/>
      <c r="K1271" s="226"/>
    </row>
    <row r="1272" spans="1:11" ht="10.15" customHeight="1" x14ac:dyDescent="0.2">
      <c r="A1272" s="248"/>
      <c r="B1272" s="248"/>
      <c r="C1272" s="261"/>
      <c r="D1272" s="243"/>
      <c r="E1272" s="281"/>
      <c r="F1272" s="257"/>
      <c r="G1272" s="249"/>
      <c r="H1272" s="258"/>
      <c r="I1272" s="259"/>
      <c r="J1272" s="253"/>
      <c r="K1272" s="226"/>
    </row>
    <row r="1273" spans="1:11" ht="10.15" customHeight="1" x14ac:dyDescent="0.2">
      <c r="A1273" s="243" t="s">
        <v>17</v>
      </c>
      <c r="B1273" s="243" t="s">
        <v>352</v>
      </c>
      <c r="C1273" s="243" t="s">
        <v>236</v>
      </c>
      <c r="D1273" s="244" t="s">
        <v>164</v>
      </c>
      <c r="E1273" s="277" t="s">
        <v>353</v>
      </c>
      <c r="F1273" s="245">
        <v>8122000</v>
      </c>
      <c r="G1273" s="246">
        <v>75486</v>
      </c>
      <c r="H1273" s="242"/>
      <c r="I1273" s="242"/>
      <c r="J1273" s="253"/>
      <c r="K1273" s="226"/>
    </row>
    <row r="1274" spans="1:11" ht="10.15" customHeight="1" x14ac:dyDescent="0.2">
      <c r="A1274" s="248"/>
      <c r="B1274" s="248"/>
      <c r="C1274" s="261"/>
      <c r="D1274" s="244" t="s">
        <v>263</v>
      </c>
      <c r="E1274" s="281"/>
      <c r="F1274" s="257"/>
      <c r="G1274" s="249"/>
      <c r="H1274" s="250">
        <v>17170</v>
      </c>
      <c r="I1274" s="251">
        <f>ROUND(H1274/$H$1279,4)</f>
        <v>0.29780000000000001</v>
      </c>
      <c r="J1274" s="252" t="s">
        <v>263</v>
      </c>
      <c r="K1274" s="226"/>
    </row>
    <row r="1275" spans="1:11" ht="10.15" customHeight="1" x14ac:dyDescent="0.2">
      <c r="A1275" s="248"/>
      <c r="B1275" s="248"/>
      <c r="C1275" s="261"/>
      <c r="D1275" s="244" t="s">
        <v>240</v>
      </c>
      <c r="E1275" s="281"/>
      <c r="F1275" s="257"/>
      <c r="G1275" s="249"/>
      <c r="H1275" s="250">
        <v>10520</v>
      </c>
      <c r="I1275" s="251">
        <f>ROUND(H1275/$H$1279,4)</f>
        <v>0.1825</v>
      </c>
      <c r="J1275" s="253"/>
      <c r="K1275" s="226"/>
    </row>
    <row r="1276" spans="1:11" ht="10.15" customHeight="1" x14ac:dyDescent="0.2">
      <c r="A1276" s="248"/>
      <c r="B1276" s="248"/>
      <c r="C1276" s="261"/>
      <c r="D1276" s="244" t="s">
        <v>241</v>
      </c>
      <c r="E1276" s="281"/>
      <c r="F1276" s="257"/>
      <c r="G1276" s="249"/>
      <c r="H1276" s="250">
        <v>14850</v>
      </c>
      <c r="I1276" s="251">
        <f>ROUND(H1276/$H$1279,4)</f>
        <v>0.2576</v>
      </c>
      <c r="J1276" s="252" t="s">
        <v>241</v>
      </c>
      <c r="K1276" s="226"/>
    </row>
    <row r="1277" spans="1:11" ht="10.15" customHeight="1" x14ac:dyDescent="0.2">
      <c r="A1277" s="248"/>
      <c r="B1277" s="248"/>
      <c r="C1277" s="261"/>
      <c r="D1277" s="244" t="s">
        <v>242</v>
      </c>
      <c r="E1277" s="281"/>
      <c r="F1277" s="257"/>
      <c r="G1277" s="249"/>
      <c r="H1277" s="250">
        <v>12520</v>
      </c>
      <c r="I1277" s="251">
        <f>ROUND(H1277/$H$1279,4)</f>
        <v>0.2172</v>
      </c>
      <c r="J1277" s="253" t="s">
        <v>242</v>
      </c>
      <c r="K1277" s="226"/>
    </row>
    <row r="1278" spans="1:11" ht="10.15" customHeight="1" x14ac:dyDescent="0.2">
      <c r="A1278" s="248"/>
      <c r="B1278" s="248"/>
      <c r="C1278" s="261"/>
      <c r="D1278" s="254" t="s">
        <v>246</v>
      </c>
      <c r="E1278" s="281"/>
      <c r="F1278" s="257"/>
      <c r="G1278" s="249"/>
      <c r="H1278" s="250">
        <v>2590</v>
      </c>
      <c r="I1278" s="251">
        <f>ROUND(H1278/$H$1279,4)</f>
        <v>4.4900000000000002E-2</v>
      </c>
      <c r="J1278" s="253"/>
      <c r="K1278" s="226"/>
    </row>
    <row r="1279" spans="1:11" ht="10.15" customHeight="1" x14ac:dyDescent="0.2">
      <c r="A1279" s="248"/>
      <c r="B1279" s="248"/>
      <c r="C1279" s="261"/>
      <c r="D1279" s="243" t="s">
        <v>33</v>
      </c>
      <c r="E1279" s="281"/>
      <c r="F1279" s="257"/>
      <c r="G1279" s="249"/>
      <c r="H1279" s="255">
        <f>SUM(H1274:H1278)</f>
        <v>57650</v>
      </c>
      <c r="I1279" s="256">
        <f>SUM(I1274:I1278)</f>
        <v>1</v>
      </c>
      <c r="J1279" s="253"/>
      <c r="K1279" s="226"/>
    </row>
    <row r="1280" spans="1:11" ht="10.15" customHeight="1" x14ac:dyDescent="0.2">
      <c r="A1280" s="248"/>
      <c r="B1280" s="248"/>
      <c r="C1280" s="261"/>
      <c r="D1280" s="249"/>
      <c r="E1280" s="281"/>
      <c r="F1280" s="257"/>
      <c r="G1280" s="249"/>
      <c r="H1280" s="242"/>
      <c r="I1280" s="242"/>
      <c r="J1280" s="253"/>
      <c r="K1280" s="226"/>
    </row>
    <row r="1281" spans="1:11" ht="10.35" customHeight="1" x14ac:dyDescent="0.2">
      <c r="A1281" s="243" t="s">
        <v>17</v>
      </c>
      <c r="B1281" s="243" t="s">
        <v>354</v>
      </c>
      <c r="C1281" s="243" t="s">
        <v>236</v>
      </c>
      <c r="D1281" s="254" t="s">
        <v>165</v>
      </c>
      <c r="E1281" s="277" t="s">
        <v>304</v>
      </c>
      <c r="F1281" s="245">
        <v>7160300</v>
      </c>
      <c r="G1281" s="246">
        <v>81301</v>
      </c>
      <c r="H1281" s="242"/>
      <c r="I1281" s="242"/>
      <c r="J1281" s="253"/>
      <c r="K1281" s="226"/>
    </row>
    <row r="1282" spans="1:11" ht="10.35" customHeight="1" x14ac:dyDescent="0.2">
      <c r="A1282" s="248"/>
      <c r="B1282" s="248"/>
      <c r="C1282" s="261"/>
      <c r="D1282" s="244" t="s">
        <v>263</v>
      </c>
      <c r="E1282" s="281"/>
      <c r="F1282" s="257"/>
      <c r="G1282" s="249"/>
      <c r="H1282" s="250">
        <v>10725</v>
      </c>
      <c r="I1282" s="251">
        <f>ROUND(H1282/$H$1288,4)</f>
        <v>0.2049</v>
      </c>
      <c r="J1282" s="253" t="s">
        <v>263</v>
      </c>
      <c r="K1282" s="226"/>
    </row>
    <row r="1283" spans="1:11" ht="10.35" customHeight="1" x14ac:dyDescent="0.2">
      <c r="A1283" s="248"/>
      <c r="B1283" s="248"/>
      <c r="C1283" s="261"/>
      <c r="D1283" s="244" t="s">
        <v>240</v>
      </c>
      <c r="E1283" s="281"/>
      <c r="F1283" s="257"/>
      <c r="G1283" s="249"/>
      <c r="H1283" s="250">
        <v>17615</v>
      </c>
      <c r="I1283" s="251">
        <f>ROUND(H1283/$H$1288,4)</f>
        <v>0.33650000000000002</v>
      </c>
      <c r="J1283" s="252" t="s">
        <v>240</v>
      </c>
      <c r="K1283" s="226"/>
    </row>
    <row r="1284" spans="1:11" ht="10.35" customHeight="1" x14ac:dyDescent="0.2">
      <c r="A1284" s="248"/>
      <c r="B1284" s="248"/>
      <c r="C1284" s="261"/>
      <c r="D1284" s="244" t="s">
        <v>241</v>
      </c>
      <c r="E1284" s="281"/>
      <c r="F1284" s="257"/>
      <c r="G1284" s="249"/>
      <c r="H1284" s="250">
        <v>1370</v>
      </c>
      <c r="I1284" s="251">
        <f>ROUND(H1284/$H$1288,4)-0.0001</f>
        <v>2.6100000000000002E-2</v>
      </c>
      <c r="J1284" s="253"/>
      <c r="K1284" s="226"/>
    </row>
    <row r="1285" spans="1:11" ht="10.35" customHeight="1" x14ac:dyDescent="0.2">
      <c r="A1285" s="248"/>
      <c r="B1285" s="248"/>
      <c r="C1285" s="261"/>
      <c r="D1285" s="244" t="s">
        <v>242</v>
      </c>
      <c r="E1285" s="281"/>
      <c r="F1285" s="257"/>
      <c r="G1285" s="249"/>
      <c r="H1285" s="250">
        <v>20840</v>
      </c>
      <c r="I1285" s="251">
        <f>ROUND(H1285/$H$1288,4)</f>
        <v>0.39810000000000001</v>
      </c>
      <c r="J1285" s="252" t="s">
        <v>242</v>
      </c>
      <c r="K1285" s="226"/>
    </row>
    <row r="1286" spans="1:11" ht="10.15" customHeight="1" x14ac:dyDescent="0.2">
      <c r="A1286" s="248"/>
      <c r="B1286" s="248"/>
      <c r="C1286" s="261"/>
      <c r="D1286" s="244" t="s">
        <v>244</v>
      </c>
      <c r="E1286" s="281"/>
      <c r="F1286" s="257"/>
      <c r="G1286" s="249"/>
      <c r="H1286" s="250">
        <v>900</v>
      </c>
      <c r="I1286" s="251">
        <f>ROUND(H1286/$H$1288,4)</f>
        <v>1.72E-2</v>
      </c>
      <c r="J1286" s="253"/>
      <c r="K1286" s="226"/>
    </row>
    <row r="1287" spans="1:11" ht="10.15" customHeight="1" x14ac:dyDescent="0.2">
      <c r="A1287" s="248"/>
      <c r="B1287" s="248"/>
      <c r="C1287" s="261"/>
      <c r="D1287" s="244" t="s">
        <v>245</v>
      </c>
      <c r="E1287" s="281"/>
      <c r="F1287" s="257"/>
      <c r="G1287" s="249"/>
      <c r="H1287" s="250">
        <v>900</v>
      </c>
      <c r="I1287" s="251">
        <f>ROUND(H1287/$H$1288,4)</f>
        <v>1.72E-2</v>
      </c>
      <c r="J1287" s="253"/>
      <c r="K1287" s="226"/>
    </row>
    <row r="1288" spans="1:11" ht="10.15" customHeight="1" x14ac:dyDescent="0.2">
      <c r="A1288" s="248"/>
      <c r="B1288" s="248"/>
      <c r="C1288" s="261"/>
      <c r="D1288" s="243" t="s">
        <v>33</v>
      </c>
      <c r="E1288" s="281"/>
      <c r="F1288" s="257"/>
      <c r="G1288" s="249"/>
      <c r="H1288" s="255">
        <f>SUM(H1282:H1287)</f>
        <v>52350</v>
      </c>
      <c r="I1288" s="256">
        <f>SUM(I1282:I1287)</f>
        <v>1</v>
      </c>
      <c r="J1288" s="253"/>
      <c r="K1288" s="226"/>
    </row>
    <row r="1289" spans="1:11" ht="10.15" customHeight="1" x14ac:dyDescent="0.2">
      <c r="A1289" s="248"/>
      <c r="B1289" s="248"/>
      <c r="C1289" s="261"/>
      <c r="D1289" s="249"/>
      <c r="E1289" s="281"/>
      <c r="F1289" s="257"/>
      <c r="G1289" s="249"/>
      <c r="H1289" s="242"/>
      <c r="I1289" s="242"/>
      <c r="J1289" s="253"/>
      <c r="K1289" s="226"/>
    </row>
    <row r="1290" spans="1:11" ht="10.15" customHeight="1" x14ac:dyDescent="0.2">
      <c r="A1290" s="243" t="s">
        <v>17</v>
      </c>
      <c r="B1290" s="243" t="s">
        <v>355</v>
      </c>
      <c r="C1290" s="243" t="s">
        <v>236</v>
      </c>
      <c r="D1290" s="244" t="s">
        <v>186</v>
      </c>
      <c r="E1290" s="277" t="s">
        <v>356</v>
      </c>
      <c r="F1290" s="245">
        <v>7124700</v>
      </c>
      <c r="G1290" s="246">
        <v>60000</v>
      </c>
      <c r="H1290" s="242"/>
      <c r="I1290" s="242"/>
      <c r="J1290" s="253"/>
      <c r="K1290" s="226"/>
    </row>
    <row r="1291" spans="1:11" ht="10.15" customHeight="1" x14ac:dyDescent="0.2">
      <c r="A1291" s="248"/>
      <c r="B1291" s="248"/>
      <c r="C1291" s="261"/>
      <c r="D1291" s="244" t="s">
        <v>263</v>
      </c>
      <c r="E1291" s="281"/>
      <c r="F1291" s="257"/>
      <c r="G1291" s="249"/>
      <c r="H1291" s="250">
        <v>2650</v>
      </c>
      <c r="I1291" s="251">
        <f>ROUND(H1291/$H$1296,4)</f>
        <v>6.6299999999999998E-2</v>
      </c>
      <c r="J1291" s="253"/>
      <c r="K1291" s="226"/>
    </row>
    <row r="1292" spans="1:11" ht="10.15" customHeight="1" x14ac:dyDescent="0.2">
      <c r="A1292" s="248"/>
      <c r="B1292" s="248"/>
      <c r="C1292" s="261"/>
      <c r="D1292" s="244" t="s">
        <v>240</v>
      </c>
      <c r="E1292" s="281"/>
      <c r="F1292" s="257"/>
      <c r="G1292" s="249"/>
      <c r="H1292" s="250">
        <v>600</v>
      </c>
      <c r="I1292" s="251">
        <f>ROUND(H1292/$H$1296,4)</f>
        <v>1.4999999999999999E-2</v>
      </c>
      <c r="J1292" s="253"/>
      <c r="K1292" s="226"/>
    </row>
    <row r="1293" spans="1:11" ht="10.15" customHeight="1" x14ac:dyDescent="0.2">
      <c r="A1293" s="248"/>
      <c r="B1293" s="248"/>
      <c r="C1293" s="261"/>
      <c r="D1293" s="244" t="s">
        <v>241</v>
      </c>
      <c r="E1293" s="281"/>
      <c r="F1293" s="257"/>
      <c r="G1293" s="249"/>
      <c r="H1293" s="250">
        <v>30350</v>
      </c>
      <c r="I1293" s="251">
        <f>ROUND(H1293/$H$1296,4)</f>
        <v>0.75880000000000003</v>
      </c>
      <c r="J1293" s="252" t="s">
        <v>241</v>
      </c>
      <c r="K1293" s="226"/>
    </row>
    <row r="1294" spans="1:11" ht="10.15" customHeight="1" x14ac:dyDescent="0.2">
      <c r="A1294" s="248"/>
      <c r="B1294" s="248"/>
      <c r="C1294" s="261"/>
      <c r="D1294" s="244" t="s">
        <v>242</v>
      </c>
      <c r="E1294" s="281"/>
      <c r="F1294" s="257"/>
      <c r="G1294" s="249"/>
      <c r="H1294" s="250">
        <v>5800</v>
      </c>
      <c r="I1294" s="251">
        <f>ROUND(H1294/$H$1296,4)</f>
        <v>0.14499999999999999</v>
      </c>
      <c r="J1294" s="253"/>
      <c r="K1294" s="226"/>
    </row>
    <row r="1295" spans="1:11" ht="10.15" customHeight="1" x14ac:dyDescent="0.2">
      <c r="A1295" s="248"/>
      <c r="B1295" s="248"/>
      <c r="C1295" s="261"/>
      <c r="D1295" s="244" t="s">
        <v>245</v>
      </c>
      <c r="E1295" s="281"/>
      <c r="F1295" s="257"/>
      <c r="G1295" s="249"/>
      <c r="H1295" s="250">
        <v>600</v>
      </c>
      <c r="I1295" s="251">
        <f>ROUND(H1295/$H$1296,4)-0.0001</f>
        <v>1.49E-2</v>
      </c>
      <c r="J1295" s="253"/>
      <c r="K1295" s="226"/>
    </row>
    <row r="1296" spans="1:11" ht="10.15" customHeight="1" x14ac:dyDescent="0.2">
      <c r="A1296" s="248"/>
      <c r="B1296" s="248"/>
      <c r="C1296" s="261"/>
      <c r="D1296" s="243" t="s">
        <v>33</v>
      </c>
      <c r="E1296" s="281"/>
      <c r="F1296" s="257"/>
      <c r="G1296" s="249"/>
      <c r="H1296" s="255">
        <f>SUM(H1291:H1295)</f>
        <v>40000</v>
      </c>
      <c r="I1296" s="256">
        <f>SUM(I1291:I1295)</f>
        <v>1</v>
      </c>
      <c r="J1296" s="253"/>
      <c r="K1296" s="226"/>
    </row>
    <row r="1297" spans="1:11" ht="10.15" customHeight="1" x14ac:dyDescent="0.2">
      <c r="A1297" s="248"/>
      <c r="B1297" s="248"/>
      <c r="C1297" s="261"/>
      <c r="D1297" s="249"/>
      <c r="E1297" s="281"/>
      <c r="F1297" s="257"/>
      <c r="G1297" s="249"/>
      <c r="H1297" s="242"/>
      <c r="I1297" s="242"/>
      <c r="J1297" s="253"/>
      <c r="K1297" s="226"/>
    </row>
    <row r="1298" spans="1:11" ht="10.15" customHeight="1" x14ac:dyDescent="0.2">
      <c r="A1298" s="243" t="s">
        <v>17</v>
      </c>
      <c r="B1298" s="243" t="s">
        <v>357</v>
      </c>
      <c r="C1298" s="243" t="s">
        <v>236</v>
      </c>
      <c r="D1298" s="254" t="s">
        <v>200</v>
      </c>
      <c r="E1298" s="277" t="s">
        <v>308</v>
      </c>
      <c r="F1298" s="245">
        <v>813910</v>
      </c>
      <c r="G1298" s="246">
        <v>11908</v>
      </c>
      <c r="H1298" s="242"/>
      <c r="I1298" s="242"/>
      <c r="J1298" s="253"/>
      <c r="K1298" s="226"/>
    </row>
    <row r="1299" spans="1:11" ht="10.15" customHeight="1" x14ac:dyDescent="0.2">
      <c r="A1299" s="248"/>
      <c r="B1299" s="248"/>
      <c r="C1299" s="261"/>
      <c r="D1299" s="244" t="s">
        <v>242</v>
      </c>
      <c r="E1299" s="281"/>
      <c r="F1299" s="257"/>
      <c r="G1299" s="249"/>
      <c r="H1299" s="255">
        <v>10804</v>
      </c>
      <c r="I1299" s="256">
        <f>ROUND(H1299/$H$1299,4)</f>
        <v>1</v>
      </c>
      <c r="J1299" s="252" t="s">
        <v>242</v>
      </c>
      <c r="K1299" s="226"/>
    </row>
    <row r="1300" spans="1:11" ht="12.2" customHeight="1" x14ac:dyDescent="0.2">
      <c r="A1300" s="248"/>
      <c r="B1300" s="248"/>
      <c r="C1300" s="261"/>
      <c r="D1300" s="249"/>
      <c r="E1300" s="281"/>
      <c r="F1300" s="257"/>
      <c r="G1300" s="249"/>
      <c r="H1300" s="242"/>
      <c r="I1300" s="242"/>
      <c r="J1300" s="253"/>
      <c r="K1300" s="226"/>
    </row>
    <row r="1301" spans="1:11" ht="10.15" customHeight="1" x14ac:dyDescent="0.2">
      <c r="A1301" s="243" t="s">
        <v>17</v>
      </c>
      <c r="B1301" s="243" t="s">
        <v>358</v>
      </c>
      <c r="C1301" s="243" t="s">
        <v>236</v>
      </c>
      <c r="D1301" s="244" t="s">
        <v>359</v>
      </c>
      <c r="E1301" s="277" t="s">
        <v>308</v>
      </c>
      <c r="F1301" s="245">
        <v>1651610</v>
      </c>
      <c r="G1301" s="246">
        <v>19327</v>
      </c>
      <c r="H1301" s="242"/>
      <c r="I1301" s="242"/>
      <c r="J1301" s="253"/>
      <c r="K1301" s="226"/>
    </row>
    <row r="1302" spans="1:11" ht="10.15" customHeight="1" x14ac:dyDescent="0.2">
      <c r="A1302" s="248"/>
      <c r="B1302" s="248"/>
      <c r="C1302" s="261"/>
      <c r="D1302" s="244" t="s">
        <v>263</v>
      </c>
      <c r="E1302" s="281"/>
      <c r="F1302" s="257"/>
      <c r="G1302" s="249"/>
      <c r="H1302" s="250">
        <v>555</v>
      </c>
      <c r="I1302" s="251">
        <f>ROUND(H1302/$H$1307,4)</f>
        <v>0.03</v>
      </c>
      <c r="J1302" s="253"/>
      <c r="K1302" s="226"/>
    </row>
    <row r="1303" spans="1:11" ht="10.15" customHeight="1" x14ac:dyDescent="0.2">
      <c r="A1303" s="248"/>
      <c r="B1303" s="248"/>
      <c r="C1303" s="261"/>
      <c r="D1303" s="244" t="s">
        <v>240</v>
      </c>
      <c r="E1303" s="281"/>
      <c r="F1303" s="257"/>
      <c r="G1303" s="249"/>
      <c r="H1303" s="250">
        <v>13445</v>
      </c>
      <c r="I1303" s="251">
        <f>ROUND(H1303/$H$1307,4)</f>
        <v>0.72729999999999995</v>
      </c>
      <c r="J1303" s="252" t="s">
        <v>360</v>
      </c>
      <c r="K1303" s="226"/>
    </row>
    <row r="1304" spans="1:11" ht="10.15" customHeight="1" x14ac:dyDescent="0.2">
      <c r="A1304" s="248"/>
      <c r="B1304" s="248"/>
      <c r="C1304" s="261"/>
      <c r="D1304" s="244" t="s">
        <v>242</v>
      </c>
      <c r="E1304" s="281"/>
      <c r="F1304" s="257"/>
      <c r="G1304" s="249"/>
      <c r="H1304" s="250">
        <v>1416</v>
      </c>
      <c r="I1304" s="251">
        <f>ROUND(H1304/$H$1307,4)</f>
        <v>7.6600000000000001E-2</v>
      </c>
      <c r="J1304" s="253"/>
      <c r="K1304" s="226"/>
    </row>
    <row r="1305" spans="1:11" ht="10.15" customHeight="1" x14ac:dyDescent="0.2">
      <c r="A1305" s="248"/>
      <c r="B1305" s="248"/>
      <c r="C1305" s="261"/>
      <c r="D1305" s="254" t="s">
        <v>264</v>
      </c>
      <c r="E1305" s="281"/>
      <c r="F1305" s="257"/>
      <c r="G1305" s="249"/>
      <c r="H1305" s="250">
        <v>2777</v>
      </c>
      <c r="I1305" s="251">
        <f>ROUND(H1305/$H$1307,4)</f>
        <v>0.1502</v>
      </c>
      <c r="J1305" s="253"/>
      <c r="K1305" s="226"/>
    </row>
    <row r="1306" spans="1:11" ht="10.15" customHeight="1" x14ac:dyDescent="0.2">
      <c r="A1306" s="248"/>
      <c r="B1306" s="248"/>
      <c r="C1306" s="261"/>
      <c r="D1306" s="254" t="s">
        <v>246</v>
      </c>
      <c r="E1306" s="281"/>
      <c r="F1306" s="257"/>
      <c r="G1306" s="249"/>
      <c r="H1306" s="250">
        <v>294</v>
      </c>
      <c r="I1306" s="251">
        <f>ROUND(H1306/$H$1307,4)</f>
        <v>1.5900000000000001E-2</v>
      </c>
      <c r="J1306" s="253"/>
      <c r="K1306" s="226"/>
    </row>
    <row r="1307" spans="1:11" ht="10.15" customHeight="1" x14ac:dyDescent="0.2">
      <c r="A1307" s="248"/>
      <c r="B1307" s="248"/>
      <c r="C1307" s="261"/>
      <c r="D1307" s="243" t="s">
        <v>33</v>
      </c>
      <c r="E1307" s="281"/>
      <c r="F1307" s="257"/>
      <c r="G1307" s="249"/>
      <c r="H1307" s="255">
        <f>SUM(H1302:H1306)</f>
        <v>18487</v>
      </c>
      <c r="I1307" s="256">
        <f>SUM(I1302:I1306)</f>
        <v>1</v>
      </c>
      <c r="J1307" s="253"/>
      <c r="K1307" s="226"/>
    </row>
    <row r="1308" spans="1:11" ht="10.15" customHeight="1" x14ac:dyDescent="0.2">
      <c r="A1308" s="248"/>
      <c r="B1308" s="248"/>
      <c r="C1308" s="261"/>
      <c r="D1308" s="249"/>
      <c r="E1308" s="281"/>
      <c r="F1308" s="257"/>
      <c r="G1308" s="249"/>
      <c r="H1308" s="242"/>
      <c r="I1308" s="242"/>
      <c r="J1308" s="253"/>
      <c r="K1308" s="226"/>
    </row>
    <row r="1309" spans="1:11" ht="10.15" customHeight="1" x14ac:dyDescent="0.2">
      <c r="A1309" s="243" t="s">
        <v>17</v>
      </c>
      <c r="B1309" s="243" t="s">
        <v>361</v>
      </c>
      <c r="C1309" s="243" t="s">
        <v>236</v>
      </c>
      <c r="D1309" s="244" t="s">
        <v>95</v>
      </c>
      <c r="E1309" s="277" t="s">
        <v>279</v>
      </c>
      <c r="F1309" s="245">
        <v>7858000</v>
      </c>
      <c r="G1309" s="246">
        <v>90382</v>
      </c>
      <c r="H1309" s="242"/>
      <c r="I1309" s="242"/>
      <c r="J1309" s="253"/>
      <c r="K1309" s="226"/>
    </row>
    <row r="1310" spans="1:11" ht="12.2" customHeight="1" x14ac:dyDescent="0.2">
      <c r="A1310" s="248"/>
      <c r="B1310" s="248"/>
      <c r="C1310" s="261"/>
      <c r="D1310" s="244" t="s">
        <v>242</v>
      </c>
      <c r="E1310" s="281"/>
      <c r="F1310" s="257"/>
      <c r="G1310" s="249"/>
      <c r="H1310" s="250">
        <v>2580</v>
      </c>
      <c r="I1310" s="251">
        <f>ROUND(H1310/$H$1312,4)</f>
        <v>3.8699999999999998E-2</v>
      </c>
      <c r="J1310" s="253"/>
      <c r="K1310" s="226"/>
    </row>
    <row r="1311" spans="1:11" ht="10.15" customHeight="1" x14ac:dyDescent="0.2">
      <c r="A1311" s="248"/>
      <c r="B1311" s="248"/>
      <c r="C1311" s="261"/>
      <c r="D1311" s="244" t="s">
        <v>305</v>
      </c>
      <c r="E1311" s="281"/>
      <c r="F1311" s="257"/>
      <c r="G1311" s="249"/>
      <c r="H1311" s="250">
        <v>64049</v>
      </c>
      <c r="I1311" s="251">
        <f>ROUND(H1311/$H$1312,4)</f>
        <v>0.96130000000000004</v>
      </c>
      <c r="J1311" s="252" t="s">
        <v>305</v>
      </c>
      <c r="K1311" s="226"/>
    </row>
    <row r="1312" spans="1:11" ht="10.15" customHeight="1" x14ac:dyDescent="0.2">
      <c r="A1312" s="248"/>
      <c r="B1312" s="248"/>
      <c r="C1312" s="261"/>
      <c r="D1312" s="243" t="s">
        <v>33</v>
      </c>
      <c r="E1312" s="281"/>
      <c r="F1312" s="257"/>
      <c r="G1312" s="249"/>
      <c r="H1312" s="255">
        <f>SUM(H1310:H1311)</f>
        <v>66629</v>
      </c>
      <c r="I1312" s="256">
        <f>SUM(I1310:I1311)</f>
        <v>1</v>
      </c>
      <c r="J1312" s="253"/>
      <c r="K1312" s="226"/>
    </row>
    <row r="1313" spans="1:11" ht="10.15" customHeight="1" x14ac:dyDescent="0.2">
      <c r="A1313" s="248"/>
      <c r="B1313" s="248"/>
      <c r="C1313" s="261"/>
      <c r="D1313" s="249"/>
      <c r="E1313" s="281"/>
      <c r="F1313" s="257"/>
      <c r="G1313" s="249"/>
      <c r="H1313" s="242"/>
      <c r="I1313" s="242"/>
      <c r="J1313" s="253"/>
      <c r="K1313" s="226"/>
    </row>
    <row r="1314" spans="1:11" ht="10.15" customHeight="1" x14ac:dyDescent="0.2">
      <c r="A1314" s="243" t="s">
        <v>17</v>
      </c>
      <c r="B1314" s="243">
        <v>502</v>
      </c>
      <c r="C1314" s="243" t="s">
        <v>236</v>
      </c>
      <c r="D1314" s="244" t="s">
        <v>67</v>
      </c>
      <c r="E1314" s="277" t="s">
        <v>362</v>
      </c>
      <c r="F1314" s="245">
        <v>2431900</v>
      </c>
      <c r="G1314" s="246">
        <v>23936</v>
      </c>
      <c r="H1314" s="242"/>
      <c r="I1314" s="242"/>
      <c r="J1314" s="253"/>
      <c r="K1314" s="226"/>
    </row>
    <row r="1315" spans="1:11" ht="10.15" customHeight="1" x14ac:dyDescent="0.2">
      <c r="A1315" s="248"/>
      <c r="B1315" s="248"/>
      <c r="C1315" s="261"/>
      <c r="D1315" s="244" t="s">
        <v>286</v>
      </c>
      <c r="E1315" s="281"/>
      <c r="F1315" s="257"/>
      <c r="G1315" s="249"/>
      <c r="H1315" s="250">
        <v>1000</v>
      </c>
      <c r="I1315" s="251">
        <f>ROUND(H1315/$H$1317,4)</f>
        <v>6.2700000000000006E-2</v>
      </c>
      <c r="J1315" s="253"/>
      <c r="K1315" s="226"/>
    </row>
    <row r="1316" spans="1:11" ht="10.15" customHeight="1" x14ac:dyDescent="0.2">
      <c r="A1316" s="248"/>
      <c r="B1316" s="248"/>
      <c r="C1316" s="261"/>
      <c r="D1316" s="244" t="s">
        <v>242</v>
      </c>
      <c r="E1316" s="281"/>
      <c r="F1316" s="257"/>
      <c r="G1316" s="249"/>
      <c r="H1316" s="250">
        <v>14957</v>
      </c>
      <c r="I1316" s="251">
        <f>ROUND(H1316/$H$1317,4)</f>
        <v>0.93730000000000002</v>
      </c>
      <c r="J1316" s="252" t="s">
        <v>242</v>
      </c>
      <c r="K1316" s="226"/>
    </row>
    <row r="1317" spans="1:11" ht="10.15" customHeight="1" x14ac:dyDescent="0.2">
      <c r="A1317" s="248"/>
      <c r="B1317" s="248"/>
      <c r="C1317" s="261"/>
      <c r="D1317" s="243" t="s">
        <v>33</v>
      </c>
      <c r="E1317" s="281"/>
      <c r="F1317" s="257"/>
      <c r="G1317" s="249"/>
      <c r="H1317" s="255">
        <f>SUM(H1315:H1316)</f>
        <v>15957</v>
      </c>
      <c r="I1317" s="256">
        <f>SUM(I1315:I1316)</f>
        <v>1</v>
      </c>
      <c r="J1317" s="253"/>
      <c r="K1317" s="226"/>
    </row>
    <row r="1318" spans="1:11" ht="10.15" customHeight="1" x14ac:dyDescent="0.2">
      <c r="A1318" s="248"/>
      <c r="B1318" s="248"/>
      <c r="C1318" s="261"/>
      <c r="D1318" s="243"/>
      <c r="E1318" s="281"/>
      <c r="F1318" s="257"/>
      <c r="G1318" s="249"/>
      <c r="H1318" s="246"/>
      <c r="I1318" s="262"/>
      <c r="J1318" s="253"/>
      <c r="K1318" s="226"/>
    </row>
    <row r="1319" spans="1:11" ht="10.15" customHeight="1" x14ac:dyDescent="0.2">
      <c r="A1319" s="261" t="s">
        <v>17</v>
      </c>
      <c r="B1319" s="261">
        <v>589</v>
      </c>
      <c r="C1319" s="243" t="s">
        <v>236</v>
      </c>
      <c r="D1319" s="263" t="s">
        <v>31</v>
      </c>
      <c r="E1319" s="336" t="s">
        <v>363</v>
      </c>
      <c r="F1319" s="257">
        <v>612000</v>
      </c>
      <c r="G1319" s="249">
        <v>6285</v>
      </c>
      <c r="H1319" s="246"/>
      <c r="I1319" s="262"/>
      <c r="J1319" s="253"/>
      <c r="K1319" s="226"/>
    </row>
    <row r="1320" spans="1:11" ht="10.15" customHeight="1" x14ac:dyDescent="0.2">
      <c r="A1320" s="248"/>
      <c r="B1320" s="248"/>
      <c r="C1320" s="261"/>
      <c r="D1320" s="244" t="s">
        <v>263</v>
      </c>
      <c r="E1320" s="281"/>
      <c r="F1320" s="257"/>
      <c r="G1320" s="249"/>
      <c r="H1320" s="246">
        <v>5163</v>
      </c>
      <c r="I1320" s="251">
        <f>ROUND(H1320/$H$1322,4)</f>
        <v>0.96409999999999996</v>
      </c>
      <c r="J1320" s="253" t="s">
        <v>263</v>
      </c>
      <c r="K1320" s="226"/>
    </row>
    <row r="1321" spans="1:11" ht="12.2" customHeight="1" x14ac:dyDescent="0.2">
      <c r="A1321" s="248"/>
      <c r="B1321" s="248"/>
      <c r="C1321" s="261"/>
      <c r="D1321" s="244" t="s">
        <v>242</v>
      </c>
      <c r="E1321" s="281"/>
      <c r="F1321" s="257"/>
      <c r="G1321" s="249"/>
      <c r="H1321" s="246">
        <v>192</v>
      </c>
      <c r="I1321" s="251">
        <f>ROUND(H1321/$H$1322,4)</f>
        <v>3.5900000000000001E-2</v>
      </c>
      <c r="J1321" s="253"/>
      <c r="K1321" s="226"/>
    </row>
    <row r="1322" spans="1:11" ht="10.15" customHeight="1" x14ac:dyDescent="0.2">
      <c r="A1322" s="248"/>
      <c r="B1322" s="248"/>
      <c r="C1322" s="261"/>
      <c r="D1322" s="243" t="s">
        <v>33</v>
      </c>
      <c r="E1322" s="281"/>
      <c r="F1322" s="257"/>
      <c r="G1322" s="249"/>
      <c r="H1322" s="255">
        <f>SUM(H1320:H1321)</f>
        <v>5355</v>
      </c>
      <c r="I1322" s="256">
        <f>SUM(I1320:I1321)</f>
        <v>1</v>
      </c>
      <c r="J1322" s="253"/>
      <c r="K1322" s="226"/>
    </row>
    <row r="1323" spans="1:11" ht="10.15" customHeight="1" x14ac:dyDescent="0.2">
      <c r="A1323" s="248"/>
      <c r="B1323" s="248"/>
      <c r="C1323" s="261"/>
      <c r="D1323" s="249"/>
      <c r="E1323" s="281"/>
      <c r="F1323" s="257"/>
      <c r="G1323" s="249"/>
      <c r="H1323" s="242"/>
      <c r="I1323" s="242"/>
      <c r="J1323" s="253"/>
      <c r="K1323" s="226"/>
    </row>
    <row r="1324" spans="1:11" ht="10.15" customHeight="1" x14ac:dyDescent="0.2">
      <c r="A1324" s="261" t="s">
        <v>17</v>
      </c>
      <c r="B1324" s="264">
        <v>529</v>
      </c>
      <c r="C1324" s="243" t="s">
        <v>291</v>
      </c>
      <c r="D1324" s="249" t="s">
        <v>123</v>
      </c>
      <c r="E1324" s="336">
        <v>35977</v>
      </c>
      <c r="F1324" s="257">
        <v>9735880</v>
      </c>
      <c r="G1324" s="249">
        <v>48132</v>
      </c>
      <c r="H1324" s="242"/>
      <c r="I1324" s="251"/>
      <c r="J1324" s="242"/>
      <c r="K1324" s="226"/>
    </row>
    <row r="1325" spans="1:11" ht="10.15" customHeight="1" x14ac:dyDescent="0.2">
      <c r="A1325" s="249"/>
      <c r="B1325" s="249"/>
      <c r="C1325" s="284"/>
      <c r="D1325" s="244" t="s">
        <v>293</v>
      </c>
      <c r="E1325" s="281"/>
      <c r="F1325" s="257"/>
      <c r="G1325" s="249"/>
      <c r="H1325" s="242">
        <v>21340</v>
      </c>
      <c r="I1325" s="251">
        <f>H1325/H1327</f>
        <v>0.74683278504934558</v>
      </c>
      <c r="J1325" s="252" t="s">
        <v>241</v>
      </c>
      <c r="K1325" s="226"/>
    </row>
    <row r="1326" spans="1:11" ht="10.15" customHeight="1" x14ac:dyDescent="0.2">
      <c r="A1326" s="249"/>
      <c r="B1326" s="249"/>
      <c r="C1326" s="284"/>
      <c r="D1326" s="244" t="s">
        <v>290</v>
      </c>
      <c r="E1326" s="281"/>
      <c r="F1326" s="257"/>
      <c r="G1326" s="249"/>
      <c r="H1326" s="242">
        <v>7234</v>
      </c>
      <c r="I1326" s="251">
        <f>H1326/H1327</f>
        <v>0.25316721495065442</v>
      </c>
      <c r="J1326" s="252" t="s">
        <v>290</v>
      </c>
      <c r="K1326" s="226"/>
    </row>
    <row r="1327" spans="1:11" ht="10.15" customHeight="1" x14ac:dyDescent="0.2">
      <c r="A1327" s="249"/>
      <c r="B1327" s="249"/>
      <c r="C1327" s="284"/>
      <c r="D1327" s="243" t="s">
        <v>33</v>
      </c>
      <c r="E1327" s="281"/>
      <c r="F1327" s="257"/>
      <c r="G1327" s="249"/>
      <c r="H1327" s="265">
        <f>SUM(H1325:H1326)</f>
        <v>28574</v>
      </c>
      <c r="I1327" s="256">
        <f>SUM(I1325:I1326)</f>
        <v>1</v>
      </c>
      <c r="J1327" s="242"/>
      <c r="K1327" s="226"/>
    </row>
    <row r="1328" spans="1:11" ht="10.15" customHeight="1" x14ac:dyDescent="0.2">
      <c r="A1328" s="261" t="s">
        <v>17</v>
      </c>
      <c r="B1328" s="264">
        <v>550</v>
      </c>
      <c r="C1328" s="243" t="s">
        <v>291</v>
      </c>
      <c r="D1328" s="249" t="s">
        <v>364</v>
      </c>
      <c r="E1328" s="336">
        <v>35765</v>
      </c>
      <c r="F1328" s="257">
        <v>572155</v>
      </c>
      <c r="G1328" s="249">
        <v>4023</v>
      </c>
      <c r="H1328" s="242"/>
      <c r="I1328" s="251"/>
      <c r="J1328" s="242"/>
      <c r="K1328" s="226"/>
    </row>
    <row r="1329" spans="1:11" ht="10.15" customHeight="1" x14ac:dyDescent="0.2">
      <c r="A1329" s="249"/>
      <c r="B1329" s="249"/>
      <c r="C1329" s="284"/>
      <c r="D1329" s="244" t="s">
        <v>264</v>
      </c>
      <c r="E1329" s="281"/>
      <c r="F1329" s="257"/>
      <c r="G1329" s="249"/>
      <c r="H1329" s="242">
        <v>2635</v>
      </c>
      <c r="I1329" s="251">
        <f>H1329/H1332</f>
        <v>0.88422818791946312</v>
      </c>
      <c r="J1329" s="252" t="s">
        <v>264</v>
      </c>
      <c r="K1329" s="226"/>
    </row>
    <row r="1330" spans="1:11" ht="10.15" customHeight="1" x14ac:dyDescent="0.2">
      <c r="A1330" s="249"/>
      <c r="B1330" s="249"/>
      <c r="C1330" s="284"/>
      <c r="D1330" s="244" t="s">
        <v>290</v>
      </c>
      <c r="E1330" s="281"/>
      <c r="F1330" s="257"/>
      <c r="G1330" s="249"/>
      <c r="H1330" s="242">
        <v>145</v>
      </c>
      <c r="I1330" s="251">
        <f>H1330/H1332</f>
        <v>4.8657718120805368E-2</v>
      </c>
      <c r="J1330" s="252"/>
      <c r="K1330" s="226"/>
    </row>
    <row r="1331" spans="1:11" ht="10.15" customHeight="1" x14ac:dyDescent="0.2">
      <c r="A1331" s="249"/>
      <c r="B1331" s="249"/>
      <c r="C1331" s="284"/>
      <c r="D1331" s="244" t="s">
        <v>294</v>
      </c>
      <c r="E1331" s="281"/>
      <c r="F1331" s="257"/>
      <c r="G1331" s="249"/>
      <c r="H1331" s="242">
        <v>200</v>
      </c>
      <c r="I1331" s="251">
        <f>H1331/H1332</f>
        <v>6.7114093959731544E-2</v>
      </c>
      <c r="J1331" s="252"/>
      <c r="K1331" s="226"/>
    </row>
    <row r="1332" spans="1:11" ht="10.15" customHeight="1" x14ac:dyDescent="0.2">
      <c r="A1332" s="249"/>
      <c r="B1332" s="249"/>
      <c r="C1332" s="284"/>
      <c r="D1332" s="243" t="s">
        <v>33</v>
      </c>
      <c r="E1332" s="281"/>
      <c r="F1332" s="257"/>
      <c r="G1332" s="249"/>
      <c r="H1332" s="265">
        <f>SUM(H1329:H1331)</f>
        <v>2980</v>
      </c>
      <c r="I1332" s="256">
        <f>SUM(I1329:I1331)</f>
        <v>1</v>
      </c>
      <c r="J1332" s="242"/>
      <c r="K1332" s="226"/>
    </row>
    <row r="1333" spans="1:11" ht="10.15" customHeight="1" x14ac:dyDescent="0.2">
      <c r="A1333" s="261" t="s">
        <v>17</v>
      </c>
      <c r="B1333" s="264">
        <v>562</v>
      </c>
      <c r="C1333" s="243" t="s">
        <v>291</v>
      </c>
      <c r="D1333" s="249" t="s">
        <v>124</v>
      </c>
      <c r="E1333" s="336">
        <v>35278</v>
      </c>
      <c r="F1333" s="257">
        <v>8214772</v>
      </c>
      <c r="G1333" s="249">
        <v>52130</v>
      </c>
      <c r="H1333" s="242"/>
      <c r="I1333" s="251"/>
      <c r="J1333" s="242"/>
      <c r="K1333" s="226"/>
    </row>
    <row r="1334" spans="1:11" ht="10.15" customHeight="1" x14ac:dyDescent="0.2">
      <c r="A1334" s="249"/>
      <c r="B1334" s="249"/>
      <c r="C1334" s="284"/>
      <c r="D1334" s="244" t="s">
        <v>263</v>
      </c>
      <c r="E1334" s="281"/>
      <c r="F1334" s="257"/>
      <c r="G1334" s="249"/>
      <c r="H1334" s="242">
        <v>1582</v>
      </c>
      <c r="I1334" s="251">
        <f>H1334/H1338</f>
        <v>5.7302231237322518E-2</v>
      </c>
      <c r="J1334" s="252"/>
      <c r="K1334" s="226"/>
    </row>
    <row r="1335" spans="1:11" ht="10.15" customHeight="1" x14ac:dyDescent="0.2">
      <c r="A1335" s="249"/>
      <c r="B1335" s="249"/>
      <c r="C1335" s="284"/>
      <c r="D1335" s="244" t="s">
        <v>293</v>
      </c>
      <c r="E1335" s="281"/>
      <c r="F1335" s="257"/>
      <c r="G1335" s="249"/>
      <c r="H1335" s="242">
        <v>15446</v>
      </c>
      <c r="I1335" s="251">
        <f>H1335/H1338</f>
        <v>0.55947551434366849</v>
      </c>
      <c r="J1335" s="252" t="s">
        <v>241</v>
      </c>
      <c r="K1335" s="226"/>
    </row>
    <row r="1336" spans="1:11" ht="10.15" customHeight="1" x14ac:dyDescent="0.2">
      <c r="A1336" s="249"/>
      <c r="B1336" s="249"/>
      <c r="C1336" s="284"/>
      <c r="D1336" s="244" t="s">
        <v>290</v>
      </c>
      <c r="E1336" s="281"/>
      <c r="F1336" s="257"/>
      <c r="G1336" s="249"/>
      <c r="H1336" s="242">
        <v>5752</v>
      </c>
      <c r="I1336" s="251">
        <f>H1336/H1338</f>
        <v>0.20834540712836858</v>
      </c>
      <c r="J1336" s="252" t="s">
        <v>290</v>
      </c>
      <c r="K1336" s="226"/>
    </row>
    <row r="1337" spans="1:11" ht="10.15" customHeight="1" x14ac:dyDescent="0.2">
      <c r="A1337" s="249"/>
      <c r="B1337" s="249"/>
      <c r="C1337" s="284"/>
      <c r="D1337" s="244" t="s">
        <v>294</v>
      </c>
      <c r="E1337" s="281"/>
      <c r="F1337" s="257"/>
      <c r="G1337" s="249"/>
      <c r="H1337" s="242">
        <v>4828</v>
      </c>
      <c r="I1337" s="251">
        <f>H1337/H1338</f>
        <v>0.1748768472906404</v>
      </c>
      <c r="J1337" s="252" t="s">
        <v>294</v>
      </c>
      <c r="K1337" s="226"/>
    </row>
    <row r="1338" spans="1:11" ht="10.15" customHeight="1" x14ac:dyDescent="0.2">
      <c r="A1338" s="249"/>
      <c r="B1338" s="249"/>
      <c r="C1338" s="284"/>
      <c r="D1338" s="243" t="s">
        <v>33</v>
      </c>
      <c r="E1338" s="281"/>
      <c r="F1338" s="257"/>
      <c r="G1338" s="249"/>
      <c r="H1338" s="265">
        <f>SUM(H1334:H1337)</f>
        <v>27608</v>
      </c>
      <c r="I1338" s="256">
        <f>SUM(I1334:I1337)</f>
        <v>1</v>
      </c>
      <c r="J1338" s="242"/>
      <c r="K1338" s="226"/>
    </row>
    <row r="1339" spans="1:11" ht="10.15" customHeight="1" x14ac:dyDescent="0.2">
      <c r="A1339" s="261" t="s">
        <v>17</v>
      </c>
      <c r="B1339" s="264">
        <v>566</v>
      </c>
      <c r="C1339" s="243" t="s">
        <v>291</v>
      </c>
      <c r="D1339" s="249" t="s">
        <v>116</v>
      </c>
      <c r="E1339" s="336">
        <v>35034</v>
      </c>
      <c r="F1339" s="257">
        <v>9920215</v>
      </c>
      <c r="G1339" s="249">
        <v>85670</v>
      </c>
      <c r="H1339" s="242"/>
      <c r="I1339" s="251"/>
      <c r="J1339" s="242"/>
      <c r="K1339" s="226"/>
    </row>
    <row r="1340" spans="1:11" ht="10.15" customHeight="1" x14ac:dyDescent="0.2">
      <c r="A1340" s="249"/>
      <c r="B1340" s="249"/>
      <c r="C1340" s="284"/>
      <c r="D1340" s="244" t="s">
        <v>263</v>
      </c>
      <c r="E1340" s="281"/>
      <c r="F1340" s="257"/>
      <c r="G1340" s="249"/>
      <c r="H1340" s="242">
        <v>8034</v>
      </c>
      <c r="I1340" s="251">
        <f>H1340/H1347</f>
        <v>0.14341562684089326</v>
      </c>
      <c r="J1340" s="252"/>
      <c r="K1340" s="226"/>
    </row>
    <row r="1341" spans="1:11" ht="10.15" customHeight="1" x14ac:dyDescent="0.2">
      <c r="A1341" s="249"/>
      <c r="B1341" s="249"/>
      <c r="C1341" s="284"/>
      <c r="D1341" s="244" t="s">
        <v>292</v>
      </c>
      <c r="E1341" s="281"/>
      <c r="F1341" s="257"/>
      <c r="G1341" s="249"/>
      <c r="H1341" s="242">
        <v>9049</v>
      </c>
      <c r="I1341" s="251">
        <f>H1341/H1347</f>
        <v>0.16153447937306986</v>
      </c>
      <c r="J1341" s="252"/>
      <c r="K1341" s="226"/>
    </row>
    <row r="1342" spans="1:11" ht="10.15" customHeight="1" x14ac:dyDescent="0.2">
      <c r="A1342" s="249"/>
      <c r="B1342" s="249"/>
      <c r="C1342" s="284"/>
      <c r="D1342" s="244" t="s">
        <v>293</v>
      </c>
      <c r="E1342" s="281"/>
      <c r="F1342" s="257"/>
      <c r="G1342" s="249"/>
      <c r="H1342" s="242">
        <v>6228</v>
      </c>
      <c r="I1342" s="251">
        <f>H1342/H1347</f>
        <v>0.11117656509398596</v>
      </c>
      <c r="J1342" s="252"/>
      <c r="K1342" s="226"/>
    </row>
    <row r="1343" spans="1:11" ht="10.15" customHeight="1" x14ac:dyDescent="0.2">
      <c r="A1343" s="249"/>
      <c r="B1343" s="249"/>
      <c r="C1343" s="284"/>
      <c r="D1343" s="244" t="s">
        <v>286</v>
      </c>
      <c r="E1343" s="281"/>
      <c r="F1343" s="257"/>
      <c r="G1343" s="249"/>
      <c r="H1343" s="242">
        <v>2277</v>
      </c>
      <c r="I1343" s="251">
        <f>H1343/H1347</f>
        <v>4.0646923365286775E-2</v>
      </c>
      <c r="J1343" s="252"/>
      <c r="K1343" s="226"/>
    </row>
    <row r="1344" spans="1:11" ht="10.15" customHeight="1" x14ac:dyDescent="0.2">
      <c r="A1344" s="249"/>
      <c r="B1344" s="249"/>
      <c r="C1344" s="284"/>
      <c r="D1344" s="244" t="s">
        <v>264</v>
      </c>
      <c r="E1344" s="281"/>
      <c r="F1344" s="257"/>
      <c r="G1344" s="249"/>
      <c r="H1344" s="242">
        <v>2839</v>
      </c>
      <c r="I1344" s="251">
        <f>H1344/H1347</f>
        <v>5.0679233831378637E-2</v>
      </c>
      <c r="J1344" s="252"/>
      <c r="K1344" s="226"/>
    </row>
    <row r="1345" spans="1:11" ht="10.15" customHeight="1" x14ac:dyDescent="0.2">
      <c r="A1345" s="249"/>
      <c r="B1345" s="249"/>
      <c r="C1345" s="284"/>
      <c r="D1345" s="244" t="s">
        <v>295</v>
      </c>
      <c r="E1345" s="281"/>
      <c r="F1345" s="257"/>
      <c r="G1345" s="249"/>
      <c r="H1345" s="242">
        <v>1231</v>
      </c>
      <c r="I1345" s="251">
        <f>H1345/H1347</f>
        <v>2.1974687159713669E-2</v>
      </c>
      <c r="J1345" s="252"/>
      <c r="K1345" s="226"/>
    </row>
    <row r="1346" spans="1:11" ht="10.15" customHeight="1" x14ac:dyDescent="0.2">
      <c r="A1346" s="249"/>
      <c r="B1346" s="249"/>
      <c r="C1346" s="284"/>
      <c r="D1346" s="244" t="s">
        <v>290</v>
      </c>
      <c r="E1346" s="281"/>
      <c r="F1346" s="257"/>
      <c r="G1346" s="249"/>
      <c r="H1346" s="242">
        <v>26361</v>
      </c>
      <c r="I1346" s="251">
        <f>H1346/H1347</f>
        <v>0.47057248433567184</v>
      </c>
      <c r="J1346" s="252" t="s">
        <v>290</v>
      </c>
      <c r="K1346" s="226"/>
    </row>
    <row r="1347" spans="1:11" ht="10.15" customHeight="1" x14ac:dyDescent="0.2">
      <c r="A1347" s="249"/>
      <c r="B1347" s="249"/>
      <c r="C1347" s="284"/>
      <c r="D1347" s="243" t="s">
        <v>33</v>
      </c>
      <c r="E1347" s="281"/>
      <c r="F1347" s="257"/>
      <c r="G1347" s="249"/>
      <c r="H1347" s="265">
        <f>SUM(H1340:H1346)</f>
        <v>56019</v>
      </c>
      <c r="I1347" s="256">
        <f>SUM(I1340:I1346)</f>
        <v>1</v>
      </c>
      <c r="J1347" s="242"/>
      <c r="K1347" s="226"/>
    </row>
    <row r="1348" spans="1:11" ht="10.15" customHeight="1" x14ac:dyDescent="0.2">
      <c r="A1348" s="249"/>
      <c r="B1348" s="249"/>
      <c r="C1348" s="284"/>
      <c r="D1348" s="243"/>
      <c r="E1348" s="281"/>
      <c r="F1348" s="257"/>
      <c r="G1348" s="249"/>
      <c r="H1348" s="249"/>
      <c r="I1348" s="262"/>
      <c r="J1348" s="242"/>
      <c r="K1348" s="226"/>
    </row>
    <row r="1349" spans="1:11" ht="10.15" customHeight="1" x14ac:dyDescent="0.2">
      <c r="A1349" s="261" t="s">
        <v>17</v>
      </c>
      <c r="B1349" s="264">
        <v>522</v>
      </c>
      <c r="C1349" s="243" t="s">
        <v>291</v>
      </c>
      <c r="D1349" s="249" t="s">
        <v>365</v>
      </c>
      <c r="E1349" s="336">
        <v>36312</v>
      </c>
      <c r="F1349" s="257">
        <v>4864068</v>
      </c>
      <c r="G1349" s="249">
        <v>26996</v>
      </c>
      <c r="H1349" s="242"/>
      <c r="I1349" s="251"/>
      <c r="J1349" s="242"/>
      <c r="K1349" s="226"/>
    </row>
    <row r="1350" spans="1:11" ht="10.15" customHeight="1" x14ac:dyDescent="0.2">
      <c r="A1350" s="249"/>
      <c r="B1350" s="249"/>
      <c r="C1350" s="284"/>
      <c r="D1350" s="244" t="s">
        <v>244</v>
      </c>
      <c r="E1350" s="281"/>
      <c r="F1350" s="257"/>
      <c r="G1350" s="249"/>
      <c r="H1350" s="242">
        <v>10130</v>
      </c>
      <c r="I1350" s="251">
        <f>H1350/H1352</f>
        <v>0.63919737506309948</v>
      </c>
      <c r="J1350" s="252" t="s">
        <v>244</v>
      </c>
      <c r="K1350" s="226"/>
    </row>
    <row r="1351" spans="1:11" ht="10.15" customHeight="1" x14ac:dyDescent="0.2">
      <c r="A1351" s="249"/>
      <c r="B1351" s="249"/>
      <c r="C1351" s="284"/>
      <c r="D1351" s="244" t="s">
        <v>290</v>
      </c>
      <c r="E1351" s="281"/>
      <c r="F1351" s="257"/>
      <c r="G1351" s="249"/>
      <c r="H1351" s="242">
        <v>5718</v>
      </c>
      <c r="I1351" s="251">
        <f>H1351/H1352</f>
        <v>0.36080262493690057</v>
      </c>
      <c r="J1351" s="252"/>
      <c r="K1351" s="226"/>
    </row>
    <row r="1352" spans="1:11" ht="10.15" customHeight="1" x14ac:dyDescent="0.2">
      <c r="A1352" s="249"/>
      <c r="B1352" s="249"/>
      <c r="C1352" s="284"/>
      <c r="D1352" s="243" t="s">
        <v>33</v>
      </c>
      <c r="E1352" s="281"/>
      <c r="F1352" s="257"/>
      <c r="G1352" s="249"/>
      <c r="H1352" s="265">
        <f>SUM(H1350:H1351)</f>
        <v>15848</v>
      </c>
      <c r="I1352" s="256">
        <f>SUM(I1350:I1351)</f>
        <v>1</v>
      </c>
      <c r="J1352" s="242"/>
      <c r="K1352" s="226"/>
    </row>
    <row r="1353" spans="1:11" ht="10.15" customHeight="1" x14ac:dyDescent="0.2">
      <c r="A1353" s="249"/>
      <c r="B1353" s="249"/>
      <c r="C1353" s="284"/>
      <c r="D1353" s="243"/>
      <c r="E1353" s="281"/>
      <c r="F1353" s="257"/>
      <c r="G1353" s="249"/>
      <c r="H1353" s="249"/>
      <c r="I1353" s="262"/>
      <c r="J1353" s="242"/>
      <c r="K1353" s="226"/>
    </row>
    <row r="1354" spans="1:11" ht="10.15" customHeight="1" x14ac:dyDescent="0.2">
      <c r="A1354" s="261" t="s">
        <v>17</v>
      </c>
      <c r="B1354" s="264">
        <v>523</v>
      </c>
      <c r="C1354" s="243" t="s">
        <v>291</v>
      </c>
      <c r="D1354" s="249" t="s">
        <v>157</v>
      </c>
      <c r="E1354" s="336">
        <v>36161</v>
      </c>
      <c r="F1354" s="257">
        <v>1993805</v>
      </c>
      <c r="G1354" s="249">
        <v>8920</v>
      </c>
      <c r="H1354" s="242"/>
      <c r="I1354" s="251"/>
      <c r="J1354" s="242"/>
      <c r="K1354" s="226"/>
    </row>
    <row r="1355" spans="1:11" ht="10.15" customHeight="1" x14ac:dyDescent="0.2">
      <c r="A1355" s="249"/>
      <c r="B1355" s="249"/>
      <c r="C1355" s="284"/>
      <c r="D1355" s="244" t="s">
        <v>263</v>
      </c>
      <c r="E1355" s="281"/>
      <c r="F1355" s="257"/>
      <c r="G1355" s="249"/>
      <c r="H1355" s="242">
        <v>340</v>
      </c>
      <c r="I1355" s="251">
        <f>H1355/H1359</f>
        <v>5.7171683201614261E-2</v>
      </c>
      <c r="J1355" s="252"/>
      <c r="K1355" s="226"/>
    </row>
    <row r="1356" spans="1:11" ht="10.15" customHeight="1" x14ac:dyDescent="0.2">
      <c r="A1356" s="249"/>
      <c r="B1356" s="249"/>
      <c r="C1356" s="284"/>
      <c r="D1356" s="244" t="s">
        <v>292</v>
      </c>
      <c r="E1356" s="281"/>
      <c r="F1356" s="257"/>
      <c r="G1356" s="249"/>
      <c r="H1356" s="242">
        <v>800</v>
      </c>
      <c r="I1356" s="251">
        <f>H1356/H1359</f>
        <v>0.13452160753321002</v>
      </c>
      <c r="J1356" s="252"/>
      <c r="K1356" s="226"/>
    </row>
    <row r="1357" spans="1:11" ht="10.15" customHeight="1" x14ac:dyDescent="0.2">
      <c r="A1357" s="249"/>
      <c r="B1357" s="249"/>
      <c r="C1357" s="284"/>
      <c r="D1357" s="244" t="s">
        <v>293</v>
      </c>
      <c r="E1357" s="281"/>
      <c r="F1357" s="257"/>
      <c r="G1357" s="249"/>
      <c r="H1357" s="242">
        <v>4607</v>
      </c>
      <c r="I1357" s="251">
        <f>H1357/H1359</f>
        <v>0.77467630738187321</v>
      </c>
      <c r="J1357" s="252" t="s">
        <v>293</v>
      </c>
      <c r="K1357" s="226"/>
    </row>
    <row r="1358" spans="1:11" ht="10.15" customHeight="1" x14ac:dyDescent="0.2">
      <c r="A1358" s="249"/>
      <c r="B1358" s="249"/>
      <c r="C1358" s="284"/>
      <c r="D1358" s="244" t="s">
        <v>290</v>
      </c>
      <c r="E1358" s="281"/>
      <c r="F1358" s="257"/>
      <c r="G1358" s="249"/>
      <c r="H1358" s="242">
        <v>200</v>
      </c>
      <c r="I1358" s="251">
        <f>H1358/H1359</f>
        <v>3.3630401883302505E-2</v>
      </c>
      <c r="J1358" s="252"/>
      <c r="K1358" s="226"/>
    </row>
    <row r="1359" spans="1:11" ht="10.15" customHeight="1" x14ac:dyDescent="0.2">
      <c r="A1359" s="249"/>
      <c r="B1359" s="249"/>
      <c r="C1359" s="284"/>
      <c r="D1359" s="243" t="s">
        <v>33</v>
      </c>
      <c r="E1359" s="281"/>
      <c r="F1359" s="257"/>
      <c r="G1359" s="249"/>
      <c r="H1359" s="265">
        <f>SUM(H1355:H1358)</f>
        <v>5947</v>
      </c>
      <c r="I1359" s="256">
        <f>SUM(I1355:I1358)</f>
        <v>1</v>
      </c>
      <c r="J1359" s="242"/>
      <c r="K1359" s="226"/>
    </row>
    <row r="1360" spans="1:11" ht="10.15" customHeight="1" x14ac:dyDescent="0.2">
      <c r="A1360" s="249"/>
      <c r="B1360" s="249"/>
      <c r="C1360" s="284"/>
      <c r="D1360" s="243"/>
      <c r="E1360" s="281"/>
      <c r="F1360" s="257"/>
      <c r="G1360" s="249"/>
      <c r="H1360" s="249"/>
      <c r="I1360" s="262"/>
      <c r="J1360" s="242"/>
      <c r="K1360" s="226"/>
    </row>
    <row r="1361" spans="1:11" ht="10.15" customHeight="1" x14ac:dyDescent="0.2">
      <c r="A1361" s="261" t="s">
        <v>17</v>
      </c>
      <c r="B1361" s="264">
        <v>511</v>
      </c>
      <c r="C1361" s="243" t="s">
        <v>291</v>
      </c>
      <c r="D1361" s="249" t="s">
        <v>427</v>
      </c>
      <c r="E1361" s="336">
        <v>36770</v>
      </c>
      <c r="F1361" s="257">
        <v>9202598</v>
      </c>
      <c r="G1361" s="249">
        <v>52265</v>
      </c>
      <c r="H1361" s="242"/>
      <c r="I1361" s="251"/>
      <c r="J1361" s="242"/>
      <c r="K1361" s="226"/>
    </row>
    <row r="1362" spans="1:11" ht="10.15" customHeight="1" x14ac:dyDescent="0.2">
      <c r="A1362" s="249"/>
      <c r="B1362" s="249"/>
      <c r="C1362" s="284"/>
      <c r="D1362" s="244" t="s">
        <v>263</v>
      </c>
      <c r="E1362" s="281"/>
      <c r="F1362" s="257"/>
      <c r="G1362" s="249"/>
      <c r="H1362" s="242">
        <v>908</v>
      </c>
      <c r="I1362" s="251">
        <f>H1362/$H$1369</f>
        <v>2.8401626524867062E-2</v>
      </c>
      <c r="J1362" s="252"/>
      <c r="K1362" s="226"/>
    </row>
    <row r="1363" spans="1:11" ht="10.15" customHeight="1" x14ac:dyDescent="0.2">
      <c r="A1363" s="249"/>
      <c r="B1363" s="249"/>
      <c r="C1363" s="284"/>
      <c r="D1363" s="244" t="s">
        <v>292</v>
      </c>
      <c r="E1363" s="281"/>
      <c r="F1363" s="257"/>
      <c r="G1363" s="249"/>
      <c r="H1363" s="242">
        <v>11741</v>
      </c>
      <c r="I1363" s="251">
        <f t="shared" ref="I1363:I1368" si="31">H1363/$H$1369</f>
        <v>0.36725054738817642</v>
      </c>
      <c r="J1363" s="252" t="s">
        <v>292</v>
      </c>
      <c r="K1363" s="226"/>
    </row>
    <row r="1364" spans="1:11" ht="10.15" customHeight="1" x14ac:dyDescent="0.2">
      <c r="A1364" s="249"/>
      <c r="B1364" s="249"/>
      <c r="C1364" s="284"/>
      <c r="D1364" s="244" t="s">
        <v>293</v>
      </c>
      <c r="E1364" s="281"/>
      <c r="F1364" s="257"/>
      <c r="G1364" s="249"/>
      <c r="H1364" s="242">
        <v>4593</v>
      </c>
      <c r="I1364" s="251">
        <f t="shared" si="31"/>
        <v>0.14366593681576478</v>
      </c>
      <c r="J1364" s="252"/>
      <c r="K1364" s="226"/>
    </row>
    <row r="1365" spans="1:11" ht="10.15" customHeight="1" x14ac:dyDescent="0.2">
      <c r="A1365" s="249"/>
      <c r="B1365" s="249"/>
      <c r="C1365" s="284"/>
      <c r="D1365" s="244" t="s">
        <v>286</v>
      </c>
      <c r="E1365" s="281"/>
      <c r="F1365" s="257"/>
      <c r="G1365" s="249"/>
      <c r="H1365" s="242">
        <v>1286</v>
      </c>
      <c r="I1365" s="251">
        <f t="shared" si="31"/>
        <v>4.0225211135439476E-2</v>
      </c>
      <c r="J1365" s="252"/>
      <c r="K1365" s="226"/>
    </row>
    <row r="1366" spans="1:11" ht="10.15" customHeight="1" x14ac:dyDescent="0.2">
      <c r="A1366" s="249"/>
      <c r="B1366" s="249"/>
      <c r="C1366" s="284"/>
      <c r="D1366" s="244" t="s">
        <v>295</v>
      </c>
      <c r="E1366" s="281"/>
      <c r="F1366" s="257"/>
      <c r="G1366" s="249"/>
      <c r="H1366" s="242">
        <v>1050</v>
      </c>
      <c r="I1366" s="251">
        <f t="shared" si="31"/>
        <v>3.2843290584923364E-2</v>
      </c>
      <c r="J1366" s="252"/>
      <c r="K1366" s="226"/>
    </row>
    <row r="1367" spans="1:11" ht="10.15" customHeight="1" x14ac:dyDescent="0.2">
      <c r="A1367" s="249"/>
      <c r="B1367" s="249"/>
      <c r="C1367" s="284"/>
      <c r="D1367" s="244" t="s">
        <v>290</v>
      </c>
      <c r="E1367" s="281"/>
      <c r="F1367" s="257"/>
      <c r="G1367" s="249"/>
      <c r="H1367" s="242">
        <v>12180</v>
      </c>
      <c r="I1367" s="251">
        <f t="shared" si="31"/>
        <v>0.38098217078511104</v>
      </c>
      <c r="J1367" s="252" t="s">
        <v>290</v>
      </c>
      <c r="K1367" s="226"/>
    </row>
    <row r="1368" spans="1:11" ht="10.15" customHeight="1" x14ac:dyDescent="0.2">
      <c r="A1368" s="249"/>
      <c r="B1368" s="249"/>
      <c r="C1368" s="284"/>
      <c r="D1368" s="244" t="s">
        <v>294</v>
      </c>
      <c r="E1368" s="281"/>
      <c r="F1368" s="257"/>
      <c r="G1368" s="249"/>
      <c r="H1368" s="242">
        <v>212</v>
      </c>
      <c r="I1368" s="251">
        <f t="shared" si="31"/>
        <v>6.6312167657178603E-3</v>
      </c>
      <c r="J1368" s="252"/>
      <c r="K1368" s="226"/>
    </row>
    <row r="1369" spans="1:11" ht="10.15" customHeight="1" x14ac:dyDescent="0.2">
      <c r="A1369" s="249"/>
      <c r="B1369" s="249"/>
      <c r="C1369" s="284"/>
      <c r="D1369" s="243" t="s">
        <v>33</v>
      </c>
      <c r="E1369" s="281"/>
      <c r="F1369" s="257"/>
      <c r="G1369" s="249"/>
      <c r="H1369" s="265">
        <f>SUM(H1362:H1368)</f>
        <v>31970</v>
      </c>
      <c r="I1369" s="256">
        <f>SUM(I1362:I1368)</f>
        <v>1.0000000000000002</v>
      </c>
      <c r="J1369" s="242"/>
      <c r="K1369" s="226"/>
    </row>
    <row r="1370" spans="1:11" ht="10.15" customHeight="1" x14ac:dyDescent="0.2">
      <c r="A1370" s="249"/>
      <c r="B1370" s="249"/>
      <c r="C1370" s="284"/>
      <c r="D1370" s="243"/>
      <c r="E1370" s="281"/>
      <c r="F1370" s="257"/>
      <c r="G1370" s="249"/>
      <c r="H1370" s="249"/>
      <c r="I1370" s="262"/>
      <c r="J1370" s="242"/>
      <c r="K1370" s="226"/>
    </row>
    <row r="1371" spans="1:11" ht="10.15" customHeight="1" x14ac:dyDescent="0.2">
      <c r="A1371" s="261" t="s">
        <v>17</v>
      </c>
      <c r="B1371" s="264">
        <v>587</v>
      </c>
      <c r="C1371" s="243" t="s">
        <v>291</v>
      </c>
      <c r="D1371" s="249" t="s">
        <v>478</v>
      </c>
      <c r="E1371" s="336">
        <v>37973</v>
      </c>
      <c r="F1371" s="257">
        <v>7208972</v>
      </c>
      <c r="G1371" s="249">
        <v>44505</v>
      </c>
      <c r="H1371" s="242"/>
      <c r="I1371" s="251"/>
      <c r="J1371" s="242"/>
      <c r="K1371" s="226"/>
    </row>
    <row r="1372" spans="1:11" ht="10.15" customHeight="1" x14ac:dyDescent="0.2">
      <c r="A1372" s="249"/>
      <c r="B1372" s="249"/>
      <c r="C1372" s="284"/>
      <c r="D1372" s="244" t="s">
        <v>263</v>
      </c>
      <c r="E1372" s="281"/>
      <c r="F1372" s="257"/>
      <c r="G1372" s="249"/>
      <c r="H1372" s="242">
        <v>14875</v>
      </c>
      <c r="I1372" s="251">
        <f>H1372/H1376</f>
        <v>0.50134816312773844</v>
      </c>
      <c r="J1372" s="253" t="s">
        <v>263</v>
      </c>
      <c r="K1372" s="226"/>
    </row>
    <row r="1373" spans="1:11" ht="10.15" customHeight="1" x14ac:dyDescent="0.2">
      <c r="A1373" s="249"/>
      <c r="B1373" s="249"/>
      <c r="C1373" s="284"/>
      <c r="D1373" s="244" t="s">
        <v>264</v>
      </c>
      <c r="E1373" s="281"/>
      <c r="F1373" s="257"/>
      <c r="G1373" s="249"/>
      <c r="H1373" s="242">
        <v>2600</v>
      </c>
      <c r="I1373" s="251">
        <f>H1373/H1376</f>
        <v>8.7630603302999668E-2</v>
      </c>
      <c r="J1373" s="252"/>
      <c r="K1373" s="226"/>
    </row>
    <row r="1374" spans="1:11" ht="10.15" customHeight="1" x14ac:dyDescent="0.2">
      <c r="A1374" s="249"/>
      <c r="B1374" s="249"/>
      <c r="C1374" s="284"/>
      <c r="D1374" s="244" t="s">
        <v>290</v>
      </c>
      <c r="E1374" s="281"/>
      <c r="F1374" s="257"/>
      <c r="G1374" s="249"/>
      <c r="H1374" s="242">
        <v>4895</v>
      </c>
      <c r="I1374" s="251">
        <f>H1374/H1376</f>
        <v>0.1649814627569936</v>
      </c>
      <c r="J1374" s="252"/>
      <c r="K1374" s="226"/>
    </row>
    <row r="1375" spans="1:11" ht="10.15" customHeight="1" x14ac:dyDescent="0.2">
      <c r="A1375" s="249"/>
      <c r="B1375" s="249"/>
      <c r="C1375" s="284"/>
      <c r="D1375" s="244" t="s">
        <v>294</v>
      </c>
      <c r="E1375" s="281"/>
      <c r="F1375" s="257"/>
      <c r="G1375" s="249"/>
      <c r="H1375" s="242">
        <v>7300</v>
      </c>
      <c r="I1375" s="251">
        <f>H1375/H1376</f>
        <v>0.24603977081226827</v>
      </c>
      <c r="J1375" s="252"/>
      <c r="K1375" s="226"/>
    </row>
    <row r="1376" spans="1:11" ht="10.15" customHeight="1" x14ac:dyDescent="0.2">
      <c r="A1376" s="249"/>
      <c r="B1376" s="249"/>
      <c r="C1376" s="284"/>
      <c r="D1376" s="243" t="s">
        <v>33</v>
      </c>
      <c r="E1376" s="281"/>
      <c r="F1376" s="257"/>
      <c r="G1376" s="249"/>
      <c r="H1376" s="265">
        <f>SUM(H1372:H1375)</f>
        <v>29670</v>
      </c>
      <c r="I1376" s="256">
        <f>SUM(I1372:I1375)</f>
        <v>0.99999999999999989</v>
      </c>
      <c r="J1376" s="242"/>
      <c r="K1376" s="226"/>
    </row>
    <row r="1377" spans="1:11" ht="10.15" customHeight="1" x14ac:dyDescent="0.2">
      <c r="A1377" s="249"/>
      <c r="B1377" s="249"/>
      <c r="C1377" s="284"/>
      <c r="D1377" s="243"/>
      <c r="E1377" s="281"/>
      <c r="F1377" s="257"/>
      <c r="G1377" s="249"/>
      <c r="H1377" s="249"/>
      <c r="I1377" s="262"/>
      <c r="J1377" s="242"/>
      <c r="K1377" s="226"/>
    </row>
    <row r="1378" spans="1:11" ht="10.15" customHeight="1" x14ac:dyDescent="0.2">
      <c r="A1378" s="261" t="s">
        <v>17</v>
      </c>
      <c r="B1378" s="264">
        <v>549</v>
      </c>
      <c r="C1378" s="243" t="s">
        <v>291</v>
      </c>
      <c r="D1378" s="249" t="s">
        <v>479</v>
      </c>
      <c r="E1378" s="336">
        <v>37720</v>
      </c>
      <c r="F1378" s="257">
        <v>15040910</v>
      </c>
      <c r="G1378" s="249">
        <v>75592</v>
      </c>
      <c r="H1378" s="242"/>
      <c r="I1378" s="251"/>
      <c r="J1378" s="242"/>
      <c r="K1378" s="226"/>
    </row>
    <row r="1379" spans="1:11" ht="10.15" customHeight="1" x14ac:dyDescent="0.2">
      <c r="A1379" s="249"/>
      <c r="B1379" s="249"/>
      <c r="C1379" s="284"/>
      <c r="D1379" s="244" t="s">
        <v>263</v>
      </c>
      <c r="E1379" s="281"/>
      <c r="F1379" s="257"/>
      <c r="G1379" s="249"/>
      <c r="H1379" s="242">
        <v>2957</v>
      </c>
      <c r="I1379" s="251">
        <f t="shared" ref="I1379:I1384" si="32">H1379/$H$1385</f>
        <v>6.9361043347720017E-2</v>
      </c>
      <c r="J1379" s="252"/>
      <c r="K1379" s="226"/>
    </row>
    <row r="1380" spans="1:11" ht="10.15" customHeight="1" x14ac:dyDescent="0.2">
      <c r="A1380" s="249"/>
      <c r="B1380" s="249"/>
      <c r="C1380" s="284"/>
      <c r="D1380" s="244" t="s">
        <v>292</v>
      </c>
      <c r="E1380" s="281"/>
      <c r="F1380" s="257"/>
      <c r="G1380" s="249"/>
      <c r="H1380" s="242">
        <v>11604</v>
      </c>
      <c r="I1380" s="251">
        <f t="shared" si="32"/>
        <v>0.27218990429724149</v>
      </c>
      <c r="J1380" s="252"/>
      <c r="K1380" s="226"/>
    </row>
    <row r="1381" spans="1:11" ht="10.15" customHeight="1" x14ac:dyDescent="0.2">
      <c r="A1381" s="249"/>
      <c r="B1381" s="249"/>
      <c r="C1381" s="284"/>
      <c r="D1381" s="244" t="s">
        <v>293</v>
      </c>
      <c r="E1381" s="281"/>
      <c r="F1381" s="257"/>
      <c r="G1381" s="249"/>
      <c r="H1381" s="242">
        <v>19058</v>
      </c>
      <c r="I1381" s="251">
        <f t="shared" si="32"/>
        <v>0.44703509101144678</v>
      </c>
      <c r="J1381" s="252" t="s">
        <v>293</v>
      </c>
      <c r="K1381" s="226"/>
    </row>
    <row r="1382" spans="1:11" ht="10.15" customHeight="1" x14ac:dyDescent="0.2">
      <c r="A1382" s="249"/>
      <c r="B1382" s="249"/>
      <c r="C1382" s="284"/>
      <c r="D1382" s="244" t="s">
        <v>295</v>
      </c>
      <c r="E1382" s="281"/>
      <c r="F1382" s="257"/>
      <c r="G1382" s="249"/>
      <c r="H1382" s="242">
        <v>978</v>
      </c>
      <c r="I1382" s="251">
        <f t="shared" si="32"/>
        <v>2.2940514167761307E-2</v>
      </c>
      <c r="J1382" s="252"/>
      <c r="K1382" s="226"/>
    </row>
    <row r="1383" spans="1:11" ht="10.15" customHeight="1" x14ac:dyDescent="0.2">
      <c r="A1383" s="249"/>
      <c r="B1383" s="249"/>
      <c r="C1383" s="284"/>
      <c r="D1383" s="244" t="s">
        <v>290</v>
      </c>
      <c r="E1383" s="281"/>
      <c r="F1383" s="257"/>
      <c r="G1383" s="249"/>
      <c r="H1383" s="242">
        <v>6823</v>
      </c>
      <c r="I1383" s="251">
        <f t="shared" si="32"/>
        <v>0.16004409832989303</v>
      </c>
      <c r="J1383" s="252"/>
      <c r="K1383" s="226"/>
    </row>
    <row r="1384" spans="1:11" ht="10.15" customHeight="1" x14ac:dyDescent="0.2">
      <c r="A1384" s="249"/>
      <c r="B1384" s="249"/>
      <c r="C1384" s="284"/>
      <c r="D1384" s="244" t="s">
        <v>294</v>
      </c>
      <c r="E1384" s="281"/>
      <c r="F1384" s="257"/>
      <c r="G1384" s="249"/>
      <c r="H1384" s="242">
        <v>1212</v>
      </c>
      <c r="I1384" s="251">
        <f t="shared" si="32"/>
        <v>2.8429348845937324E-2</v>
      </c>
      <c r="J1384" s="252"/>
      <c r="K1384" s="226"/>
    </row>
    <row r="1385" spans="1:11" ht="10.15" customHeight="1" x14ac:dyDescent="0.2">
      <c r="A1385" s="249"/>
      <c r="B1385" s="249"/>
      <c r="C1385" s="284"/>
      <c r="D1385" s="243" t="s">
        <v>33</v>
      </c>
      <c r="E1385" s="281"/>
      <c r="F1385" s="257"/>
      <c r="G1385" s="249"/>
      <c r="H1385" s="265">
        <f>SUM(H1379:H1384)</f>
        <v>42632</v>
      </c>
      <c r="I1385" s="256">
        <f>SUM(I1379:I1384)</f>
        <v>1</v>
      </c>
      <c r="J1385" s="242"/>
      <c r="K1385" s="226"/>
    </row>
    <row r="1386" spans="1:11" ht="10.15" customHeight="1" x14ac:dyDescent="0.2">
      <c r="A1386" s="249"/>
      <c r="B1386" s="249"/>
      <c r="C1386" s="284"/>
      <c r="D1386" s="243"/>
      <c r="E1386" s="281"/>
      <c r="F1386" s="257"/>
      <c r="G1386" s="249"/>
      <c r="H1386" s="249"/>
      <c r="I1386" s="262"/>
      <c r="J1386" s="242"/>
      <c r="K1386" s="226"/>
    </row>
    <row r="1387" spans="1:11" ht="10.15" customHeight="1" x14ac:dyDescent="0.2">
      <c r="A1387" s="261" t="s">
        <v>17</v>
      </c>
      <c r="B1387" s="264">
        <v>515</v>
      </c>
      <c r="C1387" s="243" t="s">
        <v>291</v>
      </c>
      <c r="D1387" s="249" t="s">
        <v>495</v>
      </c>
      <c r="E1387" s="336">
        <v>37987</v>
      </c>
      <c r="F1387" s="257">
        <v>7898615</v>
      </c>
      <c r="G1387" s="249">
        <v>60001</v>
      </c>
      <c r="H1387" s="242"/>
      <c r="I1387" s="251"/>
      <c r="J1387" s="242"/>
      <c r="K1387" s="226"/>
    </row>
    <row r="1388" spans="1:11" ht="10.15" customHeight="1" x14ac:dyDescent="0.2">
      <c r="A1388" s="249"/>
      <c r="B1388" s="249"/>
      <c r="C1388" s="284"/>
      <c r="D1388" s="244" t="s">
        <v>290</v>
      </c>
      <c r="E1388" s="281"/>
      <c r="F1388" s="257"/>
      <c r="G1388" s="249"/>
      <c r="H1388" s="242">
        <v>28630</v>
      </c>
      <c r="I1388" s="251">
        <f>H1388/$H$1390</f>
        <v>0.75608725505730734</v>
      </c>
      <c r="J1388" s="266" t="s">
        <v>290</v>
      </c>
      <c r="K1388" s="226"/>
    </row>
    <row r="1389" spans="1:11" ht="10.15" customHeight="1" x14ac:dyDescent="0.2">
      <c r="A1389" s="249"/>
      <c r="B1389" s="249"/>
      <c r="C1389" s="284"/>
      <c r="D1389" s="244" t="s">
        <v>480</v>
      </c>
      <c r="E1389" s="281"/>
      <c r="F1389" s="257"/>
      <c r="G1389" s="249"/>
      <c r="H1389" s="242">
        <v>9236</v>
      </c>
      <c r="I1389" s="251">
        <f>H1389/$H$1390</f>
        <v>0.24391274494269266</v>
      </c>
      <c r="J1389" s="252"/>
      <c r="K1389" s="226"/>
    </row>
    <row r="1390" spans="1:11" ht="10.15" customHeight="1" x14ac:dyDescent="0.2">
      <c r="A1390" s="249"/>
      <c r="B1390" s="249"/>
      <c r="C1390" s="284"/>
      <c r="D1390" s="243" t="s">
        <v>33</v>
      </c>
      <c r="E1390" s="281"/>
      <c r="F1390" s="257"/>
      <c r="G1390" s="249"/>
      <c r="H1390" s="265">
        <f>SUM(H1388:H1389)</f>
        <v>37866</v>
      </c>
      <c r="I1390" s="256">
        <f>SUM(I1388:I1389)</f>
        <v>1</v>
      </c>
      <c r="J1390" s="242"/>
      <c r="K1390" s="226"/>
    </row>
    <row r="1391" spans="1:11" ht="10.15" customHeight="1" x14ac:dyDescent="0.2">
      <c r="A1391" s="249"/>
      <c r="B1391" s="249"/>
      <c r="C1391" s="284"/>
      <c r="D1391" s="243"/>
      <c r="E1391" s="281"/>
      <c r="F1391" s="257"/>
      <c r="G1391" s="249"/>
      <c r="H1391" s="249"/>
      <c r="I1391" s="262"/>
      <c r="J1391" s="242"/>
      <c r="K1391" s="226"/>
    </row>
    <row r="1392" spans="1:11" ht="10.15" customHeight="1" x14ac:dyDescent="0.2">
      <c r="A1392" s="261" t="s">
        <v>17</v>
      </c>
      <c r="B1392" s="264">
        <v>515</v>
      </c>
      <c r="C1392" s="243" t="s">
        <v>291</v>
      </c>
      <c r="D1392" s="249" t="s">
        <v>496</v>
      </c>
      <c r="E1392" s="336">
        <v>38086</v>
      </c>
      <c r="F1392" s="257">
        <v>7698598</v>
      </c>
      <c r="G1392" s="249">
        <v>56716</v>
      </c>
      <c r="H1392" s="242"/>
      <c r="I1392" s="251"/>
      <c r="J1392" s="242"/>
      <c r="K1392" s="226"/>
    </row>
    <row r="1393" spans="1:11" ht="10.15" customHeight="1" x14ac:dyDescent="0.2">
      <c r="A1393" s="249"/>
      <c r="B1393" s="249"/>
      <c r="C1393" s="284"/>
      <c r="D1393" s="244" t="s">
        <v>263</v>
      </c>
      <c r="E1393" s="281"/>
      <c r="F1393" s="257"/>
      <c r="G1393" s="249"/>
      <c r="H1393" s="242">
        <v>10506</v>
      </c>
      <c r="I1393" s="251">
        <f t="shared" ref="I1393:I1398" si="33">H1393/$H$1399</f>
        <v>0.27044559425438258</v>
      </c>
      <c r="J1393" s="266" t="s">
        <v>263</v>
      </c>
      <c r="K1393" s="226"/>
    </row>
    <row r="1394" spans="1:11" ht="10.15" customHeight="1" x14ac:dyDescent="0.2">
      <c r="A1394" s="249"/>
      <c r="B1394" s="249"/>
      <c r="C1394" s="284"/>
      <c r="D1394" s="244" t="s">
        <v>292</v>
      </c>
      <c r="E1394" s="281"/>
      <c r="F1394" s="257"/>
      <c r="G1394" s="249"/>
      <c r="H1394" s="242">
        <v>3431</v>
      </c>
      <c r="I1394" s="251">
        <f t="shared" si="33"/>
        <v>8.8320848456766285E-2</v>
      </c>
      <c r="J1394" s="266"/>
      <c r="K1394" s="226"/>
    </row>
    <row r="1395" spans="1:11" ht="10.15" customHeight="1" x14ac:dyDescent="0.2">
      <c r="A1395" s="249"/>
      <c r="B1395" s="249"/>
      <c r="C1395" s="284"/>
      <c r="D1395" s="244" t="s">
        <v>286</v>
      </c>
      <c r="E1395" s="281"/>
      <c r="F1395" s="257"/>
      <c r="G1395" s="249"/>
      <c r="H1395" s="242">
        <v>2339</v>
      </c>
      <c r="I1395" s="251">
        <f t="shared" si="33"/>
        <v>6.0210569670759648E-2</v>
      </c>
      <c r="J1395" s="266"/>
      <c r="K1395" s="226"/>
    </row>
    <row r="1396" spans="1:11" ht="10.15" customHeight="1" x14ac:dyDescent="0.2">
      <c r="A1396" s="249"/>
      <c r="B1396" s="249"/>
      <c r="C1396" s="284"/>
      <c r="D1396" s="244" t="s">
        <v>264</v>
      </c>
      <c r="E1396" s="281"/>
      <c r="F1396" s="257"/>
      <c r="G1396" s="249"/>
      <c r="H1396" s="242">
        <v>7626</v>
      </c>
      <c r="I1396" s="251">
        <f t="shared" si="33"/>
        <v>0.19630859525832112</v>
      </c>
      <c r="J1396" s="266"/>
      <c r="K1396" s="226"/>
    </row>
    <row r="1397" spans="1:11" ht="10.15" customHeight="1" x14ac:dyDescent="0.2">
      <c r="A1397" s="249"/>
      <c r="B1397" s="249"/>
      <c r="C1397" s="284"/>
      <c r="D1397" s="244" t="s">
        <v>290</v>
      </c>
      <c r="E1397" s="281"/>
      <c r="F1397" s="257"/>
      <c r="G1397" s="249"/>
      <c r="H1397" s="242">
        <v>13695</v>
      </c>
      <c r="I1397" s="251">
        <f t="shared" si="33"/>
        <v>0.35253687543439649</v>
      </c>
      <c r="J1397" s="266" t="s">
        <v>290</v>
      </c>
      <c r="K1397" s="226"/>
    </row>
    <row r="1398" spans="1:11" ht="10.15" customHeight="1" x14ac:dyDescent="0.2">
      <c r="A1398" s="249"/>
      <c r="B1398" s="249"/>
      <c r="C1398" s="284"/>
      <c r="D1398" s="244" t="s">
        <v>294</v>
      </c>
      <c r="E1398" s="281"/>
      <c r="F1398" s="257"/>
      <c r="G1398" s="249"/>
      <c r="H1398" s="242">
        <v>1250</v>
      </c>
      <c r="I1398" s="251">
        <f t="shared" si="33"/>
        <v>3.2177516925373906E-2</v>
      </c>
      <c r="J1398" s="252"/>
      <c r="K1398" s="226"/>
    </row>
    <row r="1399" spans="1:11" ht="10.15" customHeight="1" x14ac:dyDescent="0.2">
      <c r="A1399" s="249"/>
      <c r="B1399" s="249"/>
      <c r="C1399" s="284"/>
      <c r="D1399" s="243" t="s">
        <v>33</v>
      </c>
      <c r="E1399" s="281"/>
      <c r="F1399" s="257"/>
      <c r="G1399" s="249"/>
      <c r="H1399" s="265">
        <f>SUM(H1393:H1398)</f>
        <v>38847</v>
      </c>
      <c r="I1399" s="256">
        <f>SUM(I1393:I1398)</f>
        <v>1</v>
      </c>
      <c r="J1399" s="242"/>
      <c r="K1399" s="226"/>
    </row>
    <row r="1400" spans="1:11" ht="10.15" customHeight="1" x14ac:dyDescent="0.2">
      <c r="A1400" s="249"/>
      <c r="B1400" s="249"/>
      <c r="C1400" s="284"/>
      <c r="D1400" s="243"/>
      <c r="E1400" s="281"/>
      <c r="F1400" s="257"/>
      <c r="G1400" s="249"/>
      <c r="H1400" s="249"/>
      <c r="I1400" s="262"/>
      <c r="J1400" s="242"/>
      <c r="K1400" s="226"/>
    </row>
    <row r="1401" spans="1:11" ht="10.15" customHeight="1" x14ac:dyDescent="0.2">
      <c r="A1401" s="261" t="s">
        <v>17</v>
      </c>
      <c r="B1401" s="264">
        <v>501</v>
      </c>
      <c r="C1401" s="243" t="s">
        <v>291</v>
      </c>
      <c r="D1401" s="249" t="s">
        <v>497</v>
      </c>
      <c r="E1401" s="336">
        <v>38169</v>
      </c>
      <c r="F1401" s="257">
        <v>3800000</v>
      </c>
      <c r="G1401" s="249">
        <v>15237</v>
      </c>
      <c r="H1401" s="242"/>
      <c r="I1401" s="251"/>
      <c r="J1401" s="242"/>
      <c r="K1401" s="226"/>
    </row>
    <row r="1402" spans="1:11" ht="10.15" customHeight="1" x14ac:dyDescent="0.2">
      <c r="A1402" s="249"/>
      <c r="B1402" s="249"/>
      <c r="C1402" s="284"/>
      <c r="D1402" s="244" t="s">
        <v>293</v>
      </c>
      <c r="E1402" s="281"/>
      <c r="F1402" s="257"/>
      <c r="G1402" s="249"/>
      <c r="H1402" s="242">
        <v>6701</v>
      </c>
      <c r="I1402" s="251">
        <f>H1402/H$1405</f>
        <v>0.64296680099788905</v>
      </c>
      <c r="J1402" s="252" t="s">
        <v>241</v>
      </c>
      <c r="K1402" s="226"/>
    </row>
    <row r="1403" spans="1:11" ht="10.15" customHeight="1" x14ac:dyDescent="0.2">
      <c r="A1403" s="249"/>
      <c r="B1403" s="249"/>
      <c r="C1403" s="284"/>
      <c r="D1403" s="244" t="s">
        <v>290</v>
      </c>
      <c r="E1403" s="281"/>
      <c r="F1403" s="257"/>
      <c r="G1403" s="249"/>
      <c r="H1403" s="242">
        <v>1312</v>
      </c>
      <c r="I1403" s="251">
        <f>H1403/H$1405</f>
        <v>0.12588754557666476</v>
      </c>
      <c r="J1403" s="252"/>
      <c r="K1403" s="226"/>
    </row>
    <row r="1404" spans="1:11" ht="10.15" customHeight="1" x14ac:dyDescent="0.2">
      <c r="A1404" s="249"/>
      <c r="B1404" s="249"/>
      <c r="C1404" s="284"/>
      <c r="D1404" s="244" t="s">
        <v>294</v>
      </c>
      <c r="E1404" s="281"/>
      <c r="F1404" s="257"/>
      <c r="G1404" s="249"/>
      <c r="H1404" s="242">
        <v>2409</v>
      </c>
      <c r="I1404" s="251">
        <f>H1404/H$1405</f>
        <v>0.23114565342544618</v>
      </c>
      <c r="J1404" s="252"/>
      <c r="K1404" s="226"/>
    </row>
    <row r="1405" spans="1:11" ht="10.15" customHeight="1" x14ac:dyDescent="0.2">
      <c r="A1405" s="249"/>
      <c r="B1405" s="249"/>
      <c r="C1405" s="284"/>
      <c r="D1405" s="243" t="s">
        <v>33</v>
      </c>
      <c r="E1405" s="281"/>
      <c r="F1405" s="257"/>
      <c r="G1405" s="249"/>
      <c r="H1405" s="265">
        <f>SUM(H1402:H1404)</f>
        <v>10422</v>
      </c>
      <c r="I1405" s="256">
        <f>SUM(I1402:I1404)</f>
        <v>1</v>
      </c>
      <c r="J1405" s="242"/>
      <c r="K1405" s="226"/>
    </row>
    <row r="1406" spans="1:11" ht="10.15" customHeight="1" x14ac:dyDescent="0.2">
      <c r="A1406" s="249"/>
      <c r="B1406" s="249"/>
      <c r="C1406" s="284"/>
      <c r="D1406" s="243"/>
      <c r="E1406" s="281"/>
      <c r="F1406" s="257"/>
      <c r="G1406" s="327"/>
      <c r="H1406" s="249"/>
      <c r="I1406" s="262"/>
      <c r="J1406" s="242"/>
      <c r="K1406" s="226"/>
    </row>
    <row r="1407" spans="1:11" ht="10.15" customHeight="1" x14ac:dyDescent="0.2">
      <c r="A1407" s="261" t="s">
        <v>17</v>
      </c>
      <c r="B1407" s="264">
        <v>589</v>
      </c>
      <c r="C1407" s="243" t="s">
        <v>291</v>
      </c>
      <c r="D1407" s="249" t="s">
        <v>498</v>
      </c>
      <c r="E1407" s="336">
        <v>38338</v>
      </c>
      <c r="F1407" s="257">
        <v>15333469</v>
      </c>
      <c r="G1407" s="249">
        <v>98089</v>
      </c>
      <c r="H1407" s="242"/>
      <c r="I1407" s="251"/>
      <c r="J1407" s="242"/>
      <c r="K1407" s="226"/>
    </row>
    <row r="1408" spans="1:11" ht="10.15" customHeight="1" x14ac:dyDescent="0.2">
      <c r="A1408" s="249"/>
      <c r="B1408" s="249"/>
      <c r="C1408" s="284"/>
      <c r="D1408" s="244" t="s">
        <v>263</v>
      </c>
      <c r="E1408" s="281"/>
      <c r="F1408" s="328"/>
      <c r="G1408" s="328"/>
      <c r="H1408" s="242">
        <v>16504</v>
      </c>
      <c r="I1408" s="251">
        <f t="shared" ref="I1408:I1413" si="34">H1408/$H$1414</f>
        <v>0.28283036005004025</v>
      </c>
      <c r="J1408" s="266" t="s">
        <v>263</v>
      </c>
      <c r="K1408" s="226"/>
    </row>
    <row r="1409" spans="1:11" ht="10.15" customHeight="1" x14ac:dyDescent="0.2">
      <c r="A1409" s="249"/>
      <c r="B1409" s="249"/>
      <c r="C1409" s="284"/>
      <c r="D1409" s="244" t="s">
        <v>286</v>
      </c>
      <c r="E1409" s="281"/>
      <c r="F1409" s="257"/>
      <c r="G1409" s="249"/>
      <c r="H1409" s="242">
        <v>1264</v>
      </c>
      <c r="I1409" s="251">
        <f t="shared" si="34"/>
        <v>2.1661268486624509E-2</v>
      </c>
      <c r="J1409" s="266"/>
      <c r="K1409" s="226"/>
    </row>
    <row r="1410" spans="1:11" ht="10.15" customHeight="1" x14ac:dyDescent="0.2">
      <c r="A1410" s="249"/>
      <c r="B1410" s="249"/>
      <c r="C1410" s="284"/>
      <c r="D1410" s="244" t="s">
        <v>264</v>
      </c>
      <c r="E1410" s="281"/>
      <c r="F1410" s="257"/>
      <c r="G1410" s="249"/>
      <c r="H1410" s="242">
        <v>3375</v>
      </c>
      <c r="I1410" s="251">
        <f t="shared" si="34"/>
        <v>5.7837643308827312E-2</v>
      </c>
      <c r="J1410" s="266"/>
      <c r="K1410" s="226"/>
    </row>
    <row r="1411" spans="1:11" ht="10.15" customHeight="1" x14ac:dyDescent="0.2">
      <c r="A1411" s="249"/>
      <c r="B1411" s="249"/>
      <c r="C1411" s="284"/>
      <c r="D1411" s="244" t="s">
        <v>245</v>
      </c>
      <c r="E1411" s="281"/>
      <c r="F1411" s="257"/>
      <c r="G1411" s="249"/>
      <c r="H1411" s="242">
        <v>18000</v>
      </c>
      <c r="I1411" s="251">
        <f t="shared" si="34"/>
        <v>0.30846743098041229</v>
      </c>
      <c r="J1411" s="252" t="s">
        <v>245</v>
      </c>
      <c r="K1411" s="226"/>
    </row>
    <row r="1412" spans="1:11" ht="10.15" customHeight="1" x14ac:dyDescent="0.2">
      <c r="A1412" s="249"/>
      <c r="B1412" s="249"/>
      <c r="C1412" s="284"/>
      <c r="D1412" s="244" t="s">
        <v>290</v>
      </c>
      <c r="E1412" s="281"/>
      <c r="F1412" s="257"/>
      <c r="G1412" s="249"/>
      <c r="H1412" s="242">
        <v>17810</v>
      </c>
      <c r="I1412" s="251">
        <f t="shared" si="34"/>
        <v>0.30521138587561908</v>
      </c>
      <c r="J1412" s="266" t="s">
        <v>290</v>
      </c>
      <c r="K1412" s="226"/>
    </row>
    <row r="1413" spans="1:11" ht="10.15" customHeight="1" x14ac:dyDescent="0.2">
      <c r="A1413" s="249"/>
      <c r="B1413" s="249"/>
      <c r="C1413" s="284"/>
      <c r="D1413" s="244" t="s">
        <v>294</v>
      </c>
      <c r="E1413" s="281"/>
      <c r="F1413" s="257"/>
      <c r="G1413" s="249"/>
      <c r="H1413" s="242">
        <v>1400</v>
      </c>
      <c r="I1413" s="251">
        <f t="shared" si="34"/>
        <v>2.3991911298476512E-2</v>
      </c>
      <c r="J1413" s="252"/>
      <c r="K1413" s="226"/>
    </row>
    <row r="1414" spans="1:11" ht="10.15" customHeight="1" x14ac:dyDescent="0.2">
      <c r="A1414" s="249"/>
      <c r="B1414" s="249"/>
      <c r="C1414" s="284"/>
      <c r="D1414" s="243" t="s">
        <v>33</v>
      </c>
      <c r="E1414" s="281"/>
      <c r="F1414" s="257"/>
      <c r="G1414" s="249"/>
      <c r="H1414" s="265">
        <f>SUM(H1408:H1413)</f>
        <v>58353</v>
      </c>
      <c r="I1414" s="256">
        <f>SUM(I1408:I1413)</f>
        <v>1</v>
      </c>
      <c r="J1414" s="242"/>
      <c r="K1414" s="226"/>
    </row>
    <row r="1415" spans="1:11" ht="10.15" customHeight="1" x14ac:dyDescent="0.2">
      <c r="A1415" s="249"/>
      <c r="B1415" s="249"/>
      <c r="C1415" s="284"/>
      <c r="D1415" s="243"/>
      <c r="E1415" s="281"/>
      <c r="F1415" s="257"/>
      <c r="G1415" s="249"/>
      <c r="H1415" s="249"/>
      <c r="I1415" s="262"/>
      <c r="J1415" s="242"/>
      <c r="K1415" s="226"/>
    </row>
    <row r="1416" spans="1:11" ht="10.15" customHeight="1" x14ac:dyDescent="0.2">
      <c r="A1416" s="261" t="s">
        <v>17</v>
      </c>
      <c r="B1416" s="264">
        <v>597</v>
      </c>
      <c r="C1416" s="243" t="s">
        <v>546</v>
      </c>
      <c r="D1416" s="249" t="s">
        <v>547</v>
      </c>
      <c r="E1416" s="336">
        <v>38899</v>
      </c>
      <c r="F1416" s="257">
        <v>9261791</v>
      </c>
      <c r="G1416" s="249">
        <v>52897</v>
      </c>
      <c r="H1416" s="242"/>
      <c r="I1416" s="251"/>
      <c r="J1416" s="242"/>
      <c r="K1416" s="226"/>
    </row>
    <row r="1417" spans="1:11" ht="10.15" customHeight="1" x14ac:dyDescent="0.2">
      <c r="A1417" s="249"/>
      <c r="B1417" s="249"/>
      <c r="C1417" s="284"/>
      <c r="D1417" s="244" t="s">
        <v>263</v>
      </c>
      <c r="E1417" s="281"/>
      <c r="F1417" s="257"/>
      <c r="G1417" s="249"/>
      <c r="H1417" s="242">
        <v>4582</v>
      </c>
      <c r="I1417" s="251">
        <f>H1417/$H$1425</f>
        <v>0.12844808252971518</v>
      </c>
      <c r="J1417" s="266"/>
      <c r="K1417" s="226"/>
    </row>
    <row r="1418" spans="1:11" ht="10.15" customHeight="1" x14ac:dyDescent="0.2">
      <c r="A1418" s="249"/>
      <c r="B1418" s="249"/>
      <c r="C1418" s="284"/>
      <c r="D1418" s="244" t="s">
        <v>292</v>
      </c>
      <c r="E1418" s="281"/>
      <c r="F1418" s="257"/>
      <c r="G1418" s="249"/>
      <c r="H1418" s="242">
        <v>980</v>
      </c>
      <c r="I1418" s="251">
        <f t="shared" ref="I1418:I1424" si="35">H1418/$H$1425</f>
        <v>2.7472527472527472E-2</v>
      </c>
      <c r="J1418" s="266"/>
      <c r="K1418" s="226"/>
    </row>
    <row r="1419" spans="1:11" ht="10.15" customHeight="1" x14ac:dyDescent="0.2">
      <c r="A1419" s="249"/>
      <c r="B1419" s="249"/>
      <c r="C1419" s="284"/>
      <c r="D1419" s="244" t="s">
        <v>244</v>
      </c>
      <c r="E1419" s="281"/>
      <c r="F1419" s="257"/>
      <c r="G1419" s="249"/>
      <c r="H1419" s="242">
        <v>6094</v>
      </c>
      <c r="I1419" s="251">
        <f t="shared" si="35"/>
        <v>0.17083426777304328</v>
      </c>
      <c r="J1419" s="266"/>
      <c r="K1419" s="226"/>
    </row>
    <row r="1420" spans="1:11" ht="10.15" customHeight="1" x14ac:dyDescent="0.2">
      <c r="A1420" s="249"/>
      <c r="B1420" s="249"/>
      <c r="C1420" s="284"/>
      <c r="D1420" s="244" t="s">
        <v>264</v>
      </c>
      <c r="E1420" s="281"/>
      <c r="F1420" s="257"/>
      <c r="G1420" s="249"/>
      <c r="H1420" s="242">
        <v>3643</v>
      </c>
      <c r="I1420" s="251">
        <f t="shared" si="35"/>
        <v>0.10212491590042611</v>
      </c>
      <c r="J1420" s="266"/>
      <c r="K1420" s="226"/>
    </row>
    <row r="1421" spans="1:11" ht="10.15" customHeight="1" x14ac:dyDescent="0.2">
      <c r="A1421" s="249"/>
      <c r="B1421" s="249"/>
      <c r="C1421" s="284"/>
      <c r="D1421" s="244" t="s">
        <v>245</v>
      </c>
      <c r="E1421" s="281"/>
      <c r="F1421" s="257"/>
      <c r="G1421" s="249"/>
      <c r="H1421" s="242">
        <v>1208</v>
      </c>
      <c r="I1421" s="251">
        <f t="shared" si="35"/>
        <v>3.3864095088584886E-2</v>
      </c>
      <c r="J1421" s="266"/>
      <c r="K1421" s="226"/>
    </row>
    <row r="1422" spans="1:11" ht="10.15" customHeight="1" x14ac:dyDescent="0.2">
      <c r="A1422" s="249"/>
      <c r="B1422" s="249"/>
      <c r="C1422" s="284"/>
      <c r="D1422" s="244" t="s">
        <v>290</v>
      </c>
      <c r="E1422" s="281"/>
      <c r="F1422" s="257"/>
      <c r="G1422" s="249"/>
      <c r="H1422" s="242">
        <v>10530</v>
      </c>
      <c r="I1422" s="251">
        <f t="shared" si="35"/>
        <v>0.29518950437317787</v>
      </c>
      <c r="J1422" s="266" t="s">
        <v>290</v>
      </c>
      <c r="K1422" s="226"/>
    </row>
    <row r="1423" spans="1:11" ht="10.15" customHeight="1" x14ac:dyDescent="0.2">
      <c r="A1423" s="249"/>
      <c r="B1423" s="249"/>
      <c r="C1423" s="284"/>
      <c r="D1423" s="244" t="s">
        <v>294</v>
      </c>
      <c r="E1423" s="281"/>
      <c r="F1423" s="257"/>
      <c r="G1423" s="249"/>
      <c r="H1423" s="242">
        <v>4761</v>
      </c>
      <c r="I1423" s="251">
        <f t="shared" si="35"/>
        <v>0.13346602377214623</v>
      </c>
      <c r="J1423" s="252"/>
      <c r="K1423" s="226"/>
    </row>
    <row r="1424" spans="1:11" ht="10.15" customHeight="1" x14ac:dyDescent="0.2">
      <c r="A1424" s="249"/>
      <c r="B1424" s="249"/>
      <c r="C1424" s="284"/>
      <c r="D1424" s="244" t="s">
        <v>480</v>
      </c>
      <c r="E1424" s="281"/>
      <c r="F1424" s="257"/>
      <c r="G1424" s="249"/>
      <c r="H1424" s="242">
        <v>3874</v>
      </c>
      <c r="I1424" s="251">
        <f t="shared" si="35"/>
        <v>0.10860058309037901</v>
      </c>
      <c r="J1424" s="252"/>
      <c r="K1424" s="226"/>
    </row>
    <row r="1425" spans="1:11" ht="10.15" customHeight="1" x14ac:dyDescent="0.2">
      <c r="A1425" s="249"/>
      <c r="B1425" s="249"/>
      <c r="C1425" s="284"/>
      <c r="D1425" s="243" t="s">
        <v>33</v>
      </c>
      <c r="E1425" s="281"/>
      <c r="F1425" s="257"/>
      <c r="G1425" s="249"/>
      <c r="H1425" s="265">
        <f>SUM(H1417:H1424)</f>
        <v>35672</v>
      </c>
      <c r="I1425" s="256">
        <f>SUM(I1417:I1424)</f>
        <v>1</v>
      </c>
      <c r="J1425" s="242"/>
      <c r="K1425" s="226"/>
    </row>
    <row r="1426" spans="1:11" ht="10.15" customHeight="1" x14ac:dyDescent="0.2">
      <c r="A1426" s="249"/>
      <c r="B1426" s="249"/>
      <c r="C1426" s="284"/>
      <c r="D1426" s="243"/>
      <c r="E1426" s="281"/>
      <c r="F1426" s="257"/>
      <c r="G1426" s="249"/>
      <c r="H1426" s="249"/>
      <c r="I1426" s="262"/>
      <c r="J1426" s="249"/>
      <c r="K1426" s="226"/>
    </row>
    <row r="1427" spans="1:11" ht="10.15" customHeight="1" x14ac:dyDescent="0.2">
      <c r="A1427" s="261" t="s">
        <v>17</v>
      </c>
      <c r="B1427" s="264"/>
      <c r="C1427" s="243" t="s">
        <v>291</v>
      </c>
      <c r="D1427" s="249" t="s">
        <v>568</v>
      </c>
      <c r="E1427" s="336">
        <v>39657</v>
      </c>
      <c r="F1427" s="257">
        <v>8950000</v>
      </c>
      <c r="G1427" s="249">
        <v>34466</v>
      </c>
      <c r="H1427" s="249"/>
      <c r="I1427" s="262"/>
      <c r="J1427" s="249"/>
      <c r="K1427" s="226"/>
    </row>
    <row r="1428" spans="1:11" ht="10.15" customHeight="1" x14ac:dyDescent="0.2">
      <c r="A1428" s="261"/>
      <c r="B1428" s="264"/>
      <c r="C1428" s="243"/>
      <c r="D1428" s="244" t="s">
        <v>263</v>
      </c>
      <c r="E1428" s="336"/>
      <c r="F1428" s="257"/>
      <c r="G1428" s="249"/>
      <c r="H1428" s="249">
        <v>8519</v>
      </c>
      <c r="I1428" s="251">
        <f>H1428/$H$1433</f>
        <v>0.39216498641992359</v>
      </c>
      <c r="J1428" s="266" t="s">
        <v>263</v>
      </c>
      <c r="K1428" s="226"/>
    </row>
    <row r="1429" spans="1:11" ht="10.15" customHeight="1" x14ac:dyDescent="0.2">
      <c r="A1429" s="261"/>
      <c r="B1429" s="264"/>
      <c r="C1429" s="243"/>
      <c r="D1429" s="244" t="s">
        <v>292</v>
      </c>
      <c r="E1429" s="336"/>
      <c r="F1429" s="257"/>
      <c r="G1429" s="249"/>
      <c r="H1429" s="249">
        <v>6198</v>
      </c>
      <c r="I1429" s="251">
        <f>H1429/$H$1433</f>
        <v>0.28531970722275929</v>
      </c>
      <c r="J1429" s="252" t="s">
        <v>240</v>
      </c>
      <c r="K1429" s="226"/>
    </row>
    <row r="1430" spans="1:11" ht="10.15" customHeight="1" x14ac:dyDescent="0.2">
      <c r="A1430" s="261"/>
      <c r="B1430" s="264"/>
      <c r="C1430" s="243"/>
      <c r="D1430" s="244" t="s">
        <v>293</v>
      </c>
      <c r="E1430" s="336"/>
      <c r="F1430" s="257"/>
      <c r="G1430" s="249"/>
      <c r="H1430" s="249">
        <v>5506</v>
      </c>
      <c r="I1430" s="251">
        <f>H1430/$H$1433</f>
        <v>0.25346407034019242</v>
      </c>
      <c r="J1430" s="252" t="s">
        <v>241</v>
      </c>
      <c r="K1430" s="226"/>
    </row>
    <row r="1431" spans="1:11" ht="10.15" customHeight="1" x14ac:dyDescent="0.2">
      <c r="A1431" s="249"/>
      <c r="B1431" s="249"/>
      <c r="C1431" s="284"/>
      <c r="D1431" s="244" t="s">
        <v>286</v>
      </c>
      <c r="E1431" s="281"/>
      <c r="F1431" s="257"/>
      <c r="G1431" s="249"/>
      <c r="H1431" s="249">
        <v>638</v>
      </c>
      <c r="I1431" s="251">
        <f>H1431/$H$1433</f>
        <v>2.9369792385950375E-2</v>
      </c>
      <c r="J1431" s="249"/>
      <c r="K1431" s="226"/>
    </row>
    <row r="1432" spans="1:11" ht="10.15" customHeight="1" x14ac:dyDescent="0.2">
      <c r="A1432" s="249"/>
      <c r="B1432" s="249"/>
      <c r="C1432" s="284"/>
      <c r="D1432" s="244" t="s">
        <v>294</v>
      </c>
      <c r="E1432" s="281"/>
      <c r="F1432" s="257"/>
      <c r="G1432" s="249"/>
      <c r="H1432" s="249">
        <v>862</v>
      </c>
      <c r="I1432" s="251">
        <f>H1432/$H$1433</f>
        <v>3.9681443631174332E-2</v>
      </c>
      <c r="J1432" s="249"/>
      <c r="K1432" s="226"/>
    </row>
    <row r="1433" spans="1:11" ht="10.15" customHeight="1" x14ac:dyDescent="0.2">
      <c r="A1433" s="249"/>
      <c r="B1433" s="249"/>
      <c r="C1433" s="284"/>
      <c r="D1433" s="243" t="s">
        <v>33</v>
      </c>
      <c r="E1433" s="281"/>
      <c r="F1433" s="257"/>
      <c r="G1433" s="249"/>
      <c r="H1433" s="265">
        <f>SUM(H1428:H1432)</f>
        <v>21723</v>
      </c>
      <c r="I1433" s="256">
        <f>SUM(I1428:I1432)</f>
        <v>1</v>
      </c>
      <c r="J1433" s="249"/>
      <c r="K1433" s="226"/>
    </row>
    <row r="1434" spans="1:11" ht="10.15" customHeight="1" x14ac:dyDescent="0.2">
      <c r="A1434" s="249"/>
      <c r="B1434" s="249"/>
      <c r="C1434" s="284"/>
      <c r="D1434" s="243"/>
      <c r="E1434" s="281"/>
      <c r="F1434" s="257"/>
      <c r="G1434" s="249"/>
      <c r="H1434" s="249"/>
      <c r="I1434" s="262"/>
      <c r="J1434" s="249"/>
      <c r="K1434" s="226"/>
    </row>
    <row r="1435" spans="1:11" ht="10.15" customHeight="1" x14ac:dyDescent="0.2">
      <c r="A1435" s="261" t="s">
        <v>17</v>
      </c>
      <c r="B1435" s="264"/>
      <c r="C1435" s="243" t="s">
        <v>291</v>
      </c>
      <c r="D1435" s="249" t="s">
        <v>580</v>
      </c>
      <c r="E1435" s="336">
        <v>39814</v>
      </c>
      <c r="F1435" s="257">
        <v>35573448</v>
      </c>
      <c r="G1435" s="249">
        <v>113535</v>
      </c>
      <c r="H1435" s="249"/>
      <c r="I1435" s="262"/>
      <c r="J1435" s="249"/>
      <c r="K1435" s="226"/>
    </row>
    <row r="1436" spans="1:11" ht="10.15" customHeight="1" x14ac:dyDescent="0.2">
      <c r="A1436" s="261"/>
      <c r="B1436" s="264"/>
      <c r="C1436" s="243"/>
      <c r="D1436" s="244" t="s">
        <v>263</v>
      </c>
      <c r="E1436" s="336"/>
      <c r="F1436" s="257"/>
      <c r="G1436" s="249"/>
      <c r="H1436" s="249">
        <v>7444</v>
      </c>
      <c r="I1436" s="262">
        <f t="shared" ref="I1436:I1441" si="36">H1436/$H$1442</f>
        <v>0.1165620155645679</v>
      </c>
      <c r="J1436" s="249"/>
      <c r="K1436" s="226"/>
    </row>
    <row r="1437" spans="1:11" ht="10.15" customHeight="1" x14ac:dyDescent="0.2">
      <c r="A1437" s="261"/>
      <c r="B1437" s="264"/>
      <c r="C1437" s="243"/>
      <c r="D1437" s="244" t="s">
        <v>293</v>
      </c>
      <c r="E1437" s="336"/>
      <c r="F1437" s="257"/>
      <c r="G1437" s="249"/>
      <c r="H1437" s="249">
        <v>20369</v>
      </c>
      <c r="I1437" s="262">
        <f t="shared" si="36"/>
        <v>0.31894837386280006</v>
      </c>
      <c r="J1437" s="248" t="s">
        <v>109</v>
      </c>
      <c r="K1437" s="226"/>
    </row>
    <row r="1438" spans="1:11" ht="10.15" customHeight="1" x14ac:dyDescent="0.2">
      <c r="A1438" s="261"/>
      <c r="B1438" s="264"/>
      <c r="C1438" s="243"/>
      <c r="D1438" s="244" t="s">
        <v>286</v>
      </c>
      <c r="E1438" s="336"/>
      <c r="F1438" s="257"/>
      <c r="G1438" s="249"/>
      <c r="H1438" s="249">
        <v>2211</v>
      </c>
      <c r="I1438" s="262">
        <f t="shared" si="36"/>
        <v>3.4620985547186948E-2</v>
      </c>
      <c r="J1438" s="248"/>
      <c r="K1438" s="226"/>
    </row>
    <row r="1439" spans="1:11" ht="10.15" customHeight="1" x14ac:dyDescent="0.2">
      <c r="A1439" s="249"/>
      <c r="B1439" s="249"/>
      <c r="C1439" s="284"/>
      <c r="D1439" s="244" t="s">
        <v>264</v>
      </c>
      <c r="E1439" s="281"/>
      <c r="F1439" s="257"/>
      <c r="G1439" s="249"/>
      <c r="H1439" s="249">
        <v>15468</v>
      </c>
      <c r="I1439" s="262">
        <f t="shared" si="36"/>
        <v>0.24220597215915318</v>
      </c>
      <c r="J1439" s="248" t="s">
        <v>75</v>
      </c>
      <c r="K1439" s="226"/>
    </row>
    <row r="1440" spans="1:11" ht="10.15" customHeight="1" x14ac:dyDescent="0.2">
      <c r="A1440" s="249"/>
      <c r="B1440" s="249"/>
      <c r="C1440" s="284"/>
      <c r="D1440" s="244" t="s">
        <v>290</v>
      </c>
      <c r="E1440" s="281"/>
      <c r="F1440" s="257"/>
      <c r="G1440" s="249"/>
      <c r="H1440" s="249">
        <v>15485</v>
      </c>
      <c r="I1440" s="262">
        <f t="shared" si="36"/>
        <v>0.24247216698244681</v>
      </c>
      <c r="J1440" s="248" t="s">
        <v>63</v>
      </c>
      <c r="K1440" s="226"/>
    </row>
    <row r="1441" spans="1:68" ht="10.15" customHeight="1" x14ac:dyDescent="0.2">
      <c r="A1441" s="249"/>
      <c r="B1441" s="249"/>
      <c r="C1441" s="284"/>
      <c r="D1441" s="244" t="s">
        <v>294</v>
      </c>
      <c r="E1441" s="281"/>
      <c r="F1441" s="257"/>
      <c r="G1441" s="249"/>
      <c r="H1441" s="249">
        <v>2886</v>
      </c>
      <c r="I1441" s="262">
        <f t="shared" si="36"/>
        <v>4.5190485883845104E-2</v>
      </c>
      <c r="J1441" s="248"/>
      <c r="K1441" s="226"/>
    </row>
    <row r="1442" spans="1:68" ht="10.15" customHeight="1" x14ac:dyDescent="0.2">
      <c r="A1442" s="249"/>
      <c r="B1442" s="249"/>
      <c r="C1442" s="284"/>
      <c r="D1442" s="243" t="s">
        <v>33</v>
      </c>
      <c r="E1442" s="281"/>
      <c r="F1442" s="257"/>
      <c r="G1442" s="249"/>
      <c r="H1442" s="265">
        <f>SUM(H1436:H1441)</f>
        <v>63863</v>
      </c>
      <c r="I1442" s="256">
        <f>SUM(I1436:I1441)</f>
        <v>1</v>
      </c>
      <c r="J1442" s="248"/>
      <c r="K1442" s="226"/>
    </row>
    <row r="1443" spans="1:68" ht="10.15" customHeight="1" x14ac:dyDescent="0.2">
      <c r="A1443" s="249"/>
      <c r="B1443" s="249"/>
      <c r="C1443" s="284"/>
      <c r="D1443" s="243"/>
      <c r="E1443" s="281"/>
      <c r="F1443" s="257"/>
      <c r="G1443" s="249"/>
      <c r="H1443" s="249"/>
      <c r="I1443" s="262"/>
      <c r="J1443" s="248"/>
      <c r="K1443" s="226"/>
    </row>
    <row r="1444" spans="1:68" ht="10.15" customHeight="1" x14ac:dyDescent="0.2">
      <c r="A1444" s="261" t="s">
        <v>17</v>
      </c>
      <c r="B1444" s="264"/>
      <c r="C1444" s="243" t="s">
        <v>513</v>
      </c>
      <c r="D1444" s="249" t="s">
        <v>581</v>
      </c>
      <c r="E1444" s="336">
        <v>40118</v>
      </c>
      <c r="F1444" s="257">
        <v>18865248</v>
      </c>
      <c r="G1444" s="249">
        <v>74788</v>
      </c>
      <c r="H1444" s="249"/>
      <c r="I1444" s="262"/>
      <c r="J1444" s="248"/>
      <c r="K1444" s="226"/>
    </row>
    <row r="1445" spans="1:68" ht="10.15" customHeight="1" x14ac:dyDescent="0.2">
      <c r="A1445" s="261"/>
      <c r="B1445" s="264"/>
      <c r="C1445" s="243"/>
      <c r="D1445" s="244" t="s">
        <v>286</v>
      </c>
      <c r="E1445" s="336"/>
      <c r="F1445" s="257"/>
      <c r="G1445" s="249"/>
      <c r="H1445" s="249">
        <v>653</v>
      </c>
      <c r="I1445" s="262">
        <f>H1445/$H$1450</f>
        <v>1.6098414811527746E-2</v>
      </c>
      <c r="J1445" s="248"/>
      <c r="K1445" s="226"/>
    </row>
    <row r="1446" spans="1:68" s="8" customFormat="1" ht="10.15" customHeight="1" x14ac:dyDescent="0.2">
      <c r="A1446" s="261"/>
      <c r="B1446" s="264"/>
      <c r="C1446" s="243"/>
      <c r="D1446" s="244" t="s">
        <v>264</v>
      </c>
      <c r="E1446" s="336"/>
      <c r="F1446" s="257"/>
      <c r="G1446" s="249"/>
      <c r="H1446" s="249">
        <v>4370</v>
      </c>
      <c r="I1446" s="262">
        <f>H1446/$H$1450</f>
        <v>0.10773364889184725</v>
      </c>
      <c r="J1446" s="248"/>
      <c r="K1446" s="226"/>
      <c r="L1446" s="10"/>
      <c r="M1446" s="10"/>
      <c r="N1446" s="10"/>
      <c r="O1446" s="10"/>
      <c r="P1446" s="10"/>
      <c r="Q1446" s="10"/>
      <c r="R1446" s="9"/>
      <c r="S1446" s="9"/>
      <c r="T1446" s="9"/>
      <c r="U1446" s="9"/>
      <c r="V1446" s="9"/>
      <c r="W1446" s="9"/>
      <c r="X1446" s="9"/>
      <c r="Y1446" s="9"/>
      <c r="Z1446" s="9"/>
      <c r="AA1446" s="9"/>
      <c r="AB1446" s="9"/>
      <c r="AC1446" s="9"/>
      <c r="AD1446" s="9"/>
      <c r="AE1446" s="9"/>
      <c r="AF1446" s="9"/>
      <c r="AG1446" s="9"/>
      <c r="AH1446" s="9"/>
      <c r="AI1446" s="9"/>
      <c r="AJ1446" s="9"/>
      <c r="AK1446" s="9"/>
      <c r="AL1446" s="9"/>
      <c r="AM1446" s="9"/>
      <c r="AN1446" s="9"/>
      <c r="AO1446" s="9"/>
      <c r="AP1446" s="9"/>
      <c r="AQ1446" s="9"/>
      <c r="AR1446" s="9"/>
      <c r="AS1446" s="9"/>
      <c r="AT1446" s="9"/>
      <c r="AU1446" s="9"/>
      <c r="AV1446" s="9"/>
      <c r="AW1446" s="9"/>
      <c r="AX1446" s="9"/>
      <c r="AY1446" s="9"/>
      <c r="AZ1446" s="9"/>
      <c r="BA1446" s="9"/>
      <c r="BB1446" s="9"/>
      <c r="BC1446" s="9"/>
      <c r="BD1446" s="9"/>
      <c r="BE1446" s="9"/>
      <c r="BF1446" s="9"/>
      <c r="BG1446" s="9"/>
      <c r="BH1446" s="9"/>
      <c r="BI1446" s="9"/>
      <c r="BJ1446" s="9"/>
      <c r="BK1446" s="9"/>
      <c r="BL1446" s="9"/>
      <c r="BM1446" s="9"/>
      <c r="BN1446" s="9"/>
      <c r="BO1446" s="9"/>
      <c r="BP1446" s="9"/>
    </row>
    <row r="1447" spans="1:68" s="8" customFormat="1" ht="10.15" customHeight="1" x14ac:dyDescent="0.2">
      <c r="A1447" s="261"/>
      <c r="B1447" s="264"/>
      <c r="C1447" s="243"/>
      <c r="D1447" s="244" t="s">
        <v>245</v>
      </c>
      <c r="E1447" s="336"/>
      <c r="F1447" s="257"/>
      <c r="G1447" s="249"/>
      <c r="H1447" s="249">
        <v>2823</v>
      </c>
      <c r="I1447" s="262">
        <f>H1447/$H$1450</f>
        <v>6.9595444123955325E-2</v>
      </c>
      <c r="J1447" s="248"/>
      <c r="K1447" s="226"/>
      <c r="L1447" s="10"/>
      <c r="M1447" s="10"/>
      <c r="N1447" s="10"/>
      <c r="O1447" s="10"/>
      <c r="P1447" s="10"/>
      <c r="Q1447" s="10"/>
      <c r="R1447" s="9"/>
      <c r="S1447" s="9"/>
      <c r="T1447" s="9"/>
      <c r="U1447" s="9"/>
      <c r="V1447" s="9"/>
      <c r="W1447" s="9"/>
      <c r="X1447" s="9"/>
      <c r="Y1447" s="9"/>
      <c r="Z1447" s="9"/>
      <c r="AA1447" s="9"/>
      <c r="AB1447" s="9"/>
      <c r="AC1447" s="9"/>
      <c r="AD1447" s="9"/>
      <c r="AE1447" s="9"/>
      <c r="AF1447" s="9"/>
      <c r="AG1447" s="9"/>
      <c r="AH1447" s="9"/>
      <c r="AI1447" s="9"/>
      <c r="AJ1447" s="9"/>
      <c r="AK1447" s="9"/>
      <c r="AL1447" s="9"/>
      <c r="AM1447" s="9"/>
      <c r="AN1447" s="9"/>
      <c r="AO1447" s="9"/>
      <c r="AP1447" s="9"/>
      <c r="AQ1447" s="9"/>
      <c r="AR1447" s="9"/>
      <c r="AS1447" s="9"/>
      <c r="AT1447" s="9"/>
      <c r="AU1447" s="9"/>
      <c r="AV1447" s="9"/>
      <c r="AW1447" s="9"/>
      <c r="AX1447" s="9"/>
      <c r="AY1447" s="9"/>
      <c r="AZ1447" s="9"/>
      <c r="BA1447" s="9"/>
      <c r="BB1447" s="9"/>
      <c r="BC1447" s="9"/>
      <c r="BD1447" s="9"/>
      <c r="BE1447" s="9"/>
      <c r="BF1447" s="9"/>
      <c r="BG1447" s="9"/>
      <c r="BH1447" s="9"/>
      <c r="BI1447" s="9"/>
      <c r="BJ1447" s="9"/>
      <c r="BK1447" s="9"/>
      <c r="BL1447" s="9"/>
      <c r="BM1447" s="9"/>
      <c r="BN1447" s="9"/>
      <c r="BO1447" s="9"/>
      <c r="BP1447" s="9"/>
    </row>
    <row r="1448" spans="1:68" s="8" customFormat="1" ht="10.15" customHeight="1" x14ac:dyDescent="0.2">
      <c r="A1448" s="249"/>
      <c r="B1448" s="249"/>
      <c r="C1448" s="284"/>
      <c r="D1448" s="244" t="s">
        <v>242</v>
      </c>
      <c r="E1448" s="281"/>
      <c r="F1448" s="257"/>
      <c r="G1448" s="249"/>
      <c r="H1448" s="249">
        <v>32176</v>
      </c>
      <c r="I1448" s="262">
        <f>H1448/$H$1450</f>
        <v>0.79323521435791233</v>
      </c>
      <c r="J1448" s="248" t="s">
        <v>63</v>
      </c>
      <c r="K1448" s="226"/>
      <c r="L1448" s="10"/>
      <c r="M1448" s="10"/>
      <c r="N1448" s="10"/>
      <c r="O1448" s="10"/>
      <c r="P1448" s="10"/>
      <c r="Q1448" s="10"/>
      <c r="R1448" s="9"/>
      <c r="S1448" s="9"/>
      <c r="T1448" s="9"/>
      <c r="U1448" s="9"/>
      <c r="V1448" s="9"/>
      <c r="W1448" s="9"/>
      <c r="X1448" s="9"/>
      <c r="Y1448" s="9"/>
      <c r="Z1448" s="9"/>
      <c r="AA1448" s="9"/>
      <c r="AB1448" s="9"/>
      <c r="AC1448" s="9"/>
      <c r="AD1448" s="9"/>
      <c r="AE1448" s="9"/>
      <c r="AF1448" s="9"/>
      <c r="AG1448" s="9"/>
      <c r="AH1448" s="9"/>
      <c r="AI1448" s="9"/>
      <c r="AJ1448" s="9"/>
      <c r="AK1448" s="9"/>
      <c r="AL1448" s="9"/>
      <c r="AM1448" s="9"/>
      <c r="AN1448" s="9"/>
      <c r="AO1448" s="9"/>
      <c r="AP1448" s="9"/>
      <c r="AQ1448" s="9"/>
      <c r="AR1448" s="9"/>
      <c r="AS1448" s="9"/>
      <c r="AT1448" s="9"/>
      <c r="AU1448" s="9"/>
      <c r="AV1448" s="9"/>
      <c r="AW1448" s="9"/>
      <c r="AX1448" s="9"/>
      <c r="AY1448" s="9"/>
      <c r="AZ1448" s="9"/>
      <c r="BA1448" s="9"/>
      <c r="BB1448" s="9"/>
      <c r="BC1448" s="9"/>
      <c r="BD1448" s="9"/>
      <c r="BE1448" s="9"/>
      <c r="BF1448" s="9"/>
      <c r="BG1448" s="9"/>
      <c r="BH1448" s="9"/>
      <c r="BI1448" s="9"/>
      <c r="BJ1448" s="9"/>
      <c r="BK1448" s="9"/>
      <c r="BL1448" s="9"/>
      <c r="BM1448" s="9"/>
      <c r="BN1448" s="9"/>
      <c r="BO1448" s="9"/>
      <c r="BP1448" s="9"/>
    </row>
    <row r="1449" spans="1:68" s="8" customFormat="1" ht="10.15" customHeight="1" x14ac:dyDescent="0.2">
      <c r="A1449" s="249"/>
      <c r="B1449" s="249"/>
      <c r="C1449" s="284"/>
      <c r="D1449" s="244" t="s">
        <v>294</v>
      </c>
      <c r="E1449" s="281"/>
      <c r="F1449" s="257"/>
      <c r="G1449" s="249"/>
      <c r="H1449" s="249">
        <v>541</v>
      </c>
      <c r="I1449" s="262">
        <f>H1449/$H$1450</f>
        <v>1.3337277814757291E-2</v>
      </c>
      <c r="J1449" s="248"/>
      <c r="K1449" s="226"/>
      <c r="L1449" s="10"/>
      <c r="M1449" s="10"/>
      <c r="N1449" s="10"/>
      <c r="O1449" s="10"/>
      <c r="P1449" s="10"/>
      <c r="Q1449" s="10"/>
      <c r="R1449" s="9"/>
      <c r="S1449" s="9"/>
      <c r="T1449" s="9"/>
      <c r="U1449" s="9"/>
      <c r="V1449" s="9"/>
      <c r="W1449" s="9"/>
      <c r="X1449" s="9"/>
      <c r="Y1449" s="9"/>
      <c r="Z1449" s="9"/>
      <c r="AA1449" s="9"/>
      <c r="AB1449" s="9"/>
      <c r="AC1449" s="9"/>
      <c r="AD1449" s="9"/>
      <c r="AE1449" s="9"/>
      <c r="AF1449" s="9"/>
      <c r="AG1449" s="9"/>
      <c r="AH1449" s="9"/>
      <c r="AI1449" s="9"/>
      <c r="AJ1449" s="9"/>
      <c r="AK1449" s="9"/>
      <c r="AL1449" s="9"/>
      <c r="AM1449" s="9"/>
      <c r="AN1449" s="9"/>
      <c r="AO1449" s="9"/>
      <c r="AP1449" s="9"/>
      <c r="AQ1449" s="9"/>
      <c r="AR1449" s="9"/>
      <c r="AS1449" s="9"/>
      <c r="AT1449" s="9"/>
      <c r="AU1449" s="9"/>
      <c r="AV1449" s="9"/>
      <c r="AW1449" s="9"/>
      <c r="AX1449" s="9"/>
      <c r="AY1449" s="9"/>
      <c r="AZ1449" s="9"/>
      <c r="BA1449" s="9"/>
      <c r="BB1449" s="9"/>
      <c r="BC1449" s="9"/>
      <c r="BD1449" s="9"/>
      <c r="BE1449" s="9"/>
      <c r="BF1449" s="9"/>
      <c r="BG1449" s="9"/>
      <c r="BH1449" s="9"/>
      <c r="BI1449" s="9"/>
      <c r="BJ1449" s="9"/>
      <c r="BK1449" s="9"/>
      <c r="BL1449" s="9"/>
      <c r="BM1449" s="9"/>
      <c r="BN1449" s="9"/>
      <c r="BO1449" s="9"/>
      <c r="BP1449" s="9"/>
    </row>
    <row r="1450" spans="1:68" s="8" customFormat="1" ht="10.15" customHeight="1" x14ac:dyDescent="0.2">
      <c r="A1450" s="249"/>
      <c r="B1450" s="249"/>
      <c r="C1450" s="284"/>
      <c r="D1450" s="243" t="s">
        <v>33</v>
      </c>
      <c r="E1450" s="281"/>
      <c r="F1450" s="257"/>
      <c r="G1450" s="249"/>
      <c r="H1450" s="265">
        <f>SUM(H1445:H1449)</f>
        <v>40563</v>
      </c>
      <c r="I1450" s="256">
        <f>SUM(I1445:I1449)</f>
        <v>0.99999999999999989</v>
      </c>
      <c r="J1450" s="249"/>
      <c r="K1450" s="226"/>
      <c r="L1450" s="10"/>
      <c r="M1450" s="10"/>
      <c r="N1450" s="10"/>
      <c r="O1450" s="10"/>
      <c r="P1450" s="10"/>
      <c r="Q1450" s="10"/>
      <c r="R1450" s="9"/>
      <c r="S1450" s="9"/>
      <c r="T1450" s="9"/>
      <c r="U1450" s="9"/>
      <c r="V1450" s="9"/>
      <c r="W1450" s="9"/>
      <c r="X1450" s="9"/>
      <c r="Y1450" s="9"/>
      <c r="Z1450" s="9"/>
      <c r="AA1450" s="9"/>
      <c r="AB1450" s="9"/>
      <c r="AC1450" s="9"/>
      <c r="AD1450" s="9"/>
      <c r="AE1450" s="9"/>
      <c r="AF1450" s="9"/>
      <c r="AG1450" s="9"/>
      <c r="AH1450" s="9"/>
      <c r="AI1450" s="9"/>
      <c r="AJ1450" s="9"/>
      <c r="AK1450" s="9"/>
      <c r="AL1450" s="9"/>
      <c r="AM1450" s="9"/>
      <c r="AN1450" s="9"/>
      <c r="AO1450" s="9"/>
      <c r="AP1450" s="9"/>
      <c r="AQ1450" s="9"/>
      <c r="AR1450" s="9"/>
      <c r="AS1450" s="9"/>
      <c r="AT1450" s="9"/>
      <c r="AU1450" s="9"/>
      <c r="AV1450" s="9"/>
      <c r="AW1450" s="9"/>
      <c r="AX1450" s="9"/>
      <c r="AY1450" s="9"/>
      <c r="AZ1450" s="9"/>
      <c r="BA1450" s="9"/>
      <c r="BB1450" s="9"/>
      <c r="BC1450" s="9"/>
      <c r="BD1450" s="9"/>
      <c r="BE1450" s="9"/>
      <c r="BF1450" s="9"/>
      <c r="BG1450" s="9"/>
      <c r="BH1450" s="9"/>
      <c r="BI1450" s="9"/>
      <c r="BJ1450" s="9"/>
      <c r="BK1450" s="9"/>
      <c r="BL1450" s="9"/>
      <c r="BM1450" s="9"/>
      <c r="BN1450" s="9"/>
      <c r="BO1450" s="9"/>
      <c r="BP1450" s="9"/>
    </row>
    <row r="1451" spans="1:68" s="8" customFormat="1" ht="10.15" customHeight="1" x14ac:dyDescent="0.2">
      <c r="A1451" s="249"/>
      <c r="B1451" s="249"/>
      <c r="C1451" s="284"/>
      <c r="D1451" s="243"/>
      <c r="E1451" s="281"/>
      <c r="F1451" s="257"/>
      <c r="G1451" s="249"/>
      <c r="H1451" s="249"/>
      <c r="I1451" s="262"/>
      <c r="J1451" s="249"/>
      <c r="K1451" s="226"/>
      <c r="L1451" s="10"/>
      <c r="M1451" s="10"/>
      <c r="N1451" s="10"/>
      <c r="O1451" s="10"/>
      <c r="P1451" s="10"/>
      <c r="Q1451" s="10"/>
      <c r="R1451" s="9"/>
      <c r="S1451" s="9"/>
      <c r="T1451" s="9"/>
      <c r="U1451" s="9"/>
      <c r="V1451" s="9"/>
      <c r="W1451" s="9"/>
      <c r="X1451" s="9"/>
      <c r="Y1451" s="9"/>
      <c r="Z1451" s="9"/>
      <c r="AA1451" s="9"/>
      <c r="AB1451" s="9"/>
      <c r="AC1451" s="9"/>
      <c r="AD1451" s="9"/>
      <c r="AE1451" s="9"/>
      <c r="AF1451" s="9"/>
      <c r="AG1451" s="9"/>
      <c r="AH1451" s="9"/>
      <c r="AI1451" s="9"/>
      <c r="AJ1451" s="9"/>
      <c r="AK1451" s="9"/>
      <c r="AL1451" s="9"/>
      <c r="AM1451" s="9"/>
      <c r="AN1451" s="9"/>
      <c r="AO1451" s="9"/>
      <c r="AP1451" s="9"/>
      <c r="AQ1451" s="9"/>
      <c r="AR1451" s="9"/>
      <c r="AS1451" s="9"/>
      <c r="AT1451" s="9"/>
      <c r="AU1451" s="9"/>
      <c r="AV1451" s="9"/>
      <c r="AW1451" s="9"/>
      <c r="AX1451" s="9"/>
      <c r="AY1451" s="9"/>
      <c r="AZ1451" s="9"/>
      <c r="BA1451" s="9"/>
      <c r="BB1451" s="9"/>
      <c r="BC1451" s="9"/>
      <c r="BD1451" s="9"/>
      <c r="BE1451" s="9"/>
      <c r="BF1451" s="9"/>
      <c r="BG1451" s="9"/>
      <c r="BH1451" s="9"/>
      <c r="BI1451" s="9"/>
      <c r="BJ1451" s="9"/>
      <c r="BK1451" s="9"/>
      <c r="BL1451" s="9"/>
      <c r="BM1451" s="9"/>
      <c r="BN1451" s="9"/>
      <c r="BO1451" s="9"/>
      <c r="BP1451" s="9"/>
    </row>
    <row r="1452" spans="1:68" s="8" customFormat="1" ht="10.15" customHeight="1" x14ac:dyDescent="0.2">
      <c r="A1452" s="261" t="s">
        <v>17</v>
      </c>
      <c r="B1452" s="261"/>
      <c r="C1452" s="261" t="s">
        <v>291</v>
      </c>
      <c r="D1452" s="263" t="s">
        <v>616</v>
      </c>
      <c r="E1452" s="281">
        <v>40422</v>
      </c>
      <c r="F1452" s="257">
        <v>65347917</v>
      </c>
      <c r="G1452" s="249">
        <v>238516</v>
      </c>
      <c r="H1452" s="249"/>
      <c r="I1452" s="262"/>
      <c r="J1452" s="249"/>
      <c r="K1452" s="226"/>
      <c r="L1452" s="10"/>
      <c r="M1452" s="10"/>
      <c r="N1452" s="10"/>
      <c r="O1452" s="10"/>
      <c r="P1452" s="10"/>
      <c r="Q1452" s="10"/>
      <c r="R1452" s="9"/>
      <c r="S1452" s="9"/>
      <c r="T1452" s="9"/>
      <c r="U1452" s="9"/>
      <c r="V1452" s="9"/>
      <c r="W1452" s="9"/>
      <c r="X1452" s="9"/>
      <c r="Y1452" s="9"/>
      <c r="Z1452" s="9"/>
      <c r="AA1452" s="9"/>
      <c r="AB1452" s="9"/>
      <c r="AC1452" s="9"/>
      <c r="AD1452" s="9"/>
      <c r="AE1452" s="9"/>
      <c r="AF1452" s="9"/>
      <c r="AG1452" s="9"/>
      <c r="AH1452" s="9"/>
      <c r="AI1452" s="9"/>
      <c r="AJ1452" s="9"/>
      <c r="AK1452" s="9"/>
      <c r="AL1452" s="9"/>
      <c r="AM1452" s="9"/>
      <c r="AN1452" s="9"/>
      <c r="AO1452" s="9"/>
      <c r="AP1452" s="9"/>
      <c r="AQ1452" s="9"/>
      <c r="AR1452" s="9"/>
      <c r="AS1452" s="9"/>
      <c r="AT1452" s="9"/>
      <c r="AU1452" s="9"/>
      <c r="AV1452" s="9"/>
      <c r="AW1452" s="9"/>
      <c r="AX1452" s="9"/>
      <c r="AY1452" s="9"/>
      <c r="AZ1452" s="9"/>
      <c r="BA1452" s="9"/>
      <c r="BB1452" s="9"/>
      <c r="BC1452" s="9"/>
      <c r="BD1452" s="9"/>
      <c r="BE1452" s="9"/>
      <c r="BF1452" s="9"/>
      <c r="BG1452" s="9"/>
      <c r="BH1452" s="9"/>
      <c r="BI1452" s="9"/>
      <c r="BJ1452" s="9"/>
      <c r="BK1452" s="9"/>
      <c r="BL1452" s="9"/>
      <c r="BM1452" s="9"/>
      <c r="BN1452" s="9"/>
      <c r="BO1452" s="9"/>
      <c r="BP1452" s="9"/>
    </row>
    <row r="1453" spans="1:68" s="8" customFormat="1" ht="10.15" customHeight="1" x14ac:dyDescent="0.2">
      <c r="A1453" s="249"/>
      <c r="B1453" s="249"/>
      <c r="C1453" s="284"/>
      <c r="D1453" s="263" t="s">
        <v>597</v>
      </c>
      <c r="E1453" s="281"/>
      <c r="F1453" s="257"/>
      <c r="G1453" s="249"/>
      <c r="H1453" s="249">
        <v>10482</v>
      </c>
      <c r="I1453" s="262">
        <f>H1453/$H$1458</f>
        <v>0.10089032195967082</v>
      </c>
      <c r="J1453" s="249"/>
      <c r="K1453" s="226"/>
      <c r="L1453" s="10"/>
      <c r="M1453" s="10"/>
      <c r="N1453" s="10"/>
      <c r="O1453" s="10"/>
      <c r="P1453" s="10"/>
      <c r="Q1453" s="10"/>
      <c r="R1453" s="9"/>
      <c r="S1453" s="9"/>
      <c r="T1453" s="9"/>
      <c r="U1453" s="9"/>
      <c r="V1453" s="9"/>
      <c r="W1453" s="9"/>
      <c r="X1453" s="9"/>
      <c r="Y1453" s="9"/>
      <c r="Z1453" s="9"/>
      <c r="AA1453" s="9"/>
      <c r="AB1453" s="9"/>
      <c r="AC1453" s="9"/>
      <c r="AD1453" s="9"/>
      <c r="AE1453" s="9"/>
      <c r="AF1453" s="9"/>
      <c r="AG1453" s="9"/>
      <c r="AH1453" s="9"/>
      <c r="AI1453" s="9"/>
      <c r="AJ1453" s="9"/>
      <c r="AK1453" s="9"/>
      <c r="AL1453" s="9"/>
      <c r="AM1453" s="9"/>
      <c r="AN1453" s="9"/>
      <c r="AO1453" s="9"/>
      <c r="AP1453" s="9"/>
      <c r="AQ1453" s="9"/>
      <c r="AR1453" s="9"/>
      <c r="AS1453" s="9"/>
      <c r="AT1453" s="9"/>
      <c r="AU1453" s="9"/>
      <c r="AV1453" s="9"/>
      <c r="AW1453" s="9"/>
      <c r="AX1453" s="9"/>
      <c r="AY1453" s="9"/>
      <c r="AZ1453" s="9"/>
      <c r="BA1453" s="9"/>
      <c r="BB1453" s="9"/>
      <c r="BC1453" s="9"/>
      <c r="BD1453" s="9"/>
      <c r="BE1453" s="9"/>
      <c r="BF1453" s="9"/>
      <c r="BG1453" s="9"/>
      <c r="BH1453" s="9"/>
      <c r="BI1453" s="9"/>
      <c r="BJ1453" s="9"/>
      <c r="BK1453" s="9"/>
      <c r="BL1453" s="9"/>
      <c r="BM1453" s="9"/>
      <c r="BN1453" s="9"/>
      <c r="BO1453" s="9"/>
      <c r="BP1453" s="9"/>
    </row>
    <row r="1454" spans="1:68" s="8" customFormat="1" ht="10.15" customHeight="1" x14ac:dyDescent="0.2">
      <c r="A1454" s="249"/>
      <c r="B1454" s="249"/>
      <c r="C1454" s="284"/>
      <c r="D1454" s="263" t="s">
        <v>598</v>
      </c>
      <c r="E1454" s="281"/>
      <c r="F1454" s="257"/>
      <c r="G1454" s="249"/>
      <c r="H1454" s="249">
        <v>35372</v>
      </c>
      <c r="I1454" s="262">
        <f>H1454/$H$1458</f>
        <v>0.34045911737812212</v>
      </c>
      <c r="J1454" s="300" t="s">
        <v>35</v>
      </c>
      <c r="K1454" s="226"/>
      <c r="L1454" s="10"/>
      <c r="M1454" s="10"/>
      <c r="N1454" s="10"/>
      <c r="O1454" s="10"/>
      <c r="P1454" s="10"/>
      <c r="Q1454" s="10"/>
      <c r="R1454" s="9"/>
      <c r="S1454" s="9"/>
      <c r="T1454" s="9"/>
      <c r="U1454" s="9"/>
      <c r="V1454" s="9"/>
      <c r="W1454" s="9"/>
      <c r="X1454" s="9"/>
      <c r="Y1454" s="9"/>
      <c r="Z1454" s="9"/>
      <c r="AA1454" s="9"/>
      <c r="AB1454" s="9"/>
      <c r="AC1454" s="9"/>
      <c r="AD1454" s="9"/>
      <c r="AE1454" s="9"/>
      <c r="AF1454" s="9"/>
      <c r="AG1454" s="9"/>
      <c r="AH1454" s="9"/>
      <c r="AI1454" s="9"/>
      <c r="AJ1454" s="9"/>
      <c r="AK1454" s="9"/>
      <c r="AL1454" s="9"/>
      <c r="AM1454" s="9"/>
      <c r="AN1454" s="9"/>
      <c r="AO1454" s="9"/>
      <c r="AP1454" s="9"/>
      <c r="AQ1454" s="9"/>
      <c r="AR1454" s="9"/>
      <c r="AS1454" s="9"/>
      <c r="AT1454" s="9"/>
      <c r="AU1454" s="9"/>
      <c r="AV1454" s="9"/>
      <c r="AW1454" s="9"/>
      <c r="AX1454" s="9"/>
      <c r="AY1454" s="9"/>
      <c r="AZ1454" s="9"/>
      <c r="BA1454" s="9"/>
      <c r="BB1454" s="9"/>
      <c r="BC1454" s="9"/>
      <c r="BD1454" s="9"/>
      <c r="BE1454" s="9"/>
      <c r="BF1454" s="9"/>
      <c r="BG1454" s="9"/>
      <c r="BH1454" s="9"/>
      <c r="BI1454" s="9"/>
      <c r="BJ1454" s="9"/>
      <c r="BK1454" s="9"/>
      <c r="BL1454" s="9"/>
      <c r="BM1454" s="9"/>
      <c r="BN1454" s="9"/>
      <c r="BO1454" s="9"/>
      <c r="BP1454" s="9"/>
    </row>
    <row r="1455" spans="1:68" s="8" customFormat="1" ht="10.15" customHeight="1" x14ac:dyDescent="0.2">
      <c r="A1455" s="249"/>
      <c r="B1455" s="249"/>
      <c r="C1455" s="284"/>
      <c r="D1455" s="263" t="s">
        <v>594</v>
      </c>
      <c r="E1455" s="281"/>
      <c r="F1455" s="257"/>
      <c r="G1455" s="249"/>
      <c r="H1455" s="249">
        <v>45904</v>
      </c>
      <c r="I1455" s="262">
        <f>H1455/$H$1458</f>
        <v>0.44183069445112855</v>
      </c>
      <c r="J1455" s="300" t="s">
        <v>52</v>
      </c>
      <c r="K1455" s="226"/>
      <c r="L1455" s="10"/>
      <c r="M1455" s="10"/>
      <c r="N1455" s="10"/>
      <c r="O1455" s="10"/>
      <c r="P1455" s="10"/>
      <c r="Q1455" s="10"/>
      <c r="R1455" s="9"/>
      <c r="S1455" s="9"/>
      <c r="T1455" s="9"/>
      <c r="U1455" s="9"/>
      <c r="V1455" s="9"/>
      <c r="W1455" s="9"/>
      <c r="X1455" s="9"/>
      <c r="Y1455" s="9"/>
      <c r="Z1455" s="9"/>
      <c r="AA1455" s="9"/>
      <c r="AB1455" s="9"/>
      <c r="AC1455" s="9"/>
      <c r="AD1455" s="9"/>
      <c r="AE1455" s="9"/>
      <c r="AF1455" s="9"/>
      <c r="AG1455" s="9"/>
      <c r="AH1455" s="9"/>
      <c r="AI1455" s="9"/>
      <c r="AJ1455" s="9"/>
      <c r="AK1455" s="9"/>
      <c r="AL1455" s="9"/>
      <c r="AM1455" s="9"/>
      <c r="AN1455" s="9"/>
      <c r="AO1455" s="9"/>
      <c r="AP1455" s="9"/>
      <c r="AQ1455" s="9"/>
      <c r="AR1455" s="9"/>
      <c r="AS1455" s="9"/>
      <c r="AT1455" s="9"/>
      <c r="AU1455" s="9"/>
      <c r="AV1455" s="9"/>
      <c r="AW1455" s="9"/>
      <c r="AX1455" s="9"/>
      <c r="AY1455" s="9"/>
      <c r="AZ1455" s="9"/>
      <c r="BA1455" s="9"/>
      <c r="BB1455" s="9"/>
      <c r="BC1455" s="9"/>
      <c r="BD1455" s="9"/>
      <c r="BE1455" s="9"/>
      <c r="BF1455" s="9"/>
      <c r="BG1455" s="9"/>
      <c r="BH1455" s="9"/>
      <c r="BI1455" s="9"/>
      <c r="BJ1455" s="9"/>
      <c r="BK1455" s="9"/>
      <c r="BL1455" s="9"/>
      <c r="BM1455" s="9"/>
      <c r="BN1455" s="9"/>
      <c r="BO1455" s="9"/>
      <c r="BP1455" s="9"/>
    </row>
    <row r="1456" spans="1:68" s="8" customFormat="1" ht="10.15" customHeight="1" x14ac:dyDescent="0.2">
      <c r="A1456" s="249"/>
      <c r="B1456" s="249"/>
      <c r="C1456" s="284"/>
      <c r="D1456" s="263" t="s">
        <v>599</v>
      </c>
      <c r="E1456" s="281"/>
      <c r="F1456" s="257"/>
      <c r="G1456" s="249"/>
      <c r="H1456" s="249">
        <v>1401</v>
      </c>
      <c r="I1456" s="262">
        <f>H1456/$H$1458</f>
        <v>1.3484768275662929E-2</v>
      </c>
      <c r="J1456" s="249"/>
      <c r="K1456" s="137"/>
      <c r="L1456" s="9"/>
      <c r="M1456" s="9"/>
      <c r="N1456" s="9"/>
      <c r="O1456" s="9"/>
      <c r="P1456" s="9"/>
      <c r="Q1456" s="9"/>
      <c r="R1456" s="9"/>
      <c r="S1456" s="9"/>
      <c r="T1456" s="9"/>
      <c r="U1456" s="9"/>
      <c r="V1456" s="9"/>
      <c r="W1456" s="9"/>
      <c r="X1456" s="9"/>
      <c r="Y1456" s="9"/>
      <c r="Z1456" s="9"/>
      <c r="AA1456" s="9"/>
      <c r="AB1456" s="9"/>
      <c r="AC1456" s="9"/>
      <c r="AD1456" s="9"/>
      <c r="AE1456" s="9"/>
      <c r="AF1456" s="9"/>
      <c r="AG1456" s="9"/>
      <c r="AH1456" s="9"/>
      <c r="AI1456" s="9"/>
      <c r="AJ1456" s="9"/>
      <c r="AK1456" s="9"/>
      <c r="AL1456" s="9"/>
      <c r="AM1456" s="9"/>
      <c r="AN1456" s="9"/>
      <c r="AO1456" s="9"/>
      <c r="AP1456" s="9"/>
      <c r="AQ1456" s="9"/>
      <c r="AR1456" s="9"/>
      <c r="AS1456" s="9"/>
      <c r="AT1456" s="9"/>
      <c r="AU1456" s="9"/>
      <c r="AV1456" s="9"/>
      <c r="AW1456" s="9"/>
      <c r="AX1456" s="9"/>
      <c r="AY1456" s="9"/>
      <c r="AZ1456" s="9"/>
      <c r="BA1456" s="9"/>
      <c r="BB1456" s="9"/>
      <c r="BC1456" s="9"/>
      <c r="BD1456" s="9"/>
      <c r="BE1456" s="9"/>
      <c r="BF1456" s="9"/>
      <c r="BG1456" s="9"/>
      <c r="BH1456" s="9"/>
      <c r="BI1456" s="9"/>
      <c r="BJ1456" s="9"/>
      <c r="BK1456" s="9"/>
      <c r="BL1456" s="9"/>
      <c r="BM1456" s="9"/>
      <c r="BN1456" s="9"/>
      <c r="BO1456" s="9"/>
      <c r="BP1456" s="9"/>
    </row>
    <row r="1457" spans="1:68" s="8" customFormat="1" ht="10.15" customHeight="1" x14ac:dyDescent="0.2">
      <c r="A1457" s="249"/>
      <c r="B1457" s="249"/>
      <c r="C1457" s="284"/>
      <c r="D1457" s="263" t="s">
        <v>605</v>
      </c>
      <c r="E1457" s="281"/>
      <c r="F1457" s="257"/>
      <c r="G1457" s="249"/>
      <c r="H1457" s="249">
        <v>10736</v>
      </c>
      <c r="I1457" s="262">
        <f>H1457/$H$1458</f>
        <v>0.10333509793541557</v>
      </c>
      <c r="J1457" s="249"/>
      <c r="K1457" s="137"/>
      <c r="L1457" s="9"/>
      <c r="M1457" s="9"/>
      <c r="N1457" s="9"/>
      <c r="O1457" s="9"/>
      <c r="P1457" s="9"/>
      <c r="Q1457" s="9"/>
      <c r="R1457" s="9"/>
      <c r="S1457" s="9"/>
      <c r="T1457" s="9"/>
      <c r="U1457" s="9"/>
      <c r="V1457" s="9"/>
      <c r="W1457" s="9"/>
      <c r="X1457" s="9"/>
      <c r="Y1457" s="9"/>
      <c r="Z1457" s="9"/>
      <c r="AA1457" s="9"/>
      <c r="AB1457" s="9"/>
      <c r="AC1457" s="9"/>
      <c r="AD1457" s="9"/>
      <c r="AE1457" s="9"/>
      <c r="AF1457" s="9"/>
      <c r="AG1457" s="9"/>
      <c r="AH1457" s="9"/>
      <c r="AI1457" s="9"/>
      <c r="AJ1457" s="9"/>
      <c r="AK1457" s="9"/>
      <c r="AL1457" s="9"/>
      <c r="AM1457" s="9"/>
      <c r="AN1457" s="9"/>
      <c r="AO1457" s="9"/>
      <c r="AP1457" s="9"/>
      <c r="AQ1457" s="9"/>
      <c r="AR1457" s="9"/>
      <c r="AS1457" s="9"/>
      <c r="AT1457" s="9"/>
      <c r="AU1457" s="9"/>
      <c r="AV1457" s="9"/>
      <c r="AW1457" s="9"/>
      <c r="AX1457" s="9"/>
      <c r="AY1457" s="9"/>
      <c r="AZ1457" s="9"/>
      <c r="BA1457" s="9"/>
      <c r="BB1457" s="9"/>
      <c r="BC1457" s="9"/>
      <c r="BD1457" s="9"/>
      <c r="BE1457" s="9"/>
      <c r="BF1457" s="9"/>
      <c r="BG1457" s="9"/>
      <c r="BH1457" s="9"/>
      <c r="BI1457" s="9"/>
      <c r="BJ1457" s="9"/>
      <c r="BK1457" s="9"/>
      <c r="BL1457" s="9"/>
      <c r="BM1457" s="9"/>
      <c r="BN1457" s="9"/>
      <c r="BO1457" s="9"/>
      <c r="BP1457" s="9"/>
    </row>
    <row r="1458" spans="1:68" s="8" customFormat="1" ht="10.15" customHeight="1" x14ac:dyDescent="0.2">
      <c r="A1458" s="249"/>
      <c r="B1458" s="249"/>
      <c r="C1458" s="284"/>
      <c r="D1458" s="243" t="s">
        <v>33</v>
      </c>
      <c r="E1458" s="281"/>
      <c r="F1458" s="257"/>
      <c r="G1458" s="249"/>
      <c r="H1458" s="265">
        <f>SUM(H1453:H1457)</f>
        <v>103895</v>
      </c>
      <c r="I1458" s="256">
        <f>SUM(I1453:I1457)</f>
        <v>1</v>
      </c>
      <c r="J1458" s="249"/>
      <c r="K1458" s="137"/>
      <c r="L1458" s="9"/>
      <c r="M1458" s="9"/>
      <c r="N1458" s="9"/>
      <c r="O1458" s="9"/>
      <c r="P1458" s="9"/>
      <c r="Q1458" s="9"/>
      <c r="R1458" s="9"/>
      <c r="S1458" s="9"/>
      <c r="T1458" s="9"/>
      <c r="U1458" s="9"/>
      <c r="V1458" s="9"/>
      <c r="W1458" s="9"/>
      <c r="X1458" s="9"/>
      <c r="Y1458" s="9"/>
      <c r="Z1458" s="9"/>
      <c r="AA1458" s="9"/>
      <c r="AB1458" s="9"/>
      <c r="AC1458" s="9"/>
      <c r="AD1458" s="9"/>
      <c r="AE1458" s="9"/>
      <c r="AF1458" s="9"/>
      <c r="AG1458" s="9"/>
      <c r="AH1458" s="9"/>
      <c r="AI1458" s="9"/>
      <c r="AJ1458" s="9"/>
      <c r="AK1458" s="9"/>
      <c r="AL1458" s="9"/>
      <c r="AM1458" s="9"/>
      <c r="AN1458" s="9"/>
      <c r="AO1458" s="9"/>
      <c r="AP1458" s="9"/>
      <c r="AQ1458" s="9"/>
      <c r="AR1458" s="9"/>
      <c r="AS1458" s="9"/>
      <c r="AT1458" s="9"/>
      <c r="AU1458" s="9"/>
      <c r="AV1458" s="9"/>
      <c r="AW1458" s="9"/>
      <c r="AX1458" s="9"/>
      <c r="AY1458" s="9"/>
      <c r="AZ1458" s="9"/>
      <c r="BA1458" s="9"/>
      <c r="BB1458" s="9"/>
      <c r="BC1458" s="9"/>
      <c r="BD1458" s="9"/>
      <c r="BE1458" s="9"/>
      <c r="BF1458" s="9"/>
      <c r="BG1458" s="9"/>
      <c r="BH1458" s="9"/>
      <c r="BI1458" s="9"/>
      <c r="BJ1458" s="9"/>
      <c r="BK1458" s="9"/>
      <c r="BL1458" s="9"/>
      <c r="BM1458" s="9"/>
      <c r="BN1458" s="9"/>
      <c r="BO1458" s="9"/>
      <c r="BP1458" s="9"/>
    </row>
    <row r="1459" spans="1:68" s="8" customFormat="1" ht="10.15" customHeight="1" x14ac:dyDescent="0.2">
      <c r="A1459" s="249"/>
      <c r="B1459" s="249"/>
      <c r="C1459" s="284"/>
      <c r="D1459" s="243"/>
      <c r="E1459" s="281"/>
      <c r="F1459" s="257"/>
      <c r="G1459" s="249"/>
      <c r="H1459" s="249"/>
      <c r="I1459" s="262"/>
      <c r="J1459" s="249"/>
      <c r="K1459" s="137"/>
      <c r="L1459" s="9"/>
      <c r="M1459" s="9"/>
      <c r="N1459" s="9"/>
      <c r="O1459" s="9"/>
      <c r="P1459" s="9"/>
      <c r="Q1459" s="9"/>
      <c r="R1459" s="9"/>
      <c r="S1459" s="9"/>
      <c r="T1459" s="9"/>
      <c r="U1459" s="9"/>
      <c r="V1459" s="9"/>
      <c r="W1459" s="9"/>
      <c r="X1459" s="9"/>
      <c r="Y1459" s="9"/>
      <c r="Z1459" s="9"/>
      <c r="AA1459" s="9"/>
      <c r="AB1459" s="9"/>
      <c r="AC1459" s="9"/>
      <c r="AD1459" s="9"/>
      <c r="AE1459" s="9"/>
      <c r="AF1459" s="9"/>
      <c r="AG1459" s="9"/>
      <c r="AH1459" s="9"/>
      <c r="AI1459" s="9"/>
      <c r="AJ1459" s="9"/>
      <c r="AK1459" s="9"/>
      <c r="AL1459" s="9"/>
      <c r="AM1459" s="9"/>
      <c r="AN1459" s="9"/>
      <c r="AO1459" s="9"/>
      <c r="AP1459" s="9"/>
      <c r="AQ1459" s="9"/>
      <c r="AR1459" s="9"/>
      <c r="AS1459" s="9"/>
      <c r="AT1459" s="9"/>
      <c r="AU1459" s="9"/>
      <c r="AV1459" s="9"/>
      <c r="AW1459" s="9"/>
      <c r="AX1459" s="9"/>
      <c r="AY1459" s="9"/>
      <c r="AZ1459" s="9"/>
      <c r="BA1459" s="9"/>
      <c r="BB1459" s="9"/>
      <c r="BC1459" s="9"/>
      <c r="BD1459" s="9"/>
      <c r="BE1459" s="9"/>
      <c r="BF1459" s="9"/>
      <c r="BG1459" s="9"/>
      <c r="BH1459" s="9"/>
      <c r="BI1459" s="9"/>
      <c r="BJ1459" s="9"/>
      <c r="BK1459" s="9"/>
      <c r="BL1459" s="9"/>
      <c r="BM1459" s="9"/>
      <c r="BN1459" s="9"/>
      <c r="BO1459" s="9"/>
      <c r="BP1459" s="9"/>
    </row>
    <row r="1460" spans="1:68" s="8" customFormat="1" ht="10.15" customHeight="1" x14ac:dyDescent="0.2">
      <c r="A1460" s="261" t="s">
        <v>631</v>
      </c>
      <c r="B1460" s="261"/>
      <c r="C1460" s="261" t="s">
        <v>291</v>
      </c>
      <c r="D1460" s="263" t="s">
        <v>630</v>
      </c>
      <c r="E1460" s="329">
        <v>40878</v>
      </c>
      <c r="F1460" s="257">
        <v>18446348</v>
      </c>
      <c r="G1460" s="249">
        <v>80901</v>
      </c>
      <c r="H1460" s="249"/>
      <c r="I1460" s="262"/>
      <c r="J1460" s="249"/>
      <c r="K1460" s="137"/>
      <c r="L1460" s="9"/>
      <c r="M1460" s="9"/>
      <c r="N1460" s="9"/>
      <c r="O1460" s="9"/>
      <c r="P1460" s="9"/>
      <c r="Q1460" s="9"/>
      <c r="R1460" s="9"/>
      <c r="S1460" s="9"/>
      <c r="T1460" s="9"/>
      <c r="U1460" s="9"/>
      <c r="V1460" s="9"/>
      <c r="W1460" s="9"/>
      <c r="X1460" s="9"/>
      <c r="Y1460" s="9"/>
      <c r="Z1460" s="9"/>
      <c r="AA1460" s="9"/>
      <c r="AB1460" s="9"/>
      <c r="AC1460" s="9"/>
      <c r="AD1460" s="9"/>
      <c r="AE1460" s="9"/>
      <c r="AF1460" s="9"/>
      <c r="AG1460" s="9"/>
      <c r="AH1460" s="9"/>
      <c r="AI1460" s="9"/>
      <c r="AJ1460" s="9"/>
      <c r="AK1460" s="9"/>
      <c r="AL1460" s="9"/>
      <c r="AM1460" s="9"/>
      <c r="AN1460" s="9"/>
      <c r="AO1460" s="9"/>
      <c r="AP1460" s="9"/>
      <c r="AQ1460" s="9"/>
      <c r="AR1460" s="9"/>
      <c r="AS1460" s="9"/>
      <c r="AT1460" s="9"/>
      <c r="AU1460" s="9"/>
      <c r="AV1460" s="9"/>
      <c r="AW1460" s="9"/>
      <c r="AX1460" s="9"/>
      <c r="AY1460" s="9"/>
      <c r="AZ1460" s="9"/>
      <c r="BA1460" s="9"/>
      <c r="BB1460" s="9"/>
      <c r="BC1460" s="9"/>
      <c r="BD1460" s="9"/>
      <c r="BE1460" s="9"/>
      <c r="BF1460" s="9"/>
      <c r="BG1460" s="9"/>
      <c r="BH1460" s="9"/>
      <c r="BI1460" s="9"/>
      <c r="BJ1460" s="9"/>
      <c r="BK1460" s="9"/>
      <c r="BL1460" s="9"/>
      <c r="BM1460" s="9"/>
      <c r="BN1460" s="9"/>
      <c r="BO1460" s="9"/>
      <c r="BP1460" s="9"/>
    </row>
    <row r="1461" spans="1:68" ht="10.15" customHeight="1" x14ac:dyDescent="0.2">
      <c r="A1461" s="249"/>
      <c r="B1461" s="249"/>
      <c r="C1461" s="284"/>
      <c r="D1461" s="244" t="s">
        <v>286</v>
      </c>
      <c r="E1461" s="281"/>
      <c r="F1461" s="257"/>
      <c r="G1461" s="249"/>
      <c r="H1461" s="249">
        <v>461</v>
      </c>
      <c r="I1461" s="262">
        <f>H1461/$H$1466</f>
        <v>7.8687741098555971E-3</v>
      </c>
      <c r="J1461" s="249"/>
      <c r="K1461" s="137"/>
      <c r="L1461" s="9"/>
      <c r="M1461" s="9"/>
      <c r="N1461" s="9"/>
      <c r="O1461" s="9"/>
      <c r="P1461" s="9"/>
      <c r="Q1461" s="9"/>
    </row>
    <row r="1462" spans="1:68" s="10" customFormat="1" ht="10.15" customHeight="1" x14ac:dyDescent="0.2">
      <c r="A1462" s="249"/>
      <c r="B1462" s="249"/>
      <c r="C1462" s="284"/>
      <c r="D1462" s="244" t="s">
        <v>264</v>
      </c>
      <c r="E1462" s="281"/>
      <c r="F1462" s="257"/>
      <c r="G1462" s="249"/>
      <c r="H1462" s="249">
        <v>15633</v>
      </c>
      <c r="I1462" s="262">
        <f>H1462/$H$1466</f>
        <v>0.26683849383811831</v>
      </c>
      <c r="J1462" s="309" t="s">
        <v>75</v>
      </c>
      <c r="K1462" s="137"/>
      <c r="L1462" s="9"/>
      <c r="M1462" s="9"/>
      <c r="N1462" s="9"/>
      <c r="O1462" s="9"/>
      <c r="P1462" s="9"/>
      <c r="Q1462" s="9"/>
    </row>
    <row r="1463" spans="1:68" ht="10.15" customHeight="1" x14ac:dyDescent="0.2">
      <c r="A1463" s="249"/>
      <c r="B1463" s="249"/>
      <c r="C1463" s="284"/>
      <c r="D1463" s="244" t="s">
        <v>242</v>
      </c>
      <c r="E1463" s="281"/>
      <c r="F1463" s="257"/>
      <c r="G1463" s="249"/>
      <c r="H1463" s="249">
        <v>1228</v>
      </c>
      <c r="I1463" s="262">
        <f>H1463/$H$1466</f>
        <v>2.0960639060526406E-2</v>
      </c>
      <c r="J1463" s="249"/>
      <c r="K1463" s="137"/>
      <c r="L1463" s="9"/>
      <c r="M1463" s="9"/>
      <c r="N1463" s="9"/>
      <c r="O1463" s="9"/>
      <c r="P1463" s="9"/>
      <c r="Q1463" s="9"/>
    </row>
    <row r="1464" spans="1:68" ht="10.15" customHeight="1" x14ac:dyDescent="0.2">
      <c r="A1464" s="249"/>
      <c r="B1464" s="249"/>
      <c r="C1464" s="284"/>
      <c r="D1464" s="244" t="s">
        <v>294</v>
      </c>
      <c r="E1464" s="281"/>
      <c r="F1464" s="257"/>
      <c r="G1464" s="249"/>
      <c r="H1464" s="249">
        <v>10214</v>
      </c>
      <c r="I1464" s="262">
        <f>H1464/$H$1466</f>
        <v>0.17434199296760319</v>
      </c>
      <c r="J1464" s="248" t="s">
        <v>629</v>
      </c>
      <c r="K1464" s="137"/>
      <c r="L1464" s="9"/>
      <c r="M1464" s="9"/>
      <c r="N1464" s="9"/>
      <c r="O1464" s="9"/>
      <c r="P1464" s="9"/>
      <c r="Q1464" s="9"/>
    </row>
    <row r="1465" spans="1:68" ht="10.15" customHeight="1" x14ac:dyDescent="0.2">
      <c r="A1465" s="249"/>
      <c r="B1465" s="249"/>
      <c r="C1465" s="284"/>
      <c r="D1465" s="244" t="s">
        <v>287</v>
      </c>
      <c r="E1465" s="281"/>
      <c r="F1465" s="257"/>
      <c r="G1465" s="249"/>
      <c r="H1465" s="249">
        <v>31050</v>
      </c>
      <c r="I1465" s="262">
        <f>H1465/$H$1466</f>
        <v>0.52999010002389646</v>
      </c>
      <c r="J1465" s="248"/>
      <c r="K1465" s="137"/>
      <c r="L1465" s="9"/>
      <c r="M1465" s="9"/>
      <c r="N1465" s="9"/>
      <c r="O1465" s="9"/>
      <c r="P1465" s="9"/>
      <c r="Q1465" s="9"/>
    </row>
    <row r="1466" spans="1:68" ht="10.15" customHeight="1" x14ac:dyDescent="0.2">
      <c r="A1466" s="249"/>
      <c r="B1466" s="249"/>
      <c r="C1466" s="284"/>
      <c r="D1466" s="243" t="s">
        <v>33</v>
      </c>
      <c r="E1466" s="281"/>
      <c r="F1466" s="257"/>
      <c r="G1466" s="249"/>
      <c r="H1466" s="282">
        <f>SUM(H1461:H1465)</f>
        <v>58586</v>
      </c>
      <c r="I1466" s="283">
        <f>SUM(I1461:I1465)</f>
        <v>1</v>
      </c>
      <c r="J1466" s="249"/>
      <c r="K1466" s="137"/>
      <c r="L1466" s="9"/>
      <c r="M1466" s="9"/>
      <c r="N1466" s="9"/>
      <c r="O1466" s="9"/>
      <c r="P1466" s="9"/>
      <c r="Q1466" s="9"/>
    </row>
    <row r="1467" spans="1:68" ht="10.15" customHeight="1" x14ac:dyDescent="0.2">
      <c r="A1467" s="249"/>
      <c r="B1467" s="249"/>
      <c r="C1467" s="284"/>
      <c r="D1467" s="243"/>
      <c r="E1467" s="362"/>
      <c r="F1467" s="257"/>
      <c r="G1467" s="249"/>
      <c r="H1467" s="249"/>
      <c r="I1467" s="262"/>
      <c r="J1467" s="242"/>
      <c r="K1467" s="137"/>
      <c r="L1467" s="9"/>
      <c r="M1467" s="9"/>
      <c r="N1467" s="9"/>
      <c r="O1467" s="9"/>
      <c r="P1467" s="9"/>
      <c r="Q1467" s="9"/>
    </row>
    <row r="1468" spans="1:68" s="10" customFormat="1" ht="10.15" customHeight="1" x14ac:dyDescent="0.2">
      <c r="A1468" s="248" t="s">
        <v>631</v>
      </c>
      <c r="B1468" s="248"/>
      <c r="C1468" s="261" t="s">
        <v>291</v>
      </c>
      <c r="D1468" s="244" t="s">
        <v>678</v>
      </c>
      <c r="E1468" s="329">
        <v>42705</v>
      </c>
      <c r="F1468" s="257">
        <v>30227660</v>
      </c>
      <c r="G1468" s="249">
        <v>68880</v>
      </c>
      <c r="H1468" s="249"/>
      <c r="I1468" s="262"/>
      <c r="J1468" s="249"/>
      <c r="K1468" s="137"/>
      <c r="L1468" s="9"/>
      <c r="M1468" s="9"/>
      <c r="N1468" s="9"/>
      <c r="O1468" s="9"/>
      <c r="P1468" s="9"/>
      <c r="Q1468" s="9"/>
    </row>
    <row r="1469" spans="1:68" ht="10.15" customHeight="1" x14ac:dyDescent="0.2">
      <c r="A1469" s="249"/>
      <c r="B1469" s="249"/>
      <c r="C1469" s="284"/>
      <c r="D1469" s="244" t="s">
        <v>597</v>
      </c>
      <c r="E1469" s="281"/>
      <c r="F1469" s="257"/>
      <c r="G1469" s="249"/>
      <c r="H1469" s="249">
        <v>13530</v>
      </c>
      <c r="I1469" s="262">
        <f>H1469/$H$1476</f>
        <v>0.31654305968228713</v>
      </c>
      <c r="J1469" s="253" t="s">
        <v>16</v>
      </c>
      <c r="K1469" s="137"/>
      <c r="L1469" s="9"/>
      <c r="M1469" s="9"/>
      <c r="N1469" s="9"/>
      <c r="O1469" s="9"/>
      <c r="P1469" s="9"/>
      <c r="Q1469" s="9"/>
    </row>
    <row r="1470" spans="1:68" ht="10.15" customHeight="1" x14ac:dyDescent="0.2">
      <c r="A1470" s="249"/>
      <c r="B1470" s="249"/>
      <c r="C1470" s="284"/>
      <c r="D1470" s="244" t="s">
        <v>646</v>
      </c>
      <c r="E1470" s="281"/>
      <c r="F1470" s="257"/>
      <c r="G1470" s="249"/>
      <c r="H1470" s="249">
        <v>2874</v>
      </c>
      <c r="I1470" s="262">
        <f t="shared" ref="I1470:I1476" si="37">H1470/$H$1476</f>
        <v>6.7239080083288494E-2</v>
      </c>
      <c r="J1470" s="253"/>
      <c r="K1470" s="137"/>
      <c r="L1470" s="9"/>
      <c r="M1470" s="9"/>
      <c r="N1470" s="9"/>
      <c r="O1470" s="9"/>
      <c r="P1470" s="9"/>
      <c r="Q1470" s="9"/>
    </row>
    <row r="1471" spans="1:68" ht="10.15" customHeight="1" x14ac:dyDescent="0.2">
      <c r="A1471" s="249"/>
      <c r="B1471" s="249"/>
      <c r="C1471" s="284"/>
      <c r="D1471" s="244" t="s">
        <v>620</v>
      </c>
      <c r="E1471" s="281"/>
      <c r="F1471" s="257"/>
      <c r="G1471" s="249"/>
      <c r="H1471" s="249">
        <v>331</v>
      </c>
      <c r="I1471" s="262">
        <f t="shared" si="37"/>
        <v>7.7439580750064338E-3</v>
      </c>
      <c r="J1471" s="253"/>
      <c r="K1471" s="226"/>
    </row>
    <row r="1472" spans="1:68" ht="10.15" customHeight="1" x14ac:dyDescent="0.2">
      <c r="A1472" s="249"/>
      <c r="B1472" s="249"/>
      <c r="C1472" s="284"/>
      <c r="D1472" s="244" t="s">
        <v>599</v>
      </c>
      <c r="E1472" s="281"/>
      <c r="F1472" s="257"/>
      <c r="G1472" s="249"/>
      <c r="H1472" s="249">
        <v>4902</v>
      </c>
      <c r="I1472" s="262">
        <f t="shared" si="37"/>
        <v>0.11468544557003486</v>
      </c>
      <c r="J1472" s="253"/>
      <c r="K1472" s="226"/>
    </row>
    <row r="1473" spans="1:11" ht="10.15" customHeight="1" x14ac:dyDescent="0.2">
      <c r="A1473" s="249"/>
      <c r="B1473" s="249"/>
      <c r="C1473" s="284"/>
      <c r="D1473" s="244" t="s">
        <v>610</v>
      </c>
      <c r="E1473" s="281"/>
      <c r="F1473" s="257"/>
      <c r="G1473" s="249"/>
      <c r="H1473" s="249">
        <v>318</v>
      </c>
      <c r="I1473" s="262">
        <f t="shared" si="37"/>
        <v>7.4398147065016492E-3</v>
      </c>
      <c r="J1473" s="253"/>
      <c r="K1473" s="226"/>
    </row>
    <row r="1474" spans="1:11" ht="10.15" customHeight="1" x14ac:dyDescent="0.2">
      <c r="A1474" s="249"/>
      <c r="B1474" s="249"/>
      <c r="C1474" s="284"/>
      <c r="D1474" s="244" t="s">
        <v>605</v>
      </c>
      <c r="E1474" s="281"/>
      <c r="F1474" s="257"/>
      <c r="G1474" s="249"/>
      <c r="H1474" s="249">
        <v>20155</v>
      </c>
      <c r="I1474" s="262">
        <f t="shared" si="37"/>
        <v>0.47153919940107153</v>
      </c>
      <c r="J1474" s="253" t="s">
        <v>612</v>
      </c>
      <c r="K1474" s="226"/>
    </row>
    <row r="1475" spans="1:11" ht="10.15" customHeight="1" x14ac:dyDescent="0.2">
      <c r="A1475" s="249"/>
      <c r="B1475" s="249"/>
      <c r="C1475" s="284"/>
      <c r="D1475" s="244" t="s">
        <v>634</v>
      </c>
      <c r="E1475" s="281"/>
      <c r="F1475" s="257"/>
      <c r="G1475" s="249"/>
      <c r="H1475" s="249">
        <v>633</v>
      </c>
      <c r="I1475" s="262">
        <f t="shared" si="37"/>
        <v>1.4809442481809886E-2</v>
      </c>
      <c r="J1475" s="242"/>
      <c r="K1475" s="226"/>
    </row>
    <row r="1476" spans="1:11" ht="10.15" customHeight="1" x14ac:dyDescent="0.2">
      <c r="A1476" s="249"/>
      <c r="B1476" s="249"/>
      <c r="C1476" s="284"/>
      <c r="D1476" s="243" t="s">
        <v>33</v>
      </c>
      <c r="E1476" s="281"/>
      <c r="F1476" s="257"/>
      <c r="G1476" s="249"/>
      <c r="H1476" s="282">
        <f>SUM(H1469:H1475)</f>
        <v>42743</v>
      </c>
      <c r="I1476" s="283">
        <f t="shared" si="37"/>
        <v>1</v>
      </c>
      <c r="J1476" s="242"/>
      <c r="K1476" s="226"/>
    </row>
    <row r="1477" spans="1:11" ht="10.15" customHeight="1" x14ac:dyDescent="0.2">
      <c r="A1477" s="249"/>
      <c r="B1477" s="249"/>
      <c r="C1477" s="284"/>
      <c r="D1477" s="243"/>
      <c r="E1477" s="281"/>
      <c r="F1477" s="257"/>
      <c r="G1477" s="249"/>
      <c r="H1477" s="249"/>
      <c r="I1477" s="262"/>
      <c r="J1477" s="242"/>
      <c r="K1477" s="226"/>
    </row>
    <row r="1478" spans="1:11" ht="10.15" customHeight="1" x14ac:dyDescent="0.2">
      <c r="A1478" s="249"/>
      <c r="B1478" s="249"/>
      <c r="C1478" s="284"/>
      <c r="D1478" s="243"/>
      <c r="E1478" s="281"/>
      <c r="F1478" s="257"/>
      <c r="G1478" s="249"/>
      <c r="H1478" s="249"/>
      <c r="I1478" s="262"/>
      <c r="J1478" s="249"/>
      <c r="K1478" s="226"/>
    </row>
    <row r="1479" spans="1:11" ht="10.15" customHeight="1" x14ac:dyDescent="0.2">
      <c r="A1479" s="243" t="s">
        <v>23</v>
      </c>
      <c r="B1479" s="243" t="s">
        <v>366</v>
      </c>
      <c r="C1479" s="243" t="s">
        <v>236</v>
      </c>
      <c r="D1479" s="244" t="s">
        <v>162</v>
      </c>
      <c r="E1479" s="277" t="s">
        <v>344</v>
      </c>
      <c r="F1479" s="245">
        <v>4207441</v>
      </c>
      <c r="G1479" s="246">
        <v>56961</v>
      </c>
      <c r="H1479" s="242"/>
      <c r="I1479" s="251"/>
      <c r="J1479" s="253"/>
      <c r="K1479" s="226"/>
    </row>
    <row r="1480" spans="1:11" ht="10.15" customHeight="1" x14ac:dyDescent="0.2">
      <c r="A1480" s="248"/>
      <c r="B1480" s="248"/>
      <c r="C1480" s="261"/>
      <c r="D1480" s="244" t="s">
        <v>240</v>
      </c>
      <c r="E1480" s="281"/>
      <c r="F1480" s="257"/>
      <c r="G1480" s="249"/>
      <c r="H1480" s="250">
        <v>23066</v>
      </c>
      <c r="I1480" s="251">
        <f>ROUND(H1480/$H$1484,4)</f>
        <v>0.64280000000000004</v>
      </c>
      <c r="J1480" s="252" t="s">
        <v>240</v>
      </c>
      <c r="K1480" s="226"/>
    </row>
    <row r="1481" spans="1:11" ht="10.15" customHeight="1" x14ac:dyDescent="0.2">
      <c r="A1481" s="248"/>
      <c r="B1481" s="248"/>
      <c r="C1481" s="261"/>
      <c r="D1481" s="244" t="s">
        <v>242</v>
      </c>
      <c r="E1481" s="281"/>
      <c r="F1481" s="257"/>
      <c r="G1481" s="249"/>
      <c r="H1481" s="250">
        <v>11620</v>
      </c>
      <c r="I1481" s="251">
        <f>ROUND(H1481/$H$1484,4)</f>
        <v>0.32379999999999998</v>
      </c>
      <c r="J1481" s="253" t="s">
        <v>242</v>
      </c>
      <c r="K1481" s="226"/>
    </row>
    <row r="1482" spans="1:11" ht="10.15" customHeight="1" x14ac:dyDescent="0.2">
      <c r="A1482" s="248"/>
      <c r="B1482" s="248"/>
      <c r="C1482" s="261"/>
      <c r="D1482" s="244" t="s">
        <v>245</v>
      </c>
      <c r="E1482" s="281"/>
      <c r="F1482" s="257"/>
      <c r="G1482" s="249"/>
      <c r="H1482" s="250">
        <v>600</v>
      </c>
      <c r="I1482" s="251">
        <f>ROUND(H1482/$H$1484,4)</f>
        <v>1.67E-2</v>
      </c>
      <c r="J1482" s="253"/>
      <c r="K1482" s="226"/>
    </row>
    <row r="1483" spans="1:11" ht="10.15" customHeight="1" x14ac:dyDescent="0.2">
      <c r="A1483" s="248"/>
      <c r="B1483" s="248"/>
      <c r="C1483" s="261"/>
      <c r="D1483" s="254" t="s">
        <v>246</v>
      </c>
      <c r="E1483" s="281"/>
      <c r="F1483" s="257"/>
      <c r="G1483" s="249"/>
      <c r="H1483" s="250">
        <v>600</v>
      </c>
      <c r="I1483" s="251">
        <f>ROUND(H1483/$H$1484,4)</f>
        <v>1.67E-2</v>
      </c>
      <c r="J1483" s="253"/>
      <c r="K1483" s="226"/>
    </row>
    <row r="1484" spans="1:11" ht="10.15" customHeight="1" x14ac:dyDescent="0.2">
      <c r="A1484" s="248"/>
      <c r="B1484" s="248"/>
      <c r="C1484" s="261"/>
      <c r="D1484" s="243" t="s">
        <v>33</v>
      </c>
      <c r="E1484" s="281"/>
      <c r="F1484" s="257"/>
      <c r="G1484" s="249"/>
      <c r="H1484" s="255">
        <f>SUM(H1480:H1483)</f>
        <v>35886</v>
      </c>
      <c r="I1484" s="256">
        <f>SUM(I1480:I1483)</f>
        <v>1</v>
      </c>
      <c r="J1484" s="253"/>
      <c r="K1484" s="226"/>
    </row>
    <row r="1485" spans="1:11" ht="10.15" customHeight="1" x14ac:dyDescent="0.2">
      <c r="A1485" s="248"/>
      <c r="B1485" s="248"/>
      <c r="C1485" s="261"/>
      <c r="D1485" s="243"/>
      <c r="E1485" s="281"/>
      <c r="F1485" s="257"/>
      <c r="G1485" s="249"/>
      <c r="H1485" s="258"/>
      <c r="I1485" s="259"/>
      <c r="J1485" s="253"/>
      <c r="K1485" s="226"/>
    </row>
    <row r="1486" spans="1:11" ht="10.15" customHeight="1" x14ac:dyDescent="0.2">
      <c r="A1486" s="243" t="s">
        <v>23</v>
      </c>
      <c r="B1486" s="243" t="s">
        <v>367</v>
      </c>
      <c r="C1486" s="243" t="s">
        <v>236</v>
      </c>
      <c r="D1486" s="244" t="s">
        <v>93</v>
      </c>
      <c r="E1486" s="277" t="s">
        <v>368</v>
      </c>
      <c r="F1486" s="245">
        <v>3834822</v>
      </c>
      <c r="G1486" s="246">
        <v>70464</v>
      </c>
      <c r="H1486" s="242"/>
      <c r="I1486" s="251"/>
      <c r="J1486" s="253"/>
      <c r="K1486" s="226"/>
    </row>
    <row r="1487" spans="1:11" ht="10.15" customHeight="1" x14ac:dyDescent="0.2">
      <c r="A1487" s="248"/>
      <c r="B1487" s="248"/>
      <c r="C1487" s="261"/>
      <c r="D1487" s="244" t="s">
        <v>242</v>
      </c>
      <c r="E1487" s="281"/>
      <c r="F1487" s="257"/>
      <c r="G1487" s="249"/>
      <c r="H1487" s="250">
        <v>2798</v>
      </c>
      <c r="I1487" s="251">
        <f>ROUND(H1487/$H$1490,4)</f>
        <v>5.7500000000000002E-2</v>
      </c>
      <c r="J1487" s="253"/>
      <c r="K1487" s="226"/>
    </row>
    <row r="1488" spans="1:11" ht="10.15" customHeight="1" x14ac:dyDescent="0.2">
      <c r="A1488" s="248"/>
      <c r="B1488" s="248"/>
      <c r="C1488" s="261"/>
      <c r="D1488" s="244" t="s">
        <v>264</v>
      </c>
      <c r="E1488" s="281"/>
      <c r="F1488" s="257"/>
      <c r="G1488" s="249"/>
      <c r="H1488" s="250">
        <v>2463</v>
      </c>
      <c r="I1488" s="251">
        <f>ROUND(H1488/$H$1490,4)</f>
        <v>5.0599999999999999E-2</v>
      </c>
      <c r="J1488" s="253"/>
      <c r="K1488" s="226"/>
    </row>
    <row r="1489" spans="1:11" ht="10.15" customHeight="1" x14ac:dyDescent="0.2">
      <c r="A1489" s="248"/>
      <c r="B1489" s="248"/>
      <c r="C1489" s="261"/>
      <c r="D1489" s="244" t="s">
        <v>305</v>
      </c>
      <c r="E1489" s="281"/>
      <c r="F1489" s="257"/>
      <c r="G1489" s="249"/>
      <c r="H1489" s="250">
        <v>43430</v>
      </c>
      <c r="I1489" s="251">
        <f>ROUND(H1489/$H$1490,4)-0.0001</f>
        <v>0.89190000000000003</v>
      </c>
      <c r="J1489" s="252" t="s">
        <v>305</v>
      </c>
      <c r="K1489" s="226"/>
    </row>
    <row r="1490" spans="1:11" ht="10.15" customHeight="1" x14ac:dyDescent="0.2">
      <c r="A1490" s="248"/>
      <c r="B1490" s="248"/>
      <c r="C1490" s="261"/>
      <c r="D1490" s="243" t="s">
        <v>33</v>
      </c>
      <c r="E1490" s="281"/>
      <c r="F1490" s="257"/>
      <c r="G1490" s="249"/>
      <c r="H1490" s="255">
        <f>SUM(H1487:H1489)</f>
        <v>48691</v>
      </c>
      <c r="I1490" s="256">
        <f>SUM(I1487:I1489)</f>
        <v>1</v>
      </c>
      <c r="J1490" s="253"/>
      <c r="K1490" s="226"/>
    </row>
    <row r="1491" spans="1:11" ht="10.15" customHeight="1" x14ac:dyDescent="0.2">
      <c r="A1491" s="248"/>
      <c r="B1491" s="248"/>
      <c r="C1491" s="261"/>
      <c r="D1491" s="243"/>
      <c r="E1491" s="281"/>
      <c r="F1491" s="257"/>
      <c r="G1491" s="249"/>
      <c r="H1491" s="258"/>
      <c r="I1491" s="259"/>
      <c r="J1491" s="253"/>
      <c r="K1491" s="226"/>
    </row>
    <row r="1492" spans="1:11" ht="10.15" customHeight="1" x14ac:dyDescent="0.2">
      <c r="A1492" s="243" t="s">
        <v>23</v>
      </c>
      <c r="B1492" s="243" t="s">
        <v>369</v>
      </c>
      <c r="C1492" s="243" t="s">
        <v>236</v>
      </c>
      <c r="D1492" s="244" t="s">
        <v>370</v>
      </c>
      <c r="E1492" s="277" t="s">
        <v>253</v>
      </c>
      <c r="F1492" s="245">
        <v>8160000</v>
      </c>
      <c r="G1492" s="246">
        <v>91750</v>
      </c>
      <c r="H1492" s="242"/>
      <c r="I1492" s="251"/>
      <c r="J1492" s="253"/>
      <c r="K1492" s="226"/>
    </row>
    <row r="1493" spans="1:11" ht="10.15" customHeight="1" x14ac:dyDescent="0.2">
      <c r="A1493" s="248"/>
      <c r="B1493" s="248"/>
      <c r="C1493" s="261"/>
      <c r="D1493" s="244" t="s">
        <v>263</v>
      </c>
      <c r="E1493" s="281"/>
      <c r="F1493" s="257"/>
      <c r="G1493" s="249"/>
      <c r="H1493" s="250">
        <v>13000</v>
      </c>
      <c r="I1493" s="251">
        <f>ROUND(H1493/$H$1499,4)</f>
        <v>0.28120000000000001</v>
      </c>
      <c r="J1493" s="252" t="s">
        <v>263</v>
      </c>
      <c r="K1493" s="226"/>
    </row>
    <row r="1494" spans="1:11" ht="10.15" customHeight="1" x14ac:dyDescent="0.2">
      <c r="A1494" s="248"/>
      <c r="B1494" s="248"/>
      <c r="C1494" s="261"/>
      <c r="D1494" s="244" t="s">
        <v>240</v>
      </c>
      <c r="E1494" s="281"/>
      <c r="F1494" s="257"/>
      <c r="G1494" s="249"/>
      <c r="H1494" s="250">
        <v>400</v>
      </c>
      <c r="I1494" s="251">
        <f>ROUND(H1494/$H$1499,4)+0.0001</f>
        <v>8.7999999999999988E-3</v>
      </c>
      <c r="J1494" s="253"/>
      <c r="K1494" s="226"/>
    </row>
    <row r="1495" spans="1:11" ht="10.15" customHeight="1" x14ac:dyDescent="0.2">
      <c r="A1495" s="248"/>
      <c r="B1495" s="248"/>
      <c r="C1495" s="261"/>
      <c r="D1495" s="244" t="s">
        <v>242</v>
      </c>
      <c r="E1495" s="281"/>
      <c r="F1495" s="257"/>
      <c r="G1495" s="249"/>
      <c r="H1495" s="250">
        <v>13561</v>
      </c>
      <c r="I1495" s="251">
        <f>ROUND(H1495/$H$1499,4)</f>
        <v>0.29330000000000001</v>
      </c>
      <c r="J1495" s="252" t="s">
        <v>242</v>
      </c>
      <c r="K1495" s="226"/>
    </row>
    <row r="1496" spans="1:11" ht="10.15" customHeight="1" x14ac:dyDescent="0.2">
      <c r="A1496" s="248"/>
      <c r="B1496" s="248"/>
      <c r="C1496" s="261"/>
      <c r="D1496" s="244" t="s">
        <v>244</v>
      </c>
      <c r="E1496" s="281"/>
      <c r="F1496" s="257"/>
      <c r="G1496" s="249"/>
      <c r="H1496" s="250">
        <v>5300</v>
      </c>
      <c r="I1496" s="251">
        <f>ROUND(H1496/$H$1499,4)</f>
        <v>0.11459999999999999</v>
      </c>
      <c r="J1496" s="253"/>
      <c r="K1496" s="226"/>
    </row>
    <row r="1497" spans="1:11" ht="10.15" customHeight="1" x14ac:dyDescent="0.2">
      <c r="A1497" s="248"/>
      <c r="B1497" s="248"/>
      <c r="C1497" s="261"/>
      <c r="D1497" s="244" t="s">
        <v>245</v>
      </c>
      <c r="E1497" s="281"/>
      <c r="F1497" s="257"/>
      <c r="G1497" s="249"/>
      <c r="H1497" s="250">
        <v>10700</v>
      </c>
      <c r="I1497" s="251">
        <f>ROUND(H1497/$H$1499,4)</f>
        <v>0.23139999999999999</v>
      </c>
      <c r="J1497" s="253" t="s">
        <v>245</v>
      </c>
      <c r="K1497" s="226"/>
    </row>
    <row r="1498" spans="1:11" ht="10.15" customHeight="1" x14ac:dyDescent="0.2">
      <c r="A1498" s="248"/>
      <c r="B1498" s="248"/>
      <c r="C1498" s="261"/>
      <c r="D1498" s="254" t="s">
        <v>246</v>
      </c>
      <c r="E1498" s="281"/>
      <c r="F1498" s="257"/>
      <c r="G1498" s="249"/>
      <c r="H1498" s="250">
        <v>3270</v>
      </c>
      <c r="I1498" s="251">
        <f>ROUND(H1498/$H$1499,4)</f>
        <v>7.0699999999999999E-2</v>
      </c>
      <c r="J1498" s="253"/>
      <c r="K1498" s="226"/>
    </row>
    <row r="1499" spans="1:11" ht="10.15" customHeight="1" x14ac:dyDescent="0.2">
      <c r="A1499" s="248"/>
      <c r="B1499" s="248"/>
      <c r="C1499" s="261"/>
      <c r="D1499" s="243" t="s">
        <v>33</v>
      </c>
      <c r="E1499" s="281"/>
      <c r="F1499" s="257"/>
      <c r="G1499" s="249"/>
      <c r="H1499" s="255">
        <f>SUM(H1493:H1498)</f>
        <v>46231</v>
      </c>
      <c r="I1499" s="256">
        <f>SUM(I1493:I1498)</f>
        <v>1</v>
      </c>
      <c r="J1499" s="253"/>
      <c r="K1499" s="226"/>
    </row>
    <row r="1500" spans="1:11" ht="10.15" customHeight="1" x14ac:dyDescent="0.2">
      <c r="A1500" s="248"/>
      <c r="B1500" s="248"/>
      <c r="C1500" s="261"/>
      <c r="D1500" s="243"/>
      <c r="E1500" s="281"/>
      <c r="F1500" s="257"/>
      <c r="G1500" s="249"/>
      <c r="H1500" s="258"/>
      <c r="I1500" s="259"/>
      <c r="J1500" s="253"/>
      <c r="K1500" s="226"/>
    </row>
    <row r="1501" spans="1:11" ht="10.15" customHeight="1" x14ac:dyDescent="0.2">
      <c r="A1501" s="243" t="s">
        <v>23</v>
      </c>
      <c r="B1501" s="243" t="s">
        <v>371</v>
      </c>
      <c r="C1501" s="243" t="s">
        <v>236</v>
      </c>
      <c r="D1501" s="244" t="s">
        <v>198</v>
      </c>
      <c r="E1501" s="277" t="s">
        <v>372</v>
      </c>
      <c r="F1501" s="245">
        <v>7043010</v>
      </c>
      <c r="G1501" s="246">
        <v>89255</v>
      </c>
      <c r="H1501" s="242"/>
      <c r="I1501" s="242"/>
      <c r="J1501" s="253"/>
      <c r="K1501" s="226"/>
    </row>
    <row r="1502" spans="1:11" ht="10.15" customHeight="1" x14ac:dyDescent="0.2">
      <c r="A1502" s="248"/>
      <c r="B1502" s="248"/>
      <c r="C1502" s="261"/>
      <c r="D1502" s="244" t="s">
        <v>239</v>
      </c>
      <c r="E1502" s="281"/>
      <c r="F1502" s="257"/>
      <c r="G1502" s="249"/>
      <c r="H1502" s="250">
        <v>9409</v>
      </c>
      <c r="I1502" s="251">
        <f>ROUND(H1502/$H$1507,4)</f>
        <v>0.1686</v>
      </c>
      <c r="J1502" s="253"/>
      <c r="K1502" s="226"/>
    </row>
    <row r="1503" spans="1:11" ht="10.15" customHeight="1" x14ac:dyDescent="0.2">
      <c r="A1503" s="248"/>
      <c r="B1503" s="248"/>
      <c r="C1503" s="261"/>
      <c r="D1503" s="244" t="s">
        <v>240</v>
      </c>
      <c r="E1503" s="281"/>
      <c r="F1503" s="257"/>
      <c r="G1503" s="249"/>
      <c r="H1503" s="250">
        <v>1620</v>
      </c>
      <c r="I1503" s="251">
        <f>ROUND(H1503/$H$1507,4)</f>
        <v>2.9000000000000001E-2</v>
      </c>
      <c r="J1503" s="253"/>
      <c r="K1503" s="226"/>
    </row>
    <row r="1504" spans="1:11" ht="10.15" customHeight="1" x14ac:dyDescent="0.2">
      <c r="A1504" s="248"/>
      <c r="B1504" s="248"/>
      <c r="C1504" s="261"/>
      <c r="D1504" s="244" t="s">
        <v>241</v>
      </c>
      <c r="E1504" s="281"/>
      <c r="F1504" s="257"/>
      <c r="G1504" s="249"/>
      <c r="H1504" s="250">
        <v>20810</v>
      </c>
      <c r="I1504" s="251">
        <f>ROUND(H1504/$H$1507,4)</f>
        <v>0.37280000000000002</v>
      </c>
      <c r="J1504" s="252" t="s">
        <v>241</v>
      </c>
      <c r="K1504" s="226"/>
    </row>
    <row r="1505" spans="1:11" ht="10.15" customHeight="1" x14ac:dyDescent="0.2">
      <c r="A1505" s="248"/>
      <c r="B1505" s="248"/>
      <c r="C1505" s="261"/>
      <c r="D1505" s="244" t="s">
        <v>373</v>
      </c>
      <c r="E1505" s="281"/>
      <c r="F1505" s="257"/>
      <c r="G1505" s="249"/>
      <c r="H1505" s="250">
        <v>22980</v>
      </c>
      <c r="I1505" s="251">
        <f>ROUND(H1505/$H$1507,4)</f>
        <v>0.41170000000000001</v>
      </c>
      <c r="J1505" s="252" t="s">
        <v>242</v>
      </c>
      <c r="K1505" s="226"/>
    </row>
    <row r="1506" spans="1:11" ht="10.15" customHeight="1" x14ac:dyDescent="0.2">
      <c r="A1506" s="248"/>
      <c r="B1506" s="248"/>
      <c r="C1506" s="261"/>
      <c r="D1506" s="254" t="s">
        <v>264</v>
      </c>
      <c r="E1506" s="281"/>
      <c r="F1506" s="257"/>
      <c r="G1506" s="249"/>
      <c r="H1506" s="250">
        <v>1000</v>
      </c>
      <c r="I1506" s="251">
        <f>ROUND(H1506/$H$1507,4)</f>
        <v>1.7899999999999999E-2</v>
      </c>
      <c r="J1506" s="253"/>
      <c r="K1506" s="226"/>
    </row>
    <row r="1507" spans="1:11" ht="10.15" customHeight="1" x14ac:dyDescent="0.2">
      <c r="A1507" s="248"/>
      <c r="B1507" s="248"/>
      <c r="C1507" s="261"/>
      <c r="D1507" s="243" t="s">
        <v>33</v>
      </c>
      <c r="E1507" s="281"/>
      <c r="F1507" s="257"/>
      <c r="G1507" s="249"/>
      <c r="H1507" s="255">
        <f>SUM(H1502:H1506)</f>
        <v>55819</v>
      </c>
      <c r="I1507" s="256">
        <f>SUM(I1502:I1506)</f>
        <v>1</v>
      </c>
      <c r="J1507" s="253"/>
      <c r="K1507" s="226"/>
    </row>
    <row r="1508" spans="1:11" ht="10.15" customHeight="1" x14ac:dyDescent="0.2">
      <c r="A1508" s="248"/>
      <c r="B1508" s="248"/>
      <c r="C1508" s="261"/>
      <c r="D1508" s="249"/>
      <c r="E1508" s="281"/>
      <c r="F1508" s="257"/>
      <c r="G1508" s="249"/>
      <c r="H1508" s="242"/>
      <c r="I1508" s="251"/>
      <c r="J1508" s="253"/>
      <c r="K1508" s="226"/>
    </row>
    <row r="1509" spans="1:11" ht="10.15" customHeight="1" x14ac:dyDescent="0.2">
      <c r="A1509" s="243" t="s">
        <v>23</v>
      </c>
      <c r="B1509" s="243" t="s">
        <v>374</v>
      </c>
      <c r="C1509" s="243" t="s">
        <v>236</v>
      </c>
      <c r="D1509" s="244" t="s">
        <v>375</v>
      </c>
      <c r="E1509" s="277" t="s">
        <v>376</v>
      </c>
      <c r="F1509" s="245">
        <v>9708460</v>
      </c>
      <c r="G1509" s="246">
        <v>121018</v>
      </c>
      <c r="H1509" s="242"/>
      <c r="I1509" s="251"/>
      <c r="J1509" s="253"/>
      <c r="K1509" s="226"/>
    </row>
    <row r="1510" spans="1:11" ht="10.15" customHeight="1" x14ac:dyDescent="0.2">
      <c r="A1510" s="248"/>
      <c r="B1510" s="248"/>
      <c r="C1510" s="261"/>
      <c r="D1510" s="244" t="s">
        <v>240</v>
      </c>
      <c r="E1510" s="281"/>
      <c r="F1510" s="257"/>
      <c r="G1510" s="249"/>
      <c r="H1510" s="250">
        <v>9767</v>
      </c>
      <c r="I1510" s="251">
        <f>ROUND(H1510/$H$1513,4)</f>
        <v>0.13780000000000001</v>
      </c>
      <c r="J1510" s="253"/>
      <c r="K1510" s="226"/>
    </row>
    <row r="1511" spans="1:11" ht="10.15" customHeight="1" x14ac:dyDescent="0.2">
      <c r="A1511" s="248"/>
      <c r="B1511" s="248"/>
      <c r="C1511" s="261"/>
      <c r="D1511" s="244" t="s">
        <v>241</v>
      </c>
      <c r="E1511" s="281"/>
      <c r="F1511" s="257"/>
      <c r="G1511" s="249"/>
      <c r="H1511" s="250">
        <v>35697</v>
      </c>
      <c r="I1511" s="251">
        <f>ROUND(H1511/$H$1513,4)-0.0001</f>
        <v>0.50350000000000006</v>
      </c>
      <c r="J1511" s="252" t="s">
        <v>241</v>
      </c>
      <c r="K1511" s="226"/>
    </row>
    <row r="1512" spans="1:11" ht="10.15" customHeight="1" x14ac:dyDescent="0.2">
      <c r="A1512" s="248"/>
      <c r="B1512" s="248"/>
      <c r="C1512" s="261"/>
      <c r="D1512" s="244" t="s">
        <v>242</v>
      </c>
      <c r="E1512" s="281"/>
      <c r="F1512" s="257"/>
      <c r="G1512" s="249"/>
      <c r="H1512" s="250">
        <v>25426</v>
      </c>
      <c r="I1512" s="251">
        <f>ROUND(H1512/$H$1513,4)</f>
        <v>0.35870000000000002</v>
      </c>
      <c r="J1512" s="252" t="s">
        <v>242</v>
      </c>
      <c r="K1512" s="226"/>
    </row>
    <row r="1513" spans="1:11" ht="10.15" customHeight="1" x14ac:dyDescent="0.2">
      <c r="A1513" s="248"/>
      <c r="B1513" s="248"/>
      <c r="C1513" s="261"/>
      <c r="D1513" s="243" t="s">
        <v>33</v>
      </c>
      <c r="E1513" s="281"/>
      <c r="F1513" s="257"/>
      <c r="G1513" s="249"/>
      <c r="H1513" s="255">
        <f>SUM(H1510:H1512)</f>
        <v>70890</v>
      </c>
      <c r="I1513" s="256">
        <f>SUM(I1510:I1512)</f>
        <v>1</v>
      </c>
      <c r="J1513" s="253"/>
      <c r="K1513" s="226"/>
    </row>
    <row r="1514" spans="1:11" ht="10.15" customHeight="1" x14ac:dyDescent="0.2">
      <c r="A1514" s="248"/>
      <c r="B1514" s="248"/>
      <c r="C1514" s="261"/>
      <c r="D1514" s="249"/>
      <c r="E1514" s="281"/>
      <c r="F1514" s="257"/>
      <c r="G1514" s="249"/>
      <c r="H1514" s="242"/>
      <c r="I1514" s="242"/>
      <c r="J1514" s="253"/>
      <c r="K1514" s="226"/>
    </row>
    <row r="1515" spans="1:11" ht="10.15" customHeight="1" x14ac:dyDescent="0.2">
      <c r="A1515" s="243" t="s">
        <v>23</v>
      </c>
      <c r="B1515" s="243" t="s">
        <v>377</v>
      </c>
      <c r="C1515" s="243" t="s">
        <v>236</v>
      </c>
      <c r="D1515" s="244" t="s">
        <v>175</v>
      </c>
      <c r="E1515" s="277" t="s">
        <v>378</v>
      </c>
      <c r="F1515" s="245">
        <v>6264777</v>
      </c>
      <c r="G1515" s="246">
        <v>93187</v>
      </c>
      <c r="H1515" s="242"/>
      <c r="I1515" s="242"/>
      <c r="J1515" s="253"/>
      <c r="K1515" s="226"/>
    </row>
    <row r="1516" spans="1:11" ht="10.15" customHeight="1" x14ac:dyDescent="0.2">
      <c r="A1516" s="248"/>
      <c r="B1516" s="248"/>
      <c r="C1516" s="261"/>
      <c r="D1516" s="244" t="s">
        <v>263</v>
      </c>
      <c r="E1516" s="281"/>
      <c r="F1516" s="257"/>
      <c r="G1516" s="249"/>
      <c r="H1516" s="250">
        <v>9490</v>
      </c>
      <c r="I1516" s="251">
        <f>ROUND(H1516/$H$1520,4)</f>
        <v>0.18340000000000001</v>
      </c>
      <c r="J1516" s="253"/>
      <c r="K1516" s="226"/>
    </row>
    <row r="1517" spans="1:11" ht="10.15" customHeight="1" x14ac:dyDescent="0.2">
      <c r="A1517" s="248"/>
      <c r="B1517" s="248"/>
      <c r="C1517" s="261"/>
      <c r="D1517" s="244" t="s">
        <v>240</v>
      </c>
      <c r="E1517" s="281"/>
      <c r="F1517" s="257"/>
      <c r="G1517" s="249"/>
      <c r="H1517" s="250">
        <v>14625</v>
      </c>
      <c r="I1517" s="251">
        <f>ROUND(H1517/$H$1520,4)</f>
        <v>0.28270000000000001</v>
      </c>
      <c r="J1517" s="253" t="s">
        <v>240</v>
      </c>
      <c r="K1517" s="226"/>
    </row>
    <row r="1518" spans="1:11" ht="10.15" customHeight="1" x14ac:dyDescent="0.2">
      <c r="A1518" s="248"/>
      <c r="B1518" s="248"/>
      <c r="C1518" s="261"/>
      <c r="D1518" s="244" t="s">
        <v>242</v>
      </c>
      <c r="E1518" s="281"/>
      <c r="F1518" s="257"/>
      <c r="G1518" s="249"/>
      <c r="H1518" s="250">
        <v>27263</v>
      </c>
      <c r="I1518" s="251">
        <f>ROUND(H1518/$H$1520,4)</f>
        <v>0.52700000000000002</v>
      </c>
      <c r="J1518" s="252" t="s">
        <v>242</v>
      </c>
      <c r="K1518" s="226"/>
    </row>
    <row r="1519" spans="1:11" ht="12.2" customHeight="1" x14ac:dyDescent="0.2">
      <c r="A1519" s="248"/>
      <c r="B1519" s="248"/>
      <c r="C1519" s="261"/>
      <c r="D1519" s="244" t="s">
        <v>245</v>
      </c>
      <c r="E1519" s="281"/>
      <c r="F1519" s="257"/>
      <c r="G1519" s="249"/>
      <c r="H1519" s="250">
        <v>354</v>
      </c>
      <c r="I1519" s="251">
        <f>ROUND(H1519/$H$1520,4)</f>
        <v>6.7999999999999996E-3</v>
      </c>
      <c r="J1519" s="253"/>
      <c r="K1519" s="226"/>
    </row>
    <row r="1520" spans="1:11" ht="10.15" customHeight="1" x14ac:dyDescent="0.2">
      <c r="A1520" s="248"/>
      <c r="B1520" s="248"/>
      <c r="C1520" s="261"/>
      <c r="D1520" s="243" t="s">
        <v>33</v>
      </c>
      <c r="E1520" s="281"/>
      <c r="F1520" s="257"/>
      <c r="G1520" s="249"/>
      <c r="H1520" s="255">
        <f>SUM(H1516:H1519)</f>
        <v>51732</v>
      </c>
      <c r="I1520" s="256">
        <f>ROUND(H1520/$H$1520,4)</f>
        <v>1</v>
      </c>
      <c r="J1520" s="253"/>
      <c r="K1520" s="226"/>
    </row>
    <row r="1521" spans="1:11" ht="10.15" customHeight="1" x14ac:dyDescent="0.2">
      <c r="A1521" s="248"/>
      <c r="B1521" s="248"/>
      <c r="C1521" s="261"/>
      <c r="D1521" s="249"/>
      <c r="E1521" s="281"/>
      <c r="F1521" s="257"/>
      <c r="G1521" s="249"/>
      <c r="H1521" s="242"/>
      <c r="I1521" s="242"/>
      <c r="J1521" s="253"/>
      <c r="K1521" s="226"/>
    </row>
    <row r="1522" spans="1:11" ht="10.15" customHeight="1" x14ac:dyDescent="0.2">
      <c r="A1522" s="243" t="s">
        <v>23</v>
      </c>
      <c r="B1522" s="243" t="s">
        <v>379</v>
      </c>
      <c r="C1522" s="243" t="s">
        <v>236</v>
      </c>
      <c r="D1522" s="244" t="s">
        <v>201</v>
      </c>
      <c r="E1522" s="277" t="s">
        <v>274</v>
      </c>
      <c r="F1522" s="245">
        <v>460100</v>
      </c>
      <c r="G1522" s="246">
        <v>4400</v>
      </c>
      <c r="H1522" s="242"/>
      <c r="I1522" s="242"/>
      <c r="J1522" s="253"/>
      <c r="K1522" s="226"/>
    </row>
    <row r="1523" spans="1:11" ht="10.15" customHeight="1" x14ac:dyDescent="0.2">
      <c r="A1523" s="248"/>
      <c r="B1523" s="248"/>
      <c r="C1523" s="261"/>
      <c r="D1523" s="244" t="s">
        <v>242</v>
      </c>
      <c r="E1523" s="281"/>
      <c r="F1523" s="257"/>
      <c r="G1523" s="249"/>
      <c r="H1523" s="250">
        <v>2191</v>
      </c>
      <c r="I1523" s="251">
        <f>ROUND(H1523/$H$1525,4)</f>
        <v>0.54600000000000004</v>
      </c>
      <c r="J1523" s="252" t="s">
        <v>242</v>
      </c>
      <c r="K1523" s="226"/>
    </row>
    <row r="1524" spans="1:11" ht="10.15" customHeight="1" x14ac:dyDescent="0.2">
      <c r="A1524" s="248"/>
      <c r="B1524" s="248"/>
      <c r="C1524" s="261"/>
      <c r="D1524" s="254" t="s">
        <v>246</v>
      </c>
      <c r="E1524" s="281"/>
      <c r="F1524" s="257"/>
      <c r="G1524" s="249"/>
      <c r="H1524" s="250">
        <v>1822</v>
      </c>
      <c r="I1524" s="251">
        <f>ROUND(H1524/$H$1525,4)</f>
        <v>0.45400000000000001</v>
      </c>
      <c r="J1524" s="260" t="s">
        <v>246</v>
      </c>
      <c r="K1524" s="226"/>
    </row>
    <row r="1525" spans="1:11" ht="10.15" customHeight="1" x14ac:dyDescent="0.2">
      <c r="A1525" s="248"/>
      <c r="B1525" s="248"/>
      <c r="C1525" s="261"/>
      <c r="D1525" s="243" t="s">
        <v>33</v>
      </c>
      <c r="E1525" s="281"/>
      <c r="F1525" s="257"/>
      <c r="G1525" s="249"/>
      <c r="H1525" s="255">
        <f>SUM(H1523:H1524)</f>
        <v>4013</v>
      </c>
      <c r="I1525" s="256">
        <f>SUM(I1523:I1524)</f>
        <v>1</v>
      </c>
      <c r="J1525" s="253"/>
      <c r="K1525" s="226"/>
    </row>
    <row r="1526" spans="1:11" ht="10.15" customHeight="1" x14ac:dyDescent="0.2">
      <c r="A1526" s="248"/>
      <c r="B1526" s="248"/>
      <c r="C1526" s="261"/>
      <c r="D1526" s="243"/>
      <c r="E1526" s="281"/>
      <c r="F1526" s="257"/>
      <c r="G1526" s="249"/>
      <c r="H1526" s="258"/>
      <c r="I1526" s="259"/>
      <c r="J1526" s="253"/>
      <c r="K1526" s="226"/>
    </row>
    <row r="1527" spans="1:11" ht="10.15" customHeight="1" x14ac:dyDescent="0.2">
      <c r="A1527" s="243" t="s">
        <v>23</v>
      </c>
      <c r="B1527" s="243" t="s">
        <v>380</v>
      </c>
      <c r="C1527" s="243" t="s">
        <v>236</v>
      </c>
      <c r="D1527" s="244" t="s">
        <v>167</v>
      </c>
      <c r="E1527" s="277" t="s">
        <v>276</v>
      </c>
      <c r="F1527" s="245">
        <v>9592500</v>
      </c>
      <c r="G1527" s="246">
        <v>104202</v>
      </c>
      <c r="H1527" s="242"/>
      <c r="I1527" s="242"/>
      <c r="J1527" s="253"/>
      <c r="K1527" s="226"/>
    </row>
    <row r="1528" spans="1:11" ht="10.15" customHeight="1" x14ac:dyDescent="0.2">
      <c r="A1528" s="248"/>
      <c r="B1528" s="248"/>
      <c r="C1528" s="261"/>
      <c r="D1528" s="244" t="s">
        <v>263</v>
      </c>
      <c r="E1528" s="281"/>
      <c r="F1528" s="257"/>
      <c r="G1528" s="249"/>
      <c r="H1528" s="250">
        <v>20112</v>
      </c>
      <c r="I1528" s="251">
        <f>ROUND(H1528/$H$1535,4)</f>
        <v>0.2772</v>
      </c>
      <c r="J1528" s="252" t="s">
        <v>263</v>
      </c>
      <c r="K1528" s="226"/>
    </row>
    <row r="1529" spans="1:11" ht="10.15" customHeight="1" x14ac:dyDescent="0.2">
      <c r="A1529" s="248"/>
      <c r="B1529" s="248"/>
      <c r="C1529" s="261"/>
      <c r="D1529" s="244" t="s">
        <v>240</v>
      </c>
      <c r="E1529" s="281"/>
      <c r="F1529" s="257"/>
      <c r="G1529" s="249"/>
      <c r="H1529" s="250">
        <v>10752</v>
      </c>
      <c r="I1529" s="251">
        <f>ROUND(H1529/$H$1535,4)</f>
        <v>0.1482</v>
      </c>
      <c r="J1529" s="253"/>
      <c r="K1529" s="226"/>
    </row>
    <row r="1530" spans="1:11" ht="10.15" customHeight="1" x14ac:dyDescent="0.2">
      <c r="A1530" s="248"/>
      <c r="B1530" s="248"/>
      <c r="C1530" s="261"/>
      <c r="D1530" s="244" t="s">
        <v>242</v>
      </c>
      <c r="E1530" s="281"/>
      <c r="F1530" s="257"/>
      <c r="G1530" s="249"/>
      <c r="H1530" s="250">
        <v>20887</v>
      </c>
      <c r="I1530" s="251">
        <f>ROUND(H1530/$H$1535,4)</f>
        <v>0.28789999999999999</v>
      </c>
      <c r="J1530" s="252" t="s">
        <v>242</v>
      </c>
      <c r="K1530" s="226"/>
    </row>
    <row r="1531" spans="1:11" ht="10.15" customHeight="1" x14ac:dyDescent="0.2">
      <c r="A1531" s="248"/>
      <c r="B1531" s="248"/>
      <c r="C1531" s="261"/>
      <c r="D1531" s="254" t="s">
        <v>264</v>
      </c>
      <c r="E1531" s="281"/>
      <c r="F1531" s="257"/>
      <c r="G1531" s="249"/>
      <c r="H1531" s="250">
        <v>2833</v>
      </c>
      <c r="I1531" s="251">
        <f>ROUND(H1531/$H$1535,4)+0.0001</f>
        <v>3.9200000000000006E-2</v>
      </c>
      <c r="J1531" s="253"/>
      <c r="K1531" s="226"/>
    </row>
    <row r="1532" spans="1:11" ht="10.15" customHeight="1" x14ac:dyDescent="0.2">
      <c r="A1532" s="248"/>
      <c r="B1532" s="248"/>
      <c r="C1532" s="261"/>
      <c r="D1532" s="244" t="s">
        <v>244</v>
      </c>
      <c r="E1532" s="281"/>
      <c r="F1532" s="257"/>
      <c r="G1532" s="249"/>
      <c r="H1532" s="250">
        <v>3307</v>
      </c>
      <c r="I1532" s="251">
        <f>ROUND(H1532/$H$1535,4)</f>
        <v>4.5600000000000002E-2</v>
      </c>
      <c r="J1532" s="253"/>
      <c r="K1532" s="226"/>
    </row>
    <row r="1533" spans="1:11" ht="10.15" customHeight="1" x14ac:dyDescent="0.2">
      <c r="A1533" s="248"/>
      <c r="B1533" s="248"/>
      <c r="C1533" s="261"/>
      <c r="D1533" s="244" t="s">
        <v>245</v>
      </c>
      <c r="E1533" s="281"/>
      <c r="F1533" s="257"/>
      <c r="G1533" s="249"/>
      <c r="H1533" s="250">
        <v>4559</v>
      </c>
      <c r="I1533" s="251">
        <f>ROUND(H1533/$H$1535,4)</f>
        <v>6.2799999999999995E-2</v>
      </c>
      <c r="J1533" s="253"/>
      <c r="K1533" s="226"/>
    </row>
    <row r="1534" spans="1:11" ht="10.15" customHeight="1" x14ac:dyDescent="0.2">
      <c r="A1534" s="248"/>
      <c r="B1534" s="248"/>
      <c r="C1534" s="261"/>
      <c r="D1534" s="254" t="s">
        <v>246</v>
      </c>
      <c r="E1534" s="281"/>
      <c r="F1534" s="257"/>
      <c r="G1534" s="249"/>
      <c r="H1534" s="250">
        <v>10092</v>
      </c>
      <c r="I1534" s="251">
        <f>ROUND(H1534/$H$1535,4)</f>
        <v>0.1391</v>
      </c>
      <c r="J1534" s="253"/>
      <c r="K1534" s="226"/>
    </row>
    <row r="1535" spans="1:11" ht="10.15" customHeight="1" x14ac:dyDescent="0.2">
      <c r="A1535" s="248"/>
      <c r="B1535" s="248"/>
      <c r="C1535" s="261"/>
      <c r="D1535" s="243" t="s">
        <v>33</v>
      </c>
      <c r="E1535" s="281"/>
      <c r="F1535" s="257"/>
      <c r="G1535" s="249"/>
      <c r="H1535" s="255">
        <f>SUM(H1528:H1534)</f>
        <v>72542</v>
      </c>
      <c r="I1535" s="256">
        <f>SUM(I1528:I1534)</f>
        <v>1</v>
      </c>
      <c r="J1535" s="253"/>
      <c r="K1535" s="226"/>
    </row>
    <row r="1536" spans="1:11" ht="10.15" customHeight="1" x14ac:dyDescent="0.2">
      <c r="A1536" s="248"/>
      <c r="B1536" s="248"/>
      <c r="C1536" s="261"/>
      <c r="D1536" s="243"/>
      <c r="E1536" s="281"/>
      <c r="F1536" s="257"/>
      <c r="G1536" s="249"/>
      <c r="H1536" s="258"/>
      <c r="I1536" s="259"/>
      <c r="J1536" s="253"/>
      <c r="K1536" s="226"/>
    </row>
    <row r="1537" spans="1:11" ht="10.15" customHeight="1" x14ac:dyDescent="0.2">
      <c r="A1537" s="243" t="s">
        <v>23</v>
      </c>
      <c r="B1537" s="243" t="s">
        <v>381</v>
      </c>
      <c r="C1537" s="243" t="s">
        <v>236</v>
      </c>
      <c r="D1537" s="244" t="s">
        <v>176</v>
      </c>
      <c r="E1537" s="277" t="s">
        <v>382</v>
      </c>
      <c r="F1537" s="245">
        <v>8562772</v>
      </c>
      <c r="G1537" s="246">
        <v>71090</v>
      </c>
      <c r="H1537" s="242"/>
      <c r="I1537" s="242"/>
      <c r="J1537" s="253"/>
      <c r="K1537" s="226"/>
    </row>
    <row r="1538" spans="1:11" ht="10.15" customHeight="1" x14ac:dyDescent="0.2">
      <c r="A1538" s="248"/>
      <c r="B1538" s="248"/>
      <c r="C1538" s="261"/>
      <c r="D1538" s="244" t="s">
        <v>263</v>
      </c>
      <c r="E1538" s="281"/>
      <c r="F1538" s="257"/>
      <c r="G1538" s="249"/>
      <c r="H1538" s="250">
        <v>7210</v>
      </c>
      <c r="I1538" s="251">
        <f t="shared" ref="I1538:I1543" si="38">ROUND(H1538/$H$1544,4)</f>
        <v>0.1507</v>
      </c>
      <c r="J1538" s="253"/>
      <c r="K1538" s="226"/>
    </row>
    <row r="1539" spans="1:11" ht="10.15" customHeight="1" x14ac:dyDescent="0.2">
      <c r="A1539" s="248"/>
      <c r="B1539" s="248"/>
      <c r="C1539" s="261"/>
      <c r="D1539" s="244" t="s">
        <v>240</v>
      </c>
      <c r="E1539" s="281"/>
      <c r="F1539" s="257"/>
      <c r="G1539" s="249"/>
      <c r="H1539" s="250">
        <v>12840</v>
      </c>
      <c r="I1539" s="251">
        <f t="shared" si="38"/>
        <v>0.26850000000000002</v>
      </c>
      <c r="J1539" s="252" t="s">
        <v>240</v>
      </c>
      <c r="K1539" s="226"/>
    </row>
    <row r="1540" spans="1:11" ht="10.15" customHeight="1" x14ac:dyDescent="0.2">
      <c r="A1540" s="248"/>
      <c r="B1540" s="248"/>
      <c r="C1540" s="261"/>
      <c r="D1540" s="244" t="s">
        <v>242</v>
      </c>
      <c r="E1540" s="281"/>
      <c r="F1540" s="257"/>
      <c r="G1540" s="249"/>
      <c r="H1540" s="250">
        <v>14720</v>
      </c>
      <c r="I1540" s="251">
        <f t="shared" si="38"/>
        <v>0.30780000000000002</v>
      </c>
      <c r="J1540" s="252" t="s">
        <v>242</v>
      </c>
      <c r="K1540" s="226"/>
    </row>
    <row r="1541" spans="1:11" ht="10.15" customHeight="1" x14ac:dyDescent="0.2">
      <c r="A1541" s="248"/>
      <c r="B1541" s="248"/>
      <c r="C1541" s="261"/>
      <c r="D1541" s="254" t="s">
        <v>264</v>
      </c>
      <c r="E1541" s="281"/>
      <c r="F1541" s="257"/>
      <c r="G1541" s="249"/>
      <c r="H1541" s="250">
        <v>9565</v>
      </c>
      <c r="I1541" s="251">
        <f t="shared" si="38"/>
        <v>0.2</v>
      </c>
      <c r="J1541" s="253" t="s">
        <v>264</v>
      </c>
      <c r="K1541" s="226"/>
    </row>
    <row r="1542" spans="1:11" ht="10.15" customHeight="1" x14ac:dyDescent="0.2">
      <c r="A1542" s="248"/>
      <c r="B1542" s="248"/>
      <c r="C1542" s="261"/>
      <c r="D1542" s="244" t="s">
        <v>244</v>
      </c>
      <c r="E1542" s="281"/>
      <c r="F1542" s="257"/>
      <c r="G1542" s="249"/>
      <c r="H1542" s="250">
        <v>275</v>
      </c>
      <c r="I1542" s="251">
        <f t="shared" si="38"/>
        <v>5.7000000000000002E-3</v>
      </c>
      <c r="J1542" s="253"/>
      <c r="K1542" s="226"/>
    </row>
    <row r="1543" spans="1:11" ht="10.15" customHeight="1" x14ac:dyDescent="0.2">
      <c r="A1543" s="248"/>
      <c r="B1543" s="248"/>
      <c r="C1543" s="261"/>
      <c r="D1543" s="254" t="s">
        <v>246</v>
      </c>
      <c r="E1543" s="281"/>
      <c r="F1543" s="257"/>
      <c r="G1543" s="249"/>
      <c r="H1543" s="250">
        <v>3219</v>
      </c>
      <c r="I1543" s="251">
        <f t="shared" si="38"/>
        <v>6.7299999999999999E-2</v>
      </c>
      <c r="J1543" s="253"/>
      <c r="K1543" s="226"/>
    </row>
    <row r="1544" spans="1:11" ht="10.15" customHeight="1" x14ac:dyDescent="0.2">
      <c r="A1544" s="248"/>
      <c r="B1544" s="248"/>
      <c r="C1544" s="261"/>
      <c r="D1544" s="243" t="s">
        <v>33</v>
      </c>
      <c r="E1544" s="281"/>
      <c r="F1544" s="257"/>
      <c r="G1544" s="249"/>
      <c r="H1544" s="255">
        <f>SUM(H1538:H1543)</f>
        <v>47829</v>
      </c>
      <c r="I1544" s="256">
        <f>SUM(I1538:I1543)</f>
        <v>1</v>
      </c>
      <c r="J1544" s="253"/>
      <c r="K1544" s="226"/>
    </row>
    <row r="1545" spans="1:11" ht="10.15" customHeight="1" x14ac:dyDescent="0.2">
      <c r="A1545" s="248"/>
      <c r="B1545" s="248"/>
      <c r="C1545" s="261"/>
      <c r="D1545" s="249"/>
      <c r="E1545" s="281"/>
      <c r="F1545" s="257"/>
      <c r="G1545" s="249"/>
      <c r="H1545" s="242"/>
      <c r="I1545" s="242"/>
      <c r="J1545" s="253"/>
      <c r="K1545" s="226"/>
    </row>
    <row r="1546" spans="1:11" ht="10.15" customHeight="1" x14ac:dyDescent="0.2">
      <c r="A1546" s="243" t="s">
        <v>23</v>
      </c>
      <c r="B1546" s="243">
        <v>636</v>
      </c>
      <c r="C1546" s="243" t="s">
        <v>236</v>
      </c>
      <c r="D1546" s="244" t="s">
        <v>76</v>
      </c>
      <c r="E1546" s="277" t="s">
        <v>313</v>
      </c>
      <c r="F1546" s="245">
        <v>1428371</v>
      </c>
      <c r="G1546" s="246">
        <v>9942</v>
      </c>
      <c r="H1546" s="242"/>
      <c r="I1546" s="251"/>
      <c r="J1546" s="253"/>
      <c r="K1546" s="226"/>
    </row>
    <row r="1547" spans="1:11" ht="10.15" customHeight="1" x14ac:dyDescent="0.2">
      <c r="A1547" s="248"/>
      <c r="B1547" s="248"/>
      <c r="C1547" s="261"/>
      <c r="D1547" s="254" t="s">
        <v>264</v>
      </c>
      <c r="E1547" s="281"/>
      <c r="F1547" s="257"/>
      <c r="G1547" s="249"/>
      <c r="H1547" s="250">
        <v>7981</v>
      </c>
      <c r="I1547" s="251">
        <f>ROUND(H1547/$H$1549,4)</f>
        <v>0.91710000000000003</v>
      </c>
      <c r="J1547" s="260" t="s">
        <v>264</v>
      </c>
      <c r="K1547" s="226"/>
    </row>
    <row r="1548" spans="1:11" ht="10.15" customHeight="1" x14ac:dyDescent="0.2">
      <c r="A1548" s="248"/>
      <c r="B1548" s="248"/>
      <c r="C1548" s="261"/>
      <c r="D1548" s="244" t="s">
        <v>287</v>
      </c>
      <c r="E1548" s="281"/>
      <c r="F1548" s="257"/>
      <c r="G1548" s="249"/>
      <c r="H1548" s="250">
        <v>721</v>
      </c>
      <c r="I1548" s="251">
        <f>ROUND(H1548/$H$1549,4)</f>
        <v>8.2900000000000001E-2</v>
      </c>
      <c r="J1548" s="253"/>
      <c r="K1548" s="226"/>
    </row>
    <row r="1549" spans="1:11" ht="10.15" customHeight="1" x14ac:dyDescent="0.2">
      <c r="A1549" s="248"/>
      <c r="B1549" s="248"/>
      <c r="C1549" s="261"/>
      <c r="D1549" s="243" t="s">
        <v>33</v>
      </c>
      <c r="E1549" s="281"/>
      <c r="F1549" s="257"/>
      <c r="G1549" s="249"/>
      <c r="H1549" s="255">
        <f>SUM(H1547:H1548)</f>
        <v>8702</v>
      </c>
      <c r="I1549" s="256">
        <f>SUM(I1547:I1548)</f>
        <v>1</v>
      </c>
      <c r="J1549" s="253"/>
      <c r="K1549" s="226"/>
    </row>
    <row r="1550" spans="1:11" ht="10.15" customHeight="1" x14ac:dyDescent="0.2">
      <c r="A1550" s="248"/>
      <c r="B1550" s="248"/>
      <c r="C1550" s="261"/>
      <c r="D1550" s="249"/>
      <c r="E1550" s="281"/>
      <c r="F1550" s="257"/>
      <c r="G1550" s="249"/>
      <c r="H1550" s="242"/>
      <c r="I1550" s="251"/>
      <c r="J1550" s="253"/>
      <c r="K1550" s="226"/>
    </row>
    <row r="1551" spans="1:11" ht="10.15" customHeight="1" x14ac:dyDescent="0.2">
      <c r="A1551" s="261" t="s">
        <v>23</v>
      </c>
      <c r="B1551" s="261">
        <v>624</v>
      </c>
      <c r="C1551" s="243" t="s">
        <v>236</v>
      </c>
      <c r="D1551" s="249" t="s">
        <v>77</v>
      </c>
      <c r="E1551" s="336" t="s">
        <v>383</v>
      </c>
      <c r="F1551" s="257">
        <v>1176000</v>
      </c>
      <c r="G1551" s="249">
        <v>9260</v>
      </c>
      <c r="H1551" s="242"/>
      <c r="I1551" s="251"/>
      <c r="J1551" s="253"/>
      <c r="K1551" s="226"/>
    </row>
    <row r="1552" spans="1:11" ht="12.2" customHeight="1" x14ac:dyDescent="0.2">
      <c r="A1552" s="248"/>
      <c r="B1552" s="248"/>
      <c r="C1552" s="261"/>
      <c r="D1552" s="254" t="s">
        <v>264</v>
      </c>
      <c r="E1552" s="281"/>
      <c r="F1552" s="257"/>
      <c r="G1552" s="249"/>
      <c r="H1552" s="265">
        <v>5936</v>
      </c>
      <c r="I1552" s="256">
        <f>ROUND(H1552/$H$1552,4)</f>
        <v>1</v>
      </c>
      <c r="J1552" s="260" t="s">
        <v>264</v>
      </c>
      <c r="K1552" s="226"/>
    </row>
    <row r="1553" spans="1:11" ht="12.2" customHeight="1" x14ac:dyDescent="0.2">
      <c r="A1553" s="248"/>
      <c r="B1553" s="248"/>
      <c r="C1553" s="261"/>
      <c r="D1553" s="249"/>
      <c r="E1553" s="281"/>
      <c r="F1553" s="257"/>
      <c r="G1553" s="249"/>
      <c r="H1553" s="242"/>
      <c r="I1553" s="251"/>
      <c r="J1553" s="253"/>
      <c r="K1553" s="226"/>
    </row>
    <row r="1554" spans="1:11" ht="10.15" customHeight="1" x14ac:dyDescent="0.2">
      <c r="A1554" s="261" t="s">
        <v>23</v>
      </c>
      <c r="B1554" s="264">
        <v>679</v>
      </c>
      <c r="C1554" s="243" t="s">
        <v>291</v>
      </c>
      <c r="D1554" s="249" t="s">
        <v>117</v>
      </c>
      <c r="E1554" s="336">
        <v>35217</v>
      </c>
      <c r="F1554" s="257">
        <v>12883646</v>
      </c>
      <c r="G1554" s="249">
        <v>97056</v>
      </c>
      <c r="H1554" s="242"/>
      <c r="I1554" s="251"/>
      <c r="J1554" s="242"/>
      <c r="K1554" s="226"/>
    </row>
    <row r="1555" spans="1:11" ht="10.15" customHeight="1" x14ac:dyDescent="0.2">
      <c r="A1555" s="249"/>
      <c r="B1555" s="249"/>
      <c r="C1555" s="284"/>
      <c r="D1555" s="244" t="s">
        <v>263</v>
      </c>
      <c r="E1555" s="281"/>
      <c r="F1555" s="257"/>
      <c r="G1555" s="249"/>
      <c r="H1555" s="242">
        <v>6498</v>
      </c>
      <c r="I1555" s="251">
        <f>H1555/H1561</f>
        <v>0.12889276788193757</v>
      </c>
      <c r="J1555" s="252"/>
      <c r="K1555" s="226"/>
    </row>
    <row r="1556" spans="1:11" ht="10.15" customHeight="1" x14ac:dyDescent="0.2">
      <c r="A1556" s="249"/>
      <c r="B1556" s="249"/>
      <c r="C1556" s="284"/>
      <c r="D1556" s="244" t="s">
        <v>292</v>
      </c>
      <c r="E1556" s="281"/>
      <c r="F1556" s="257"/>
      <c r="G1556" s="249"/>
      <c r="H1556" s="242">
        <v>32380</v>
      </c>
      <c r="I1556" s="251">
        <f>H1556/H1561</f>
        <v>0.64228190581981193</v>
      </c>
      <c r="J1556" s="252" t="s">
        <v>240</v>
      </c>
      <c r="K1556" s="226"/>
    </row>
    <row r="1557" spans="1:11" ht="10.15" customHeight="1" x14ac:dyDescent="0.2">
      <c r="A1557" s="249"/>
      <c r="B1557" s="249"/>
      <c r="C1557" s="284"/>
      <c r="D1557" s="244" t="s">
        <v>293</v>
      </c>
      <c r="E1557" s="281"/>
      <c r="F1557" s="257"/>
      <c r="G1557" s="249"/>
      <c r="H1557" s="242">
        <v>2149</v>
      </c>
      <c r="I1557" s="251">
        <f>H1557/H1561</f>
        <v>4.26270480422105E-2</v>
      </c>
      <c r="J1557" s="252"/>
      <c r="K1557" s="226"/>
    </row>
    <row r="1558" spans="1:11" ht="10.15" customHeight="1" x14ac:dyDescent="0.2">
      <c r="A1558" s="249"/>
      <c r="B1558" s="249"/>
      <c r="C1558" s="284"/>
      <c r="D1558" s="244" t="s">
        <v>295</v>
      </c>
      <c r="E1558" s="281"/>
      <c r="F1558" s="257"/>
      <c r="G1558" s="249"/>
      <c r="H1558" s="242">
        <v>502</v>
      </c>
      <c r="I1558" s="251">
        <f>H1558/H1561</f>
        <v>9.957551473796962E-3</v>
      </c>
      <c r="J1558" s="252"/>
      <c r="K1558" s="226"/>
    </row>
    <row r="1559" spans="1:11" ht="12.2" customHeight="1" x14ac:dyDescent="0.2">
      <c r="A1559" s="249"/>
      <c r="B1559" s="249"/>
      <c r="C1559" s="284"/>
      <c r="D1559" s="244" t="s">
        <v>290</v>
      </c>
      <c r="E1559" s="281"/>
      <c r="F1559" s="257"/>
      <c r="G1559" s="249"/>
      <c r="H1559" s="242">
        <v>7913</v>
      </c>
      <c r="I1559" s="251">
        <f>H1559/H1561</f>
        <v>0.15696036815170389</v>
      </c>
      <c r="J1559" s="252"/>
      <c r="K1559" s="226"/>
    </row>
    <row r="1560" spans="1:11" ht="10.15" customHeight="1" x14ac:dyDescent="0.2">
      <c r="A1560" s="249"/>
      <c r="B1560" s="249"/>
      <c r="C1560" s="284"/>
      <c r="D1560" s="244" t="s">
        <v>294</v>
      </c>
      <c r="E1560" s="281"/>
      <c r="F1560" s="257"/>
      <c r="G1560" s="249"/>
      <c r="H1560" s="242">
        <v>972</v>
      </c>
      <c r="I1560" s="251">
        <f>H1560/H1561</f>
        <v>1.9280358630539136E-2</v>
      </c>
      <c r="J1560" s="252"/>
      <c r="K1560" s="226"/>
    </row>
    <row r="1561" spans="1:11" ht="10.15" customHeight="1" x14ac:dyDescent="0.2">
      <c r="A1561" s="249"/>
      <c r="B1561" s="249"/>
      <c r="C1561" s="284"/>
      <c r="D1561" s="243" t="s">
        <v>33</v>
      </c>
      <c r="E1561" s="281"/>
      <c r="F1561" s="257"/>
      <c r="G1561" s="249"/>
      <c r="H1561" s="265">
        <f>SUM(H1555:H1560)</f>
        <v>50414</v>
      </c>
      <c r="I1561" s="256">
        <f>SUM(I1555:I1560)</f>
        <v>1</v>
      </c>
      <c r="J1561" s="242"/>
      <c r="K1561" s="226"/>
    </row>
    <row r="1562" spans="1:11" ht="10.15" customHeight="1" x14ac:dyDescent="0.2">
      <c r="A1562" s="249"/>
      <c r="B1562" s="249"/>
      <c r="C1562" s="284"/>
      <c r="D1562" s="243"/>
      <c r="E1562" s="281"/>
      <c r="F1562" s="257"/>
      <c r="G1562" s="249"/>
      <c r="H1562" s="249"/>
      <c r="I1562" s="249"/>
      <c r="J1562" s="242"/>
      <c r="K1562" s="226"/>
    </row>
    <row r="1563" spans="1:11" ht="10.15" customHeight="1" x14ac:dyDescent="0.2">
      <c r="A1563" s="261" t="s">
        <v>23</v>
      </c>
      <c r="B1563" s="264">
        <v>642</v>
      </c>
      <c r="C1563" s="243" t="s">
        <v>291</v>
      </c>
      <c r="D1563" s="249" t="s">
        <v>152</v>
      </c>
      <c r="E1563" s="336">
        <v>36220</v>
      </c>
      <c r="F1563" s="257">
        <v>914257</v>
      </c>
      <c r="G1563" s="249">
        <v>8186</v>
      </c>
      <c r="H1563" s="242"/>
      <c r="I1563" s="251"/>
      <c r="J1563" s="242"/>
      <c r="K1563" s="226"/>
    </row>
    <row r="1564" spans="1:11" ht="10.15" customHeight="1" x14ac:dyDescent="0.2">
      <c r="A1564" s="249"/>
      <c r="B1564" s="249"/>
      <c r="C1564" s="284"/>
      <c r="D1564" s="244" t="s">
        <v>263</v>
      </c>
      <c r="E1564" s="281"/>
      <c r="F1564" s="257"/>
      <c r="G1564" s="249"/>
      <c r="H1564" s="242">
        <v>2281</v>
      </c>
      <c r="I1564" s="251">
        <f>H1564/H1567</f>
        <v>0.45492620662145994</v>
      </c>
      <c r="J1564" s="252" t="s">
        <v>263</v>
      </c>
      <c r="K1564" s="226"/>
    </row>
    <row r="1565" spans="1:11" ht="10.15" customHeight="1" x14ac:dyDescent="0.2">
      <c r="A1565" s="249"/>
      <c r="B1565" s="249"/>
      <c r="C1565" s="284"/>
      <c r="D1565" s="244" t="s">
        <v>290</v>
      </c>
      <c r="E1565" s="281"/>
      <c r="F1565" s="257"/>
      <c r="G1565" s="249"/>
      <c r="H1565" s="242">
        <v>2156</v>
      </c>
      <c r="I1565" s="251">
        <f>H1565/H1567</f>
        <v>0.42999601116872754</v>
      </c>
      <c r="J1565" s="252" t="s">
        <v>290</v>
      </c>
      <c r="K1565" s="226"/>
    </row>
    <row r="1566" spans="1:11" ht="10.15" customHeight="1" x14ac:dyDescent="0.2">
      <c r="A1566" s="249"/>
      <c r="B1566" s="249"/>
      <c r="C1566" s="284"/>
      <c r="D1566" s="244" t="s">
        <v>287</v>
      </c>
      <c r="E1566" s="281"/>
      <c r="F1566" s="257"/>
      <c r="G1566" s="249"/>
      <c r="H1566" s="242">
        <v>577</v>
      </c>
      <c r="I1566" s="251">
        <f>H1566/H1567</f>
        <v>0.11507778220981252</v>
      </c>
      <c r="J1566" s="252"/>
      <c r="K1566" s="226"/>
    </row>
    <row r="1567" spans="1:11" ht="10.15" customHeight="1" x14ac:dyDescent="0.2">
      <c r="A1567" s="249"/>
      <c r="B1567" s="249"/>
      <c r="C1567" s="284"/>
      <c r="D1567" s="243" t="s">
        <v>33</v>
      </c>
      <c r="E1567" s="281"/>
      <c r="F1567" s="257"/>
      <c r="G1567" s="249"/>
      <c r="H1567" s="265">
        <f>SUM(H1564:H1566)</f>
        <v>5014</v>
      </c>
      <c r="I1567" s="256">
        <f>SUM(I1564:I1566)</f>
        <v>1</v>
      </c>
      <c r="J1567" s="242"/>
      <c r="K1567" s="226"/>
    </row>
    <row r="1568" spans="1:11" ht="10.15" customHeight="1" x14ac:dyDescent="0.2">
      <c r="A1568" s="249"/>
      <c r="B1568" s="249"/>
      <c r="C1568" s="284"/>
      <c r="D1568" s="243"/>
      <c r="E1568" s="281"/>
      <c r="F1568" s="257"/>
      <c r="G1568" s="249"/>
      <c r="H1568" s="249"/>
      <c r="I1568" s="262"/>
      <c r="J1568" s="242"/>
      <c r="K1568" s="226"/>
    </row>
    <row r="1569" spans="1:11" ht="10.15" customHeight="1" x14ac:dyDescent="0.2">
      <c r="A1569" s="261" t="s">
        <v>23</v>
      </c>
      <c r="B1569" s="264">
        <v>635</v>
      </c>
      <c r="C1569" s="243" t="s">
        <v>291</v>
      </c>
      <c r="D1569" s="249" t="s">
        <v>422</v>
      </c>
      <c r="E1569" s="336">
        <v>36770</v>
      </c>
      <c r="F1569" s="257">
        <v>15225565</v>
      </c>
      <c r="G1569" s="249">
        <v>92500</v>
      </c>
      <c r="H1569" s="242"/>
      <c r="I1569" s="251"/>
      <c r="J1569" s="242"/>
      <c r="K1569" s="226"/>
    </row>
    <row r="1570" spans="1:11" ht="10.15" customHeight="1" x14ac:dyDescent="0.2">
      <c r="A1570" s="249"/>
      <c r="B1570" s="249"/>
      <c r="C1570" s="284"/>
      <c r="D1570" s="244" t="s">
        <v>263</v>
      </c>
      <c r="E1570" s="281"/>
      <c r="F1570" s="257"/>
      <c r="G1570" s="249"/>
      <c r="H1570" s="242">
        <v>6331</v>
      </c>
      <c r="I1570" s="251">
        <f>H1570/H1575</f>
        <v>0.10269261962692619</v>
      </c>
      <c r="J1570" s="252"/>
      <c r="K1570" s="226"/>
    </row>
    <row r="1571" spans="1:11" ht="10.15" customHeight="1" x14ac:dyDescent="0.2">
      <c r="A1571" s="249"/>
      <c r="B1571" s="249"/>
      <c r="C1571" s="284"/>
      <c r="D1571" s="244" t="s">
        <v>292</v>
      </c>
      <c r="E1571" s="281"/>
      <c r="F1571" s="257"/>
      <c r="G1571" s="249"/>
      <c r="H1571" s="242">
        <v>12900</v>
      </c>
      <c r="I1571" s="251">
        <f>H1571/H1575</f>
        <v>0.20924574209245742</v>
      </c>
      <c r="J1571" s="252"/>
      <c r="K1571" s="226"/>
    </row>
    <row r="1572" spans="1:11" ht="10.15" customHeight="1" x14ac:dyDescent="0.2">
      <c r="A1572" s="249"/>
      <c r="B1572" s="249"/>
      <c r="C1572" s="284"/>
      <c r="D1572" s="244" t="s">
        <v>293</v>
      </c>
      <c r="E1572" s="281"/>
      <c r="F1572" s="257"/>
      <c r="G1572" s="249"/>
      <c r="H1572" s="242">
        <v>30000</v>
      </c>
      <c r="I1572" s="251">
        <f>H1572/H1575</f>
        <v>0.48661800486618007</v>
      </c>
      <c r="J1572" s="252" t="s">
        <v>293</v>
      </c>
      <c r="K1572" s="226"/>
    </row>
    <row r="1573" spans="1:11" ht="9" customHeight="1" x14ac:dyDescent="0.2">
      <c r="A1573" s="249"/>
      <c r="B1573" s="249"/>
      <c r="C1573" s="284"/>
      <c r="D1573" s="244" t="s">
        <v>290</v>
      </c>
      <c r="E1573" s="281"/>
      <c r="F1573" s="257"/>
      <c r="G1573" s="249"/>
      <c r="H1573" s="242">
        <v>11715</v>
      </c>
      <c r="I1573" s="251">
        <f>H1573/H1575</f>
        <v>0.19002433090024332</v>
      </c>
      <c r="J1573" s="252"/>
      <c r="K1573" s="226"/>
    </row>
    <row r="1574" spans="1:11" ht="9" customHeight="1" x14ac:dyDescent="0.2">
      <c r="A1574" s="249"/>
      <c r="B1574" s="249"/>
      <c r="C1574" s="284"/>
      <c r="D1574" s="244" t="s">
        <v>287</v>
      </c>
      <c r="E1574" s="281"/>
      <c r="F1574" s="257"/>
      <c r="G1574" s="249"/>
      <c r="H1574" s="242">
        <v>704</v>
      </c>
      <c r="I1574" s="251">
        <f>H1574/H1575</f>
        <v>1.1419302514193026E-2</v>
      </c>
      <c r="J1574" s="252"/>
      <c r="K1574" s="226"/>
    </row>
    <row r="1575" spans="1:11" ht="9" customHeight="1" x14ac:dyDescent="0.2">
      <c r="A1575" s="249"/>
      <c r="B1575" s="249"/>
      <c r="C1575" s="284"/>
      <c r="D1575" s="243" t="s">
        <v>33</v>
      </c>
      <c r="E1575" s="281"/>
      <c r="F1575" s="257"/>
      <c r="G1575" s="249"/>
      <c r="H1575" s="265">
        <f>SUM(H1570:H1574)</f>
        <v>61650</v>
      </c>
      <c r="I1575" s="256">
        <f>SUM(I1570:I1574)</f>
        <v>1</v>
      </c>
      <c r="J1575" s="242"/>
      <c r="K1575" s="226"/>
    </row>
    <row r="1576" spans="1:11" ht="9" customHeight="1" x14ac:dyDescent="0.2">
      <c r="A1576" s="249"/>
      <c r="B1576" s="249"/>
      <c r="C1576" s="284"/>
      <c r="D1576" s="243"/>
      <c r="E1576" s="281"/>
      <c r="F1576" s="257"/>
      <c r="G1576" s="249"/>
      <c r="H1576" s="249"/>
      <c r="I1576" s="262"/>
      <c r="J1576" s="242"/>
      <c r="K1576" s="226"/>
    </row>
    <row r="1577" spans="1:11" ht="9" customHeight="1" x14ac:dyDescent="0.2">
      <c r="A1577" s="249"/>
      <c r="B1577" s="249"/>
      <c r="C1577" s="284"/>
      <c r="D1577" s="243"/>
      <c r="E1577" s="281"/>
      <c r="F1577" s="257"/>
      <c r="G1577" s="249"/>
      <c r="H1577" s="249"/>
      <c r="I1577" s="262"/>
      <c r="J1577" s="242"/>
      <c r="K1577" s="226"/>
    </row>
    <row r="1578" spans="1:11" ht="9" customHeight="1" x14ac:dyDescent="0.2">
      <c r="A1578" s="261" t="s">
        <v>23</v>
      </c>
      <c r="B1578" s="264">
        <v>650</v>
      </c>
      <c r="C1578" s="243" t="s">
        <v>291</v>
      </c>
      <c r="D1578" s="249" t="s">
        <v>423</v>
      </c>
      <c r="E1578" s="336">
        <v>36557</v>
      </c>
      <c r="F1578" s="257">
        <v>6526325</v>
      </c>
      <c r="G1578" s="249">
        <v>59088</v>
      </c>
      <c r="H1578" s="242"/>
      <c r="I1578" s="251"/>
      <c r="J1578" s="242"/>
      <c r="K1578" s="226"/>
    </row>
    <row r="1579" spans="1:11" ht="9" customHeight="1" x14ac:dyDescent="0.2">
      <c r="A1579" s="249"/>
      <c r="B1579" s="249"/>
      <c r="C1579" s="284"/>
      <c r="D1579" s="244" t="s">
        <v>263</v>
      </c>
      <c r="E1579" s="281"/>
      <c r="F1579" s="257"/>
      <c r="G1579" s="249"/>
      <c r="H1579" s="242">
        <v>4068</v>
      </c>
      <c r="I1579" s="251">
        <f>H1579/H1585</f>
        <v>0.10619469026548672</v>
      </c>
      <c r="J1579" s="252"/>
      <c r="K1579" s="226"/>
    </row>
    <row r="1580" spans="1:11" ht="9" customHeight="1" x14ac:dyDescent="0.2">
      <c r="A1580" s="249"/>
      <c r="B1580" s="249"/>
      <c r="C1580" s="284"/>
      <c r="D1580" s="244" t="s">
        <v>264</v>
      </c>
      <c r="E1580" s="281"/>
      <c r="F1580" s="257"/>
      <c r="G1580" s="249"/>
      <c r="H1580" s="242">
        <v>1958</v>
      </c>
      <c r="I1580" s="251">
        <f>H1580/H1585</f>
        <v>5.1113373534863081E-2</v>
      </c>
      <c r="J1580" s="252"/>
      <c r="K1580" s="226"/>
    </row>
    <row r="1581" spans="1:11" ht="9" customHeight="1" x14ac:dyDescent="0.2">
      <c r="A1581" s="249"/>
      <c r="B1581" s="249"/>
      <c r="C1581" s="284"/>
      <c r="D1581" s="244" t="s">
        <v>316</v>
      </c>
      <c r="E1581" s="281"/>
      <c r="F1581" s="257"/>
      <c r="G1581" s="249"/>
      <c r="H1581" s="242">
        <v>16872</v>
      </c>
      <c r="I1581" s="251">
        <f>H1581/H1585</f>
        <v>0.44044169472942279</v>
      </c>
      <c r="J1581" s="252" t="s">
        <v>316</v>
      </c>
      <c r="K1581" s="226"/>
    </row>
    <row r="1582" spans="1:11" ht="9" customHeight="1" x14ac:dyDescent="0.2">
      <c r="A1582" s="249"/>
      <c r="B1582" s="249"/>
      <c r="C1582" s="284"/>
      <c r="D1582" s="244" t="s">
        <v>290</v>
      </c>
      <c r="E1582" s="281"/>
      <c r="F1582" s="257"/>
      <c r="G1582" s="249"/>
      <c r="H1582" s="242">
        <v>10496</v>
      </c>
      <c r="I1582" s="251">
        <f>H1582/H1585</f>
        <v>0.2739969196230454</v>
      </c>
      <c r="J1582" s="252"/>
      <c r="K1582" s="226"/>
    </row>
    <row r="1583" spans="1:11" ht="9" customHeight="1" x14ac:dyDescent="0.2">
      <c r="A1583" s="249"/>
      <c r="B1583" s="249"/>
      <c r="C1583" s="284"/>
      <c r="D1583" s="244" t="s">
        <v>294</v>
      </c>
      <c r="E1583" s="281"/>
      <c r="F1583" s="257"/>
      <c r="G1583" s="249"/>
      <c r="H1583" s="242">
        <v>200</v>
      </c>
      <c r="I1583" s="251">
        <f>H1583/H1585</f>
        <v>5.220977889158639E-3</v>
      </c>
      <c r="J1583" s="252"/>
      <c r="K1583" s="226"/>
    </row>
    <row r="1584" spans="1:11" ht="9" customHeight="1" x14ac:dyDescent="0.2">
      <c r="A1584" s="249"/>
      <c r="B1584" s="249"/>
      <c r="C1584" s="284"/>
      <c r="D1584" s="244" t="s">
        <v>287</v>
      </c>
      <c r="E1584" s="281"/>
      <c r="F1584" s="257"/>
      <c r="G1584" s="249"/>
      <c r="H1584" s="242">
        <v>4713</v>
      </c>
      <c r="I1584" s="251">
        <f>H1584/H1585</f>
        <v>0.12303234395802334</v>
      </c>
      <c r="J1584" s="252"/>
      <c r="K1584" s="226"/>
    </row>
    <row r="1585" spans="1:11" ht="9" customHeight="1" x14ac:dyDescent="0.2">
      <c r="A1585" s="249"/>
      <c r="B1585" s="249"/>
      <c r="C1585" s="284"/>
      <c r="D1585" s="243" t="s">
        <v>33</v>
      </c>
      <c r="E1585" s="281"/>
      <c r="F1585" s="257"/>
      <c r="G1585" s="249"/>
      <c r="H1585" s="265">
        <f>SUM(H1579:H1584)</f>
        <v>38307</v>
      </c>
      <c r="I1585" s="256">
        <f>SUM(I1579:I1584)</f>
        <v>1</v>
      </c>
      <c r="J1585" s="242"/>
      <c r="K1585" s="226"/>
    </row>
    <row r="1586" spans="1:11" ht="9" customHeight="1" x14ac:dyDescent="0.2">
      <c r="A1586" s="249"/>
      <c r="B1586" s="249"/>
      <c r="C1586" s="284"/>
      <c r="D1586" s="243"/>
      <c r="E1586" s="281"/>
      <c r="F1586" s="257"/>
      <c r="G1586" s="249"/>
      <c r="H1586" s="249"/>
      <c r="I1586" s="249"/>
      <c r="J1586" s="242"/>
      <c r="K1586" s="226"/>
    </row>
    <row r="1587" spans="1:11" ht="9" customHeight="1" x14ac:dyDescent="0.2">
      <c r="A1587" s="261" t="s">
        <v>23</v>
      </c>
      <c r="B1587" s="264" t="s">
        <v>456</v>
      </c>
      <c r="C1587" s="243" t="s">
        <v>291</v>
      </c>
      <c r="D1587" s="249" t="s">
        <v>457</v>
      </c>
      <c r="E1587" s="336">
        <v>37088</v>
      </c>
      <c r="F1587" s="257">
        <v>2828652</v>
      </c>
      <c r="G1587" s="249">
        <v>41971</v>
      </c>
      <c r="H1587" s="242"/>
      <c r="I1587" s="251"/>
      <c r="J1587" s="242"/>
      <c r="K1587" s="226"/>
    </row>
    <row r="1588" spans="1:11" ht="9" customHeight="1" x14ac:dyDescent="0.2">
      <c r="A1588" s="249"/>
      <c r="B1588" s="249"/>
      <c r="C1588" s="284"/>
      <c r="D1588" s="244" t="s">
        <v>290</v>
      </c>
      <c r="E1588" s="281"/>
      <c r="F1588" s="257"/>
      <c r="G1588" s="249"/>
      <c r="H1588" s="242">
        <v>10441</v>
      </c>
      <c r="I1588" s="251">
        <f>H1588/H1591</f>
        <v>0.26163985365609183</v>
      </c>
      <c r="J1588" s="252"/>
      <c r="K1588" s="226"/>
    </row>
    <row r="1589" spans="1:11" ht="9" customHeight="1" x14ac:dyDescent="0.2">
      <c r="A1589" s="249"/>
      <c r="B1589" s="249"/>
      <c r="C1589" s="284"/>
      <c r="D1589" s="244" t="s">
        <v>294</v>
      </c>
      <c r="E1589" s="281"/>
      <c r="F1589" s="257"/>
      <c r="G1589" s="249"/>
      <c r="H1589" s="242">
        <v>16626</v>
      </c>
      <c r="I1589" s="251">
        <f>H1589/H1591</f>
        <v>0.41662907833408508</v>
      </c>
      <c r="J1589" s="252" t="s">
        <v>294</v>
      </c>
      <c r="K1589" s="226"/>
    </row>
    <row r="1590" spans="1:11" ht="9" customHeight="1" x14ac:dyDescent="0.2">
      <c r="A1590" s="249"/>
      <c r="B1590" s="249"/>
      <c r="C1590" s="284"/>
      <c r="D1590" s="244" t="s">
        <v>287</v>
      </c>
      <c r="E1590" s="281"/>
      <c r="F1590" s="257"/>
      <c r="G1590" s="249"/>
      <c r="H1590" s="242">
        <v>12839</v>
      </c>
      <c r="I1590" s="251">
        <f>H1590/H1591</f>
        <v>0.3217310680098231</v>
      </c>
      <c r="J1590" s="252"/>
      <c r="K1590" s="226"/>
    </row>
    <row r="1591" spans="1:11" ht="9" customHeight="1" x14ac:dyDescent="0.2">
      <c r="A1591" s="249"/>
      <c r="B1591" s="249"/>
      <c r="C1591" s="284"/>
      <c r="D1591" s="243" t="s">
        <v>33</v>
      </c>
      <c r="E1591" s="281"/>
      <c r="F1591" s="257"/>
      <c r="G1591" s="249"/>
      <c r="H1591" s="265">
        <f>SUM(H1588:H1590)</f>
        <v>39906</v>
      </c>
      <c r="I1591" s="256">
        <f>SUM(I1588:I1590)</f>
        <v>1</v>
      </c>
      <c r="J1591" s="242"/>
      <c r="K1591" s="226"/>
    </row>
    <row r="1592" spans="1:11" ht="9" customHeight="1" x14ac:dyDescent="0.2">
      <c r="A1592" s="249"/>
      <c r="B1592" s="249"/>
      <c r="C1592" s="284"/>
      <c r="D1592" s="243"/>
      <c r="E1592" s="281"/>
      <c r="F1592" s="257"/>
      <c r="G1592" s="249"/>
      <c r="H1592" s="249"/>
      <c r="I1592" s="249"/>
      <c r="J1592" s="242"/>
      <c r="K1592" s="226"/>
    </row>
    <row r="1593" spans="1:11" ht="9" customHeight="1" x14ac:dyDescent="0.2">
      <c r="A1593" s="261" t="s">
        <v>23</v>
      </c>
      <c r="B1593" s="264">
        <v>638</v>
      </c>
      <c r="C1593" s="243" t="s">
        <v>291</v>
      </c>
      <c r="D1593" s="249" t="s">
        <v>458</v>
      </c>
      <c r="E1593" s="336">
        <v>36923</v>
      </c>
      <c r="F1593" s="257">
        <v>8035608</v>
      </c>
      <c r="G1593" s="249">
        <v>66930</v>
      </c>
      <c r="H1593" s="242"/>
      <c r="I1593" s="251"/>
      <c r="J1593" s="242"/>
      <c r="K1593" s="226"/>
    </row>
    <row r="1594" spans="1:11" ht="9" customHeight="1" x14ac:dyDescent="0.2">
      <c r="A1594" s="249"/>
      <c r="B1594" s="249"/>
      <c r="C1594" s="284"/>
      <c r="D1594" s="244" t="s">
        <v>263</v>
      </c>
      <c r="E1594" s="281"/>
      <c r="F1594" s="257"/>
      <c r="G1594" s="249"/>
      <c r="H1594" s="242">
        <v>3522</v>
      </c>
      <c r="I1594" s="251">
        <f>H1594/H1599</f>
        <v>8.8773504058073299E-2</v>
      </c>
      <c r="J1594" s="252"/>
      <c r="K1594" s="226"/>
    </row>
    <row r="1595" spans="1:11" ht="9" customHeight="1" x14ac:dyDescent="0.2">
      <c r="A1595" s="249"/>
      <c r="B1595" s="249"/>
      <c r="C1595" s="284"/>
      <c r="D1595" s="244" t="s">
        <v>292</v>
      </c>
      <c r="E1595" s="281"/>
      <c r="F1595" s="257"/>
      <c r="G1595" s="249"/>
      <c r="H1595" s="242">
        <v>7742</v>
      </c>
      <c r="I1595" s="251">
        <f>H1595/H1599</f>
        <v>0.19514039421283461</v>
      </c>
      <c r="J1595" s="252"/>
      <c r="K1595" s="226"/>
    </row>
    <row r="1596" spans="1:11" ht="9" customHeight="1" x14ac:dyDescent="0.2">
      <c r="A1596" s="249"/>
      <c r="B1596" s="249"/>
      <c r="C1596" s="284"/>
      <c r="D1596" s="244" t="s">
        <v>293</v>
      </c>
      <c r="E1596" s="281"/>
      <c r="F1596" s="257"/>
      <c r="G1596" s="249"/>
      <c r="H1596" s="242">
        <v>15563</v>
      </c>
      <c r="I1596" s="251">
        <f>H1596/H1599</f>
        <v>0.39227201693804509</v>
      </c>
      <c r="J1596" s="252" t="s">
        <v>293</v>
      </c>
      <c r="K1596" s="226"/>
    </row>
    <row r="1597" spans="1:11" ht="9" customHeight="1" x14ac:dyDescent="0.2">
      <c r="A1597" s="249"/>
      <c r="B1597" s="249"/>
      <c r="C1597" s="284"/>
      <c r="D1597" s="244" t="s">
        <v>290</v>
      </c>
      <c r="E1597" s="281"/>
      <c r="F1597" s="257"/>
      <c r="G1597" s="249"/>
      <c r="H1597" s="242">
        <v>8710</v>
      </c>
      <c r="I1597" s="251">
        <f>H1597/H1599</f>
        <v>0.21953924484549076</v>
      </c>
      <c r="J1597" s="252"/>
      <c r="K1597" s="226"/>
    </row>
    <row r="1598" spans="1:11" ht="9" customHeight="1" x14ac:dyDescent="0.2">
      <c r="A1598" s="249"/>
      <c r="B1598" s="249"/>
      <c r="C1598" s="284"/>
      <c r="D1598" s="244" t="s">
        <v>294</v>
      </c>
      <c r="E1598" s="281"/>
      <c r="F1598" s="257"/>
      <c r="G1598" s="249"/>
      <c r="H1598" s="242">
        <v>4137</v>
      </c>
      <c r="I1598" s="251">
        <f>H1598/H1599</f>
        <v>0.10427483994555628</v>
      </c>
      <c r="J1598" s="252"/>
      <c r="K1598" s="226"/>
    </row>
    <row r="1599" spans="1:11" ht="9" customHeight="1" x14ac:dyDescent="0.2">
      <c r="A1599" s="249"/>
      <c r="B1599" s="249"/>
      <c r="C1599" s="284"/>
      <c r="D1599" s="243" t="s">
        <v>33</v>
      </c>
      <c r="E1599" s="281"/>
      <c r="F1599" s="257"/>
      <c r="G1599" s="249"/>
      <c r="H1599" s="265">
        <f>SUM(H1594:H1598)</f>
        <v>39674</v>
      </c>
      <c r="I1599" s="256">
        <f>SUM(I1594:I1598)</f>
        <v>1</v>
      </c>
      <c r="J1599" s="242"/>
      <c r="K1599" s="226"/>
    </row>
    <row r="1600" spans="1:11" ht="9" customHeight="1" x14ac:dyDescent="0.2">
      <c r="A1600" s="249"/>
      <c r="B1600" s="249"/>
      <c r="C1600" s="284"/>
      <c r="D1600" s="243"/>
      <c r="E1600" s="281"/>
      <c r="F1600" s="257"/>
      <c r="G1600" s="249"/>
      <c r="H1600" s="249"/>
      <c r="I1600" s="262"/>
      <c r="J1600" s="249"/>
      <c r="K1600" s="226"/>
    </row>
    <row r="1601" spans="1:68" ht="9" customHeight="1" x14ac:dyDescent="0.2">
      <c r="A1601" s="261" t="s">
        <v>23</v>
      </c>
      <c r="B1601" s="264">
        <v>691</v>
      </c>
      <c r="C1601" s="243" t="s">
        <v>291</v>
      </c>
      <c r="D1601" s="249" t="s">
        <v>459</v>
      </c>
      <c r="E1601" s="336">
        <v>37285</v>
      </c>
      <c r="F1601" s="257">
        <v>1597756</v>
      </c>
      <c r="G1601" s="249">
        <v>10030</v>
      </c>
      <c r="H1601" s="242"/>
      <c r="I1601" s="251"/>
      <c r="J1601" s="242"/>
      <c r="K1601" s="226"/>
    </row>
    <row r="1602" spans="1:68" ht="9" customHeight="1" x14ac:dyDescent="0.2">
      <c r="A1602" s="249"/>
      <c r="B1602" s="249"/>
      <c r="C1602" s="284"/>
      <c r="D1602" s="244" t="s">
        <v>263</v>
      </c>
      <c r="E1602" s="281"/>
      <c r="F1602" s="257"/>
      <c r="G1602" s="249"/>
      <c r="H1602" s="242">
        <v>1420</v>
      </c>
      <c r="I1602" s="251">
        <f t="shared" ref="I1602:I1607" si="39">H1602/H$1608</f>
        <v>0.15958642391548664</v>
      </c>
      <c r="J1602" s="252"/>
      <c r="K1602" s="226"/>
    </row>
    <row r="1603" spans="1:68" ht="9" customHeight="1" x14ac:dyDescent="0.2">
      <c r="A1603" s="249"/>
      <c r="B1603" s="249"/>
      <c r="C1603" s="284"/>
      <c r="D1603" s="244" t="s">
        <v>292</v>
      </c>
      <c r="E1603" s="281"/>
      <c r="F1603" s="257"/>
      <c r="G1603" s="249"/>
      <c r="H1603" s="242">
        <v>600</v>
      </c>
      <c r="I1603" s="251">
        <f t="shared" si="39"/>
        <v>6.7430883344571813E-2</v>
      </c>
      <c r="J1603" s="252"/>
      <c r="K1603" s="226"/>
    </row>
    <row r="1604" spans="1:68" ht="9" customHeight="1" x14ac:dyDescent="0.2">
      <c r="A1604" s="249"/>
      <c r="B1604" s="249"/>
      <c r="C1604" s="284"/>
      <c r="D1604" s="244" t="s">
        <v>264</v>
      </c>
      <c r="E1604" s="281"/>
      <c r="F1604" s="257"/>
      <c r="G1604" s="249"/>
      <c r="H1604" s="242">
        <v>3542</v>
      </c>
      <c r="I1604" s="251">
        <f t="shared" si="39"/>
        <v>0.39806698134412227</v>
      </c>
      <c r="J1604" s="252" t="s">
        <v>264</v>
      </c>
      <c r="K1604" s="226"/>
    </row>
    <row r="1605" spans="1:68" ht="9" customHeight="1" x14ac:dyDescent="0.2">
      <c r="A1605" s="249"/>
      <c r="B1605" s="249"/>
      <c r="C1605" s="284"/>
      <c r="D1605" s="244" t="s">
        <v>290</v>
      </c>
      <c r="E1605" s="281"/>
      <c r="F1605" s="257"/>
      <c r="G1605" s="249"/>
      <c r="H1605" s="242">
        <v>1945</v>
      </c>
      <c r="I1605" s="251">
        <f t="shared" si="39"/>
        <v>0.21858844684198697</v>
      </c>
      <c r="J1605" s="252"/>
      <c r="K1605" s="226"/>
    </row>
    <row r="1606" spans="1:68" ht="9" customHeight="1" x14ac:dyDescent="0.2">
      <c r="A1606" s="249"/>
      <c r="B1606" s="249"/>
      <c r="C1606" s="284"/>
      <c r="D1606" s="244" t="s">
        <v>294</v>
      </c>
      <c r="E1606" s="281"/>
      <c r="F1606" s="257"/>
      <c r="G1606" s="249"/>
      <c r="H1606" s="242">
        <v>497</v>
      </c>
      <c r="I1606" s="251">
        <f t="shared" si="39"/>
        <v>5.5855248370420323E-2</v>
      </c>
      <c r="J1606" s="252"/>
      <c r="K1606" s="226"/>
    </row>
    <row r="1607" spans="1:68" ht="9" customHeight="1" x14ac:dyDescent="0.2">
      <c r="A1607" s="249"/>
      <c r="B1607" s="249"/>
      <c r="C1607" s="284"/>
      <c r="D1607" s="244" t="s">
        <v>287</v>
      </c>
      <c r="E1607" s="281"/>
      <c r="F1607" s="257"/>
      <c r="G1607" s="249"/>
      <c r="H1607" s="249">
        <v>894</v>
      </c>
      <c r="I1607" s="262">
        <f t="shared" si="39"/>
        <v>0.10047201618341201</v>
      </c>
      <c r="J1607" s="266"/>
      <c r="K1607" s="226"/>
    </row>
    <row r="1608" spans="1:68" ht="9" customHeight="1" x14ac:dyDescent="0.2">
      <c r="A1608" s="249"/>
      <c r="B1608" s="249"/>
      <c r="C1608" s="284"/>
      <c r="D1608" s="243" t="s">
        <v>33</v>
      </c>
      <c r="E1608" s="281"/>
      <c r="F1608" s="257"/>
      <c r="G1608" s="249"/>
      <c r="H1608" s="265">
        <f>SUM(H1602:H1607)</f>
        <v>8898</v>
      </c>
      <c r="I1608" s="256">
        <f>SUM(I1602:I1607)</f>
        <v>1</v>
      </c>
      <c r="J1608" s="249"/>
      <c r="K1608" s="226"/>
    </row>
    <row r="1609" spans="1:68" s="14" customFormat="1" ht="9" customHeight="1" x14ac:dyDescent="0.2">
      <c r="A1609" s="249"/>
      <c r="B1609" s="249"/>
      <c r="C1609" s="284"/>
      <c r="D1609" s="243"/>
      <c r="E1609" s="281"/>
      <c r="F1609" s="257"/>
      <c r="G1609" s="249"/>
      <c r="H1609" s="249"/>
      <c r="I1609" s="262"/>
      <c r="J1609" s="242"/>
      <c r="K1609" s="226"/>
      <c r="L1609" s="10"/>
      <c r="M1609" s="10"/>
      <c r="N1609" s="10"/>
      <c r="O1609" s="10"/>
      <c r="P1609" s="10"/>
      <c r="Q1609" s="10"/>
      <c r="R1609" s="10"/>
      <c r="S1609" s="10"/>
      <c r="T1609" s="10"/>
      <c r="U1609" s="10"/>
      <c r="V1609" s="10"/>
      <c r="W1609" s="10"/>
      <c r="X1609" s="10"/>
      <c r="Y1609" s="10"/>
      <c r="Z1609" s="10"/>
      <c r="AA1609" s="10"/>
      <c r="AB1609" s="10"/>
      <c r="AC1609" s="10"/>
      <c r="AD1609" s="10"/>
      <c r="AE1609" s="10"/>
      <c r="AF1609" s="10"/>
      <c r="AG1609" s="10"/>
      <c r="AH1609" s="10"/>
      <c r="AI1609" s="10"/>
      <c r="AJ1609" s="10"/>
      <c r="AK1609" s="10"/>
      <c r="AL1609" s="10"/>
      <c r="AM1609" s="10"/>
      <c r="AN1609" s="10"/>
      <c r="AO1609" s="10"/>
      <c r="AP1609" s="10"/>
      <c r="AQ1609" s="10"/>
      <c r="AR1609" s="10"/>
      <c r="AS1609" s="10"/>
      <c r="AT1609" s="10"/>
      <c r="AU1609" s="10"/>
      <c r="AV1609" s="10"/>
      <c r="AW1609" s="10"/>
      <c r="AX1609" s="10"/>
      <c r="AY1609" s="10"/>
      <c r="AZ1609" s="10"/>
      <c r="BA1609" s="10"/>
      <c r="BB1609" s="10"/>
      <c r="BC1609" s="10"/>
      <c r="BD1609" s="10"/>
      <c r="BE1609" s="10"/>
      <c r="BF1609" s="10"/>
      <c r="BG1609" s="10"/>
      <c r="BH1609" s="10"/>
      <c r="BI1609" s="10"/>
      <c r="BJ1609" s="10"/>
      <c r="BK1609" s="10"/>
      <c r="BL1609" s="10"/>
      <c r="BM1609" s="10"/>
      <c r="BN1609" s="10"/>
      <c r="BO1609" s="10"/>
      <c r="BP1609" s="10"/>
    </row>
    <row r="1610" spans="1:68" s="14" customFormat="1" ht="9" customHeight="1" x14ac:dyDescent="0.2">
      <c r="A1610" s="261" t="s">
        <v>23</v>
      </c>
      <c r="B1610" s="264">
        <v>663</v>
      </c>
      <c r="C1610" s="243" t="s">
        <v>291</v>
      </c>
      <c r="D1610" s="249" t="s">
        <v>466</v>
      </c>
      <c r="E1610" s="336">
        <v>37491</v>
      </c>
      <c r="F1610" s="257">
        <v>12308066</v>
      </c>
      <c r="G1610" s="249">
        <v>97128</v>
      </c>
      <c r="H1610" s="242"/>
      <c r="I1610" s="251"/>
      <c r="J1610" s="242"/>
      <c r="K1610" s="226"/>
      <c r="L1610" s="10"/>
      <c r="M1610" s="10"/>
      <c r="N1610" s="10"/>
      <c r="O1610" s="10"/>
      <c r="P1610" s="10"/>
      <c r="Q1610" s="10"/>
      <c r="R1610" s="10"/>
      <c r="S1610" s="10"/>
      <c r="T1610" s="10"/>
      <c r="U1610" s="10"/>
      <c r="V1610" s="10"/>
      <c r="W1610" s="10"/>
      <c r="X1610" s="10"/>
      <c r="Y1610" s="10"/>
      <c r="Z1610" s="10"/>
      <c r="AA1610" s="10"/>
      <c r="AB1610" s="10"/>
      <c r="AC1610" s="10"/>
      <c r="AD1610" s="10"/>
      <c r="AE1610" s="10"/>
      <c r="AF1610" s="10"/>
      <c r="AG1610" s="10"/>
      <c r="AH1610" s="10"/>
      <c r="AI1610" s="10"/>
      <c r="AJ1610" s="10"/>
      <c r="AK1610" s="10"/>
      <c r="AL1610" s="10"/>
      <c r="AM1610" s="10"/>
      <c r="AN1610" s="10"/>
      <c r="AO1610" s="10"/>
      <c r="AP1610" s="10"/>
      <c r="AQ1610" s="10"/>
      <c r="AR1610" s="10"/>
      <c r="AS1610" s="10"/>
      <c r="AT1610" s="10"/>
      <c r="AU1610" s="10"/>
      <c r="AV1610" s="10"/>
      <c r="AW1610" s="10"/>
      <c r="AX1610" s="10"/>
      <c r="AY1610" s="10"/>
      <c r="AZ1610" s="10"/>
      <c r="BA1610" s="10"/>
      <c r="BB1610" s="10"/>
      <c r="BC1610" s="10"/>
      <c r="BD1610" s="10"/>
      <c r="BE1610" s="10"/>
      <c r="BF1610" s="10"/>
      <c r="BG1610" s="10"/>
      <c r="BH1610" s="10"/>
      <c r="BI1610" s="10"/>
      <c r="BJ1610" s="10"/>
      <c r="BK1610" s="10"/>
      <c r="BL1610" s="10"/>
      <c r="BM1610" s="10"/>
      <c r="BN1610" s="10"/>
      <c r="BO1610" s="10"/>
      <c r="BP1610" s="10"/>
    </row>
    <row r="1611" spans="1:68" ht="9" customHeight="1" x14ac:dyDescent="0.2">
      <c r="A1611" s="249"/>
      <c r="B1611" s="249"/>
      <c r="C1611" s="284"/>
      <c r="D1611" s="244" t="s">
        <v>286</v>
      </c>
      <c r="E1611" s="281"/>
      <c r="F1611" s="257"/>
      <c r="G1611" s="249"/>
      <c r="H1611" s="242">
        <v>743</v>
      </c>
      <c r="I1611" s="251">
        <f>H1611/$H$1616</f>
        <v>1.1459859643710959E-2</v>
      </c>
      <c r="J1611" s="252"/>
      <c r="K1611" s="226"/>
    </row>
    <row r="1612" spans="1:68" ht="9" customHeight="1" x14ac:dyDescent="0.2">
      <c r="A1612" s="249"/>
      <c r="B1612" s="249"/>
      <c r="C1612" s="284"/>
      <c r="D1612" s="244" t="s">
        <v>295</v>
      </c>
      <c r="E1612" s="281"/>
      <c r="F1612" s="257"/>
      <c r="G1612" s="249"/>
      <c r="H1612" s="242">
        <v>4211</v>
      </c>
      <c r="I1612" s="251">
        <f>H1612/$H$1616</f>
        <v>6.4949487159713118E-2</v>
      </c>
      <c r="J1612" s="252"/>
      <c r="K1612" s="226"/>
    </row>
    <row r="1613" spans="1:68" ht="9" customHeight="1" x14ac:dyDescent="0.2">
      <c r="A1613" s="249"/>
      <c r="B1613" s="249"/>
      <c r="C1613" s="284"/>
      <c r="D1613" s="244" t="s">
        <v>290</v>
      </c>
      <c r="E1613" s="281"/>
      <c r="F1613" s="257"/>
      <c r="G1613" s="249"/>
      <c r="H1613" s="242">
        <v>53287</v>
      </c>
      <c r="I1613" s="251">
        <f>H1613/$H$1616</f>
        <v>0.82188632682964446</v>
      </c>
      <c r="J1613" s="252" t="s">
        <v>290</v>
      </c>
      <c r="K1613" s="226"/>
    </row>
    <row r="1614" spans="1:68" ht="9" customHeight="1" x14ac:dyDescent="0.2">
      <c r="A1614" s="249"/>
      <c r="B1614" s="249"/>
      <c r="C1614" s="284"/>
      <c r="D1614" s="244" t="s">
        <v>294</v>
      </c>
      <c r="E1614" s="281"/>
      <c r="F1614" s="257"/>
      <c r="G1614" s="249"/>
      <c r="H1614" s="242">
        <v>1425</v>
      </c>
      <c r="I1614" s="251">
        <f>H1614/$H$1616</f>
        <v>2.1978869437803656E-2</v>
      </c>
      <c r="J1614" s="252"/>
      <c r="K1614" s="226"/>
    </row>
    <row r="1615" spans="1:68" ht="9" customHeight="1" x14ac:dyDescent="0.2">
      <c r="A1615" s="249"/>
      <c r="B1615" s="249"/>
      <c r="C1615" s="284"/>
      <c r="D1615" s="244" t="s">
        <v>287</v>
      </c>
      <c r="E1615" s="281"/>
      <c r="F1615" s="257"/>
      <c r="G1615" s="249"/>
      <c r="H1615" s="249">
        <v>5169</v>
      </c>
      <c r="I1615" s="262">
        <f>H1615/$H$1616</f>
        <v>7.9725456929127789E-2</v>
      </c>
      <c r="J1615" s="266"/>
      <c r="K1615" s="226"/>
    </row>
    <row r="1616" spans="1:68" ht="9" customHeight="1" x14ac:dyDescent="0.2">
      <c r="A1616" s="249"/>
      <c r="B1616" s="249"/>
      <c r="C1616" s="284"/>
      <c r="D1616" s="243" t="s">
        <v>33</v>
      </c>
      <c r="E1616" s="281"/>
      <c r="F1616" s="257"/>
      <c r="G1616" s="249"/>
      <c r="H1616" s="265">
        <f>SUM(H1611:H1615)</f>
        <v>64835</v>
      </c>
      <c r="I1616" s="256">
        <f>SUM(I1611:I1615)</f>
        <v>1</v>
      </c>
      <c r="J1616" s="249"/>
      <c r="K1616" s="226"/>
    </row>
    <row r="1617" spans="1:68" ht="9" customHeight="1" x14ac:dyDescent="0.2">
      <c r="A1617" s="249"/>
      <c r="B1617" s="249"/>
      <c r="C1617" s="284"/>
      <c r="D1617" s="243"/>
      <c r="E1617" s="281"/>
      <c r="F1617" s="257"/>
      <c r="G1617" s="249"/>
      <c r="H1617" s="249"/>
      <c r="I1617" s="262"/>
      <c r="J1617" s="242"/>
      <c r="K1617" s="226"/>
    </row>
    <row r="1618" spans="1:68" ht="9" customHeight="1" x14ac:dyDescent="0.2">
      <c r="A1618" s="261" t="s">
        <v>23</v>
      </c>
      <c r="B1618" s="264">
        <v>638</v>
      </c>
      <c r="C1618" s="243" t="s">
        <v>291</v>
      </c>
      <c r="D1618" s="249" t="s">
        <v>467</v>
      </c>
      <c r="E1618" s="336">
        <v>37539</v>
      </c>
      <c r="F1618" s="257">
        <v>6157989</v>
      </c>
      <c r="G1618" s="249">
        <v>64589</v>
      </c>
      <c r="H1618" s="242"/>
      <c r="I1618" s="251"/>
      <c r="J1618" s="242"/>
      <c r="K1618" s="226"/>
    </row>
    <row r="1619" spans="1:68" ht="9" customHeight="1" x14ac:dyDescent="0.2">
      <c r="A1619" s="249"/>
      <c r="B1619" s="249"/>
      <c r="C1619" s="284"/>
      <c r="D1619" s="244" t="s">
        <v>263</v>
      </c>
      <c r="E1619" s="281"/>
      <c r="F1619" s="257"/>
      <c r="G1619" s="249"/>
      <c r="H1619" s="242">
        <v>888</v>
      </c>
      <c r="I1619" s="251">
        <f>H1619/$H$1626</f>
        <v>2.358315185637648E-2</v>
      </c>
      <c r="J1619" s="252"/>
      <c r="K1619" s="226"/>
    </row>
    <row r="1620" spans="1:68" s="14" customFormat="1" ht="9" customHeight="1" x14ac:dyDescent="0.2">
      <c r="A1620" s="249"/>
      <c r="B1620" s="249"/>
      <c r="C1620" s="284"/>
      <c r="D1620" s="244" t="s">
        <v>292</v>
      </c>
      <c r="E1620" s="281"/>
      <c r="F1620" s="257"/>
      <c r="G1620" s="249"/>
      <c r="H1620" s="242">
        <v>398</v>
      </c>
      <c r="I1620" s="251">
        <f t="shared" ref="I1620:I1625" si="40">H1620/$H$1626</f>
        <v>1.0569926169862432E-2</v>
      </c>
      <c r="J1620" s="252"/>
      <c r="K1620" s="226"/>
      <c r="L1620" s="10"/>
      <c r="M1620" s="10"/>
      <c r="N1620" s="10"/>
      <c r="O1620" s="10"/>
      <c r="P1620" s="10"/>
      <c r="Q1620" s="10"/>
      <c r="R1620" s="10"/>
      <c r="S1620" s="10"/>
      <c r="T1620" s="10"/>
      <c r="U1620" s="10"/>
      <c r="V1620" s="10"/>
      <c r="W1620" s="10"/>
      <c r="X1620" s="10"/>
      <c r="Y1620" s="10"/>
      <c r="Z1620" s="10"/>
      <c r="AA1620" s="10"/>
      <c r="AB1620" s="10"/>
      <c r="AC1620" s="10"/>
      <c r="AD1620" s="10"/>
      <c r="AE1620" s="10"/>
      <c r="AF1620" s="10"/>
      <c r="AG1620" s="10"/>
      <c r="AH1620" s="10"/>
      <c r="AI1620" s="10"/>
      <c r="AJ1620" s="10"/>
      <c r="AK1620" s="10"/>
      <c r="AL1620" s="10"/>
      <c r="AM1620" s="10"/>
      <c r="AN1620" s="10"/>
      <c r="AO1620" s="10"/>
      <c r="AP1620" s="10"/>
      <c r="AQ1620" s="10"/>
      <c r="AR1620" s="10"/>
      <c r="AS1620" s="10"/>
      <c r="AT1620" s="10"/>
      <c r="AU1620" s="10"/>
      <c r="AV1620" s="10"/>
      <c r="AW1620" s="10"/>
      <c r="AX1620" s="10"/>
      <c r="AY1620" s="10"/>
      <c r="AZ1620" s="10"/>
      <c r="BA1620" s="10"/>
      <c r="BB1620" s="10"/>
      <c r="BC1620" s="10"/>
      <c r="BD1620" s="10"/>
      <c r="BE1620" s="10"/>
      <c r="BF1620" s="10"/>
      <c r="BG1620" s="10"/>
      <c r="BH1620" s="10"/>
      <c r="BI1620" s="10"/>
      <c r="BJ1620" s="10"/>
      <c r="BK1620" s="10"/>
      <c r="BL1620" s="10"/>
      <c r="BM1620" s="10"/>
      <c r="BN1620" s="10"/>
      <c r="BO1620" s="10"/>
      <c r="BP1620" s="10"/>
    </row>
    <row r="1621" spans="1:68" s="14" customFormat="1" ht="9" customHeight="1" x14ac:dyDescent="0.2">
      <c r="A1621" s="249"/>
      <c r="B1621" s="249"/>
      <c r="C1621" s="284"/>
      <c r="D1621" s="244" t="s">
        <v>293</v>
      </c>
      <c r="E1621" s="281"/>
      <c r="F1621" s="257"/>
      <c r="G1621" s="249"/>
      <c r="H1621" s="242">
        <v>12806</v>
      </c>
      <c r="I1621" s="251">
        <f t="shared" si="40"/>
        <v>0.34009666967652841</v>
      </c>
      <c r="J1621" s="252" t="s">
        <v>293</v>
      </c>
      <c r="K1621" s="226"/>
      <c r="L1621" s="10"/>
      <c r="M1621" s="10"/>
      <c r="N1621" s="10"/>
      <c r="O1621" s="10"/>
      <c r="P1621" s="10"/>
      <c r="Q1621" s="10"/>
      <c r="R1621" s="10"/>
      <c r="S1621" s="10"/>
      <c r="T1621" s="10"/>
      <c r="U1621" s="10"/>
      <c r="V1621" s="10"/>
      <c r="W1621" s="10"/>
      <c r="X1621" s="10"/>
      <c r="Y1621" s="10"/>
      <c r="Z1621" s="10"/>
      <c r="AA1621" s="10"/>
      <c r="AB1621" s="10"/>
      <c r="AC1621" s="10"/>
      <c r="AD1621" s="10"/>
      <c r="AE1621" s="10"/>
      <c r="AF1621" s="10"/>
      <c r="AG1621" s="10"/>
      <c r="AH1621" s="10"/>
      <c r="AI1621" s="10"/>
      <c r="AJ1621" s="10"/>
      <c r="AK1621" s="10"/>
      <c r="AL1621" s="10"/>
      <c r="AM1621" s="10"/>
      <c r="AN1621" s="10"/>
      <c r="AO1621" s="10"/>
      <c r="AP1621" s="10"/>
      <c r="AQ1621" s="10"/>
      <c r="AR1621" s="10"/>
      <c r="AS1621" s="10"/>
      <c r="AT1621" s="10"/>
      <c r="AU1621" s="10"/>
      <c r="AV1621" s="10"/>
      <c r="AW1621" s="10"/>
      <c r="AX1621" s="10"/>
      <c r="AY1621" s="10"/>
      <c r="AZ1621" s="10"/>
      <c r="BA1621" s="10"/>
      <c r="BB1621" s="10"/>
      <c r="BC1621" s="10"/>
      <c r="BD1621" s="10"/>
      <c r="BE1621" s="10"/>
      <c r="BF1621" s="10"/>
      <c r="BG1621" s="10"/>
      <c r="BH1621" s="10"/>
      <c r="BI1621" s="10"/>
      <c r="BJ1621" s="10"/>
      <c r="BK1621" s="10"/>
      <c r="BL1621" s="10"/>
      <c r="BM1621" s="10"/>
      <c r="BN1621" s="10"/>
      <c r="BO1621" s="10"/>
      <c r="BP1621" s="10"/>
    </row>
    <row r="1622" spans="1:68" s="14" customFormat="1" ht="9" customHeight="1" x14ac:dyDescent="0.2">
      <c r="A1622" s="249"/>
      <c r="B1622" s="249"/>
      <c r="C1622" s="284"/>
      <c r="D1622" s="244" t="s">
        <v>286</v>
      </c>
      <c r="E1622" s="281"/>
      <c r="F1622" s="257"/>
      <c r="G1622" s="249"/>
      <c r="H1622" s="242">
        <v>6562</v>
      </c>
      <c r="I1622" s="251">
        <f t="shared" si="40"/>
        <v>0.1742709937855208</v>
      </c>
      <c r="J1622" s="252"/>
      <c r="K1622" s="226"/>
      <c r="L1622" s="10"/>
      <c r="M1622" s="10"/>
      <c r="N1622" s="10"/>
      <c r="O1622" s="10"/>
      <c r="P1622" s="10"/>
      <c r="Q1622" s="10"/>
      <c r="R1622" s="10"/>
      <c r="S1622" s="10"/>
      <c r="T1622" s="10"/>
      <c r="U1622" s="10"/>
      <c r="V1622" s="10"/>
      <c r="W1622" s="10"/>
      <c r="X1622" s="10"/>
      <c r="Y1622" s="10"/>
      <c r="Z1622" s="10"/>
      <c r="AA1622" s="10"/>
      <c r="AB1622" s="10"/>
      <c r="AC1622" s="10"/>
      <c r="AD1622" s="10"/>
      <c r="AE1622" s="10"/>
      <c r="AF1622" s="10"/>
      <c r="AG1622" s="10"/>
      <c r="AH1622" s="10"/>
      <c r="AI1622" s="10"/>
      <c r="AJ1622" s="10"/>
      <c r="AK1622" s="10"/>
      <c r="AL1622" s="10"/>
      <c r="AM1622" s="10"/>
      <c r="AN1622" s="10"/>
      <c r="AO1622" s="10"/>
      <c r="AP1622" s="10"/>
      <c r="AQ1622" s="10"/>
      <c r="AR1622" s="10"/>
      <c r="AS1622" s="10"/>
      <c r="AT1622" s="10"/>
      <c r="AU1622" s="10"/>
      <c r="AV1622" s="10"/>
      <c r="AW1622" s="10"/>
      <c r="AX1622" s="10"/>
      <c r="AY1622" s="10"/>
      <c r="AZ1622" s="10"/>
      <c r="BA1622" s="10"/>
      <c r="BB1622" s="10"/>
      <c r="BC1622" s="10"/>
      <c r="BD1622" s="10"/>
      <c r="BE1622" s="10"/>
      <c r="BF1622" s="10"/>
      <c r="BG1622" s="10"/>
      <c r="BH1622" s="10"/>
      <c r="BI1622" s="10"/>
      <c r="BJ1622" s="10"/>
      <c r="BK1622" s="10"/>
      <c r="BL1622" s="10"/>
      <c r="BM1622" s="10"/>
      <c r="BN1622" s="10"/>
      <c r="BO1622" s="10"/>
      <c r="BP1622" s="10"/>
    </row>
    <row r="1623" spans="1:68" s="14" customFormat="1" ht="9" customHeight="1" x14ac:dyDescent="0.2">
      <c r="A1623" s="249"/>
      <c r="B1623" s="249"/>
      <c r="C1623" s="284"/>
      <c r="D1623" s="244" t="s">
        <v>244</v>
      </c>
      <c r="E1623" s="281"/>
      <c r="F1623" s="257"/>
      <c r="G1623" s="249"/>
      <c r="H1623" s="242">
        <v>3144</v>
      </c>
      <c r="I1623" s="251">
        <f t="shared" si="40"/>
        <v>8.3497105221224832E-2</v>
      </c>
      <c r="J1623" s="252"/>
      <c r="K1623" s="226"/>
      <c r="L1623" s="10"/>
      <c r="M1623" s="10"/>
      <c r="N1623" s="10"/>
      <c r="O1623" s="10"/>
      <c r="P1623" s="10"/>
      <c r="Q1623" s="10"/>
      <c r="R1623" s="10"/>
      <c r="S1623" s="10"/>
      <c r="T1623" s="10"/>
      <c r="U1623" s="10"/>
      <c r="V1623" s="10"/>
      <c r="W1623" s="10"/>
      <c r="X1623" s="10"/>
      <c r="Y1623" s="10"/>
      <c r="Z1623" s="10"/>
      <c r="AA1623" s="10"/>
      <c r="AB1623" s="10"/>
      <c r="AC1623" s="10"/>
      <c r="AD1623" s="10"/>
      <c r="AE1623" s="10"/>
      <c r="AF1623" s="10"/>
      <c r="AG1623" s="10"/>
      <c r="AH1623" s="10"/>
      <c r="AI1623" s="10"/>
      <c r="AJ1623" s="10"/>
      <c r="AK1623" s="10"/>
      <c r="AL1623" s="10"/>
      <c r="AM1623" s="10"/>
      <c r="AN1623" s="10"/>
      <c r="AO1623" s="10"/>
      <c r="AP1623" s="10"/>
      <c r="AQ1623" s="10"/>
      <c r="AR1623" s="10"/>
      <c r="AS1623" s="10"/>
      <c r="AT1623" s="10"/>
      <c r="AU1623" s="10"/>
      <c r="AV1623" s="10"/>
      <c r="AW1623" s="10"/>
      <c r="AX1623" s="10"/>
      <c r="AY1623" s="10"/>
      <c r="AZ1623" s="10"/>
      <c r="BA1623" s="10"/>
      <c r="BB1623" s="10"/>
      <c r="BC1623" s="10"/>
      <c r="BD1623" s="10"/>
      <c r="BE1623" s="10"/>
      <c r="BF1623" s="10"/>
      <c r="BG1623" s="10"/>
      <c r="BH1623" s="10"/>
      <c r="BI1623" s="10"/>
      <c r="BJ1623" s="10"/>
      <c r="BK1623" s="10"/>
      <c r="BL1623" s="10"/>
      <c r="BM1623" s="10"/>
      <c r="BN1623" s="10"/>
      <c r="BO1623" s="10"/>
      <c r="BP1623" s="10"/>
    </row>
    <row r="1624" spans="1:68" s="14" customFormat="1" ht="9" customHeight="1" x14ac:dyDescent="0.2">
      <c r="A1624" s="249"/>
      <c r="B1624" s="249"/>
      <c r="C1624" s="284"/>
      <c r="D1624" s="244" t="s">
        <v>290</v>
      </c>
      <c r="E1624" s="281"/>
      <c r="F1624" s="257"/>
      <c r="G1624" s="249"/>
      <c r="H1624" s="242">
        <v>11611</v>
      </c>
      <c r="I1624" s="251">
        <f t="shared" si="40"/>
        <v>0.30836033356349923</v>
      </c>
      <c r="J1624" s="252" t="s">
        <v>290</v>
      </c>
      <c r="K1624" s="226"/>
      <c r="L1624" s="10"/>
      <c r="M1624" s="10"/>
      <c r="N1624" s="10"/>
      <c r="O1624" s="10"/>
      <c r="P1624" s="10"/>
      <c r="Q1624" s="10"/>
      <c r="R1624" s="10"/>
      <c r="S1624" s="10"/>
      <c r="T1624" s="10"/>
      <c r="U1624" s="10"/>
      <c r="V1624" s="10"/>
      <c r="W1624" s="10"/>
      <c r="X1624" s="10"/>
      <c r="Y1624" s="10"/>
      <c r="Z1624" s="10"/>
      <c r="AA1624" s="10"/>
      <c r="AB1624" s="10"/>
      <c r="AC1624" s="10"/>
      <c r="AD1624" s="10"/>
      <c r="AE1624" s="10"/>
      <c r="AF1624" s="10"/>
      <c r="AG1624" s="10"/>
      <c r="AH1624" s="10"/>
      <c r="AI1624" s="10"/>
      <c r="AJ1624" s="10"/>
      <c r="AK1624" s="10"/>
      <c r="AL1624" s="10"/>
      <c r="AM1624" s="10"/>
      <c r="AN1624" s="10"/>
      <c r="AO1624" s="10"/>
      <c r="AP1624" s="10"/>
      <c r="AQ1624" s="10"/>
      <c r="AR1624" s="10"/>
      <c r="AS1624" s="10"/>
      <c r="AT1624" s="10"/>
      <c r="AU1624" s="10"/>
      <c r="AV1624" s="10"/>
      <c r="AW1624" s="10"/>
      <c r="AX1624" s="10"/>
      <c r="AY1624" s="10"/>
      <c r="AZ1624" s="10"/>
      <c r="BA1624" s="10"/>
      <c r="BB1624" s="10"/>
      <c r="BC1624" s="10"/>
      <c r="BD1624" s="10"/>
      <c r="BE1624" s="10"/>
      <c r="BF1624" s="10"/>
      <c r="BG1624" s="10"/>
      <c r="BH1624" s="10"/>
      <c r="BI1624" s="10"/>
      <c r="BJ1624" s="10"/>
      <c r="BK1624" s="10"/>
      <c r="BL1624" s="10"/>
      <c r="BM1624" s="10"/>
      <c r="BN1624" s="10"/>
      <c r="BO1624" s="10"/>
      <c r="BP1624" s="10"/>
    </row>
    <row r="1625" spans="1:68" s="14" customFormat="1" ht="9" customHeight="1" x14ac:dyDescent="0.2">
      <c r="A1625" s="249"/>
      <c r="B1625" s="249"/>
      <c r="C1625" s="284"/>
      <c r="D1625" s="244" t="s">
        <v>294</v>
      </c>
      <c r="E1625" s="281"/>
      <c r="F1625" s="257"/>
      <c r="G1625" s="249"/>
      <c r="H1625" s="242">
        <v>2245</v>
      </c>
      <c r="I1625" s="251">
        <f t="shared" si="40"/>
        <v>5.9621819726987837E-2</v>
      </c>
      <c r="J1625" s="252"/>
      <c r="K1625" s="226"/>
      <c r="L1625" s="10"/>
      <c r="M1625" s="10"/>
      <c r="N1625" s="10"/>
      <c r="O1625" s="10"/>
      <c r="P1625" s="10"/>
      <c r="Q1625" s="10"/>
      <c r="R1625" s="10"/>
      <c r="S1625" s="10"/>
      <c r="T1625" s="10"/>
      <c r="U1625" s="10"/>
      <c r="V1625" s="10"/>
      <c r="W1625" s="10"/>
      <c r="X1625" s="10"/>
      <c r="Y1625" s="10"/>
      <c r="Z1625" s="10"/>
      <c r="AA1625" s="10"/>
      <c r="AB1625" s="10"/>
      <c r="AC1625" s="10"/>
      <c r="AD1625" s="10"/>
      <c r="AE1625" s="10"/>
      <c r="AF1625" s="10"/>
      <c r="AG1625" s="10"/>
      <c r="AH1625" s="10"/>
      <c r="AI1625" s="10"/>
      <c r="AJ1625" s="10"/>
      <c r="AK1625" s="10"/>
      <c r="AL1625" s="10"/>
      <c r="AM1625" s="10"/>
      <c r="AN1625" s="10"/>
      <c r="AO1625" s="10"/>
      <c r="AP1625" s="10"/>
      <c r="AQ1625" s="10"/>
      <c r="AR1625" s="10"/>
      <c r="AS1625" s="10"/>
      <c r="AT1625" s="10"/>
      <c r="AU1625" s="10"/>
      <c r="AV1625" s="10"/>
      <c r="AW1625" s="10"/>
      <c r="AX1625" s="10"/>
      <c r="AY1625" s="10"/>
      <c r="AZ1625" s="10"/>
      <c r="BA1625" s="10"/>
      <c r="BB1625" s="10"/>
      <c r="BC1625" s="10"/>
      <c r="BD1625" s="10"/>
      <c r="BE1625" s="10"/>
      <c r="BF1625" s="10"/>
      <c r="BG1625" s="10"/>
      <c r="BH1625" s="10"/>
      <c r="BI1625" s="10"/>
      <c r="BJ1625" s="10"/>
      <c r="BK1625" s="10"/>
      <c r="BL1625" s="10"/>
      <c r="BM1625" s="10"/>
      <c r="BN1625" s="10"/>
      <c r="BO1625" s="10"/>
      <c r="BP1625" s="10"/>
    </row>
    <row r="1626" spans="1:68" s="14" customFormat="1" ht="9" customHeight="1" x14ac:dyDescent="0.2">
      <c r="A1626" s="249"/>
      <c r="B1626" s="249"/>
      <c r="C1626" s="284"/>
      <c r="D1626" s="243" t="s">
        <v>33</v>
      </c>
      <c r="E1626" s="281"/>
      <c r="F1626" s="257"/>
      <c r="G1626" s="249"/>
      <c r="H1626" s="265">
        <f>SUM(H1619:H1625)</f>
        <v>37654</v>
      </c>
      <c r="I1626" s="256">
        <f>SUM(I1619:I1625)</f>
        <v>1</v>
      </c>
      <c r="J1626" s="249"/>
      <c r="K1626" s="226"/>
      <c r="L1626" s="10"/>
      <c r="M1626" s="10"/>
      <c r="N1626" s="10"/>
      <c r="O1626" s="10"/>
      <c r="P1626" s="10"/>
      <c r="Q1626" s="10"/>
      <c r="R1626" s="10"/>
      <c r="S1626" s="10"/>
      <c r="T1626" s="10"/>
      <c r="U1626" s="10"/>
      <c r="V1626" s="10"/>
      <c r="W1626" s="10"/>
      <c r="X1626" s="10"/>
      <c r="Y1626" s="10"/>
      <c r="Z1626" s="10"/>
      <c r="AA1626" s="10"/>
      <c r="AB1626" s="10"/>
      <c r="AC1626" s="10"/>
      <c r="AD1626" s="10"/>
      <c r="AE1626" s="10"/>
      <c r="AF1626" s="10"/>
      <c r="AG1626" s="10"/>
      <c r="AH1626" s="10"/>
      <c r="AI1626" s="10"/>
      <c r="AJ1626" s="10"/>
      <c r="AK1626" s="10"/>
      <c r="AL1626" s="10"/>
      <c r="AM1626" s="10"/>
      <c r="AN1626" s="10"/>
      <c r="AO1626" s="10"/>
      <c r="AP1626" s="10"/>
      <c r="AQ1626" s="10"/>
      <c r="AR1626" s="10"/>
      <c r="AS1626" s="10"/>
      <c r="AT1626" s="10"/>
      <c r="AU1626" s="10"/>
      <c r="AV1626" s="10"/>
      <c r="AW1626" s="10"/>
      <c r="AX1626" s="10"/>
      <c r="AY1626" s="10"/>
      <c r="AZ1626" s="10"/>
      <c r="BA1626" s="10"/>
      <c r="BB1626" s="10"/>
      <c r="BC1626" s="10"/>
      <c r="BD1626" s="10"/>
      <c r="BE1626" s="10"/>
      <c r="BF1626" s="10"/>
      <c r="BG1626" s="10"/>
      <c r="BH1626" s="10"/>
      <c r="BI1626" s="10"/>
      <c r="BJ1626" s="10"/>
      <c r="BK1626" s="10"/>
      <c r="BL1626" s="10"/>
      <c r="BM1626" s="10"/>
      <c r="BN1626" s="10"/>
      <c r="BO1626" s="10"/>
      <c r="BP1626" s="10"/>
    </row>
    <row r="1627" spans="1:68" s="14" customFormat="1" ht="9" customHeight="1" x14ac:dyDescent="0.2">
      <c r="A1627" s="249"/>
      <c r="B1627" s="249"/>
      <c r="C1627" s="284"/>
      <c r="D1627" s="243"/>
      <c r="E1627" s="281"/>
      <c r="F1627" s="257"/>
      <c r="G1627" s="249"/>
      <c r="H1627" s="249"/>
      <c r="I1627" s="262"/>
      <c r="J1627" s="249"/>
      <c r="K1627" s="226"/>
      <c r="L1627" s="10"/>
      <c r="M1627" s="10"/>
      <c r="N1627" s="10"/>
      <c r="O1627" s="10"/>
      <c r="P1627" s="10"/>
      <c r="Q1627" s="10"/>
      <c r="R1627" s="10"/>
      <c r="S1627" s="10"/>
      <c r="T1627" s="10"/>
      <c r="U1627" s="10"/>
      <c r="V1627" s="10"/>
      <c r="W1627" s="10"/>
      <c r="X1627" s="10"/>
      <c r="Y1627" s="10"/>
      <c r="Z1627" s="10"/>
      <c r="AA1627" s="10"/>
      <c r="AB1627" s="10"/>
      <c r="AC1627" s="10"/>
      <c r="AD1627" s="10"/>
      <c r="AE1627" s="10"/>
      <c r="AF1627" s="10"/>
      <c r="AG1627" s="10"/>
      <c r="AH1627" s="10"/>
      <c r="AI1627" s="10"/>
      <c r="AJ1627" s="10"/>
      <c r="AK1627" s="10"/>
      <c r="AL1627" s="10"/>
      <c r="AM1627" s="10"/>
      <c r="AN1627" s="10"/>
      <c r="AO1627" s="10"/>
      <c r="AP1627" s="10"/>
      <c r="AQ1627" s="10"/>
      <c r="AR1627" s="10"/>
      <c r="AS1627" s="10"/>
      <c r="AT1627" s="10"/>
      <c r="AU1627" s="10"/>
      <c r="AV1627" s="10"/>
      <c r="AW1627" s="10"/>
      <c r="AX1627" s="10"/>
      <c r="AY1627" s="10"/>
      <c r="AZ1627" s="10"/>
      <c r="BA1627" s="10"/>
      <c r="BB1627" s="10"/>
      <c r="BC1627" s="10"/>
      <c r="BD1627" s="10"/>
      <c r="BE1627" s="10"/>
      <c r="BF1627" s="10"/>
      <c r="BG1627" s="10"/>
      <c r="BH1627" s="10"/>
      <c r="BI1627" s="10"/>
      <c r="BJ1627" s="10"/>
      <c r="BK1627" s="10"/>
      <c r="BL1627" s="10"/>
      <c r="BM1627" s="10"/>
      <c r="BN1627" s="10"/>
      <c r="BO1627" s="10"/>
      <c r="BP1627" s="10"/>
    </row>
    <row r="1628" spans="1:68" s="14" customFormat="1" ht="9" customHeight="1" x14ac:dyDescent="0.2">
      <c r="A1628" s="261" t="s">
        <v>23</v>
      </c>
      <c r="B1628" s="264">
        <v>609</v>
      </c>
      <c r="C1628" s="243" t="s">
        <v>291</v>
      </c>
      <c r="D1628" s="249" t="s">
        <v>487</v>
      </c>
      <c r="E1628" s="336">
        <v>37715</v>
      </c>
      <c r="F1628" s="257">
        <v>8639781</v>
      </c>
      <c r="G1628" s="249">
        <v>55447</v>
      </c>
      <c r="H1628" s="242"/>
      <c r="I1628" s="251"/>
      <c r="J1628" s="242"/>
      <c r="K1628" s="226"/>
      <c r="L1628" s="10"/>
      <c r="M1628" s="10"/>
      <c r="N1628" s="10"/>
      <c r="O1628" s="10"/>
      <c r="P1628" s="10"/>
      <c r="Q1628" s="10"/>
      <c r="R1628" s="10"/>
      <c r="S1628" s="10"/>
      <c r="T1628" s="10"/>
      <c r="U1628" s="10"/>
      <c r="V1628" s="10"/>
      <c r="W1628" s="10"/>
      <c r="X1628" s="10"/>
      <c r="Y1628" s="10"/>
      <c r="Z1628" s="10"/>
      <c r="AA1628" s="10"/>
      <c r="AB1628" s="10"/>
      <c r="AC1628" s="10"/>
      <c r="AD1628" s="10"/>
      <c r="AE1628" s="10"/>
      <c r="AF1628" s="10"/>
      <c r="AG1628" s="10"/>
      <c r="AH1628" s="10"/>
      <c r="AI1628" s="10"/>
      <c r="AJ1628" s="10"/>
      <c r="AK1628" s="10"/>
      <c r="AL1628" s="10"/>
      <c r="AM1628" s="10"/>
      <c r="AN1628" s="10"/>
      <c r="AO1628" s="10"/>
      <c r="AP1628" s="10"/>
      <c r="AQ1628" s="10"/>
      <c r="AR1628" s="10"/>
      <c r="AS1628" s="10"/>
      <c r="AT1628" s="10"/>
      <c r="AU1628" s="10"/>
      <c r="AV1628" s="10"/>
      <c r="AW1628" s="10"/>
      <c r="AX1628" s="10"/>
      <c r="AY1628" s="10"/>
      <c r="AZ1628" s="10"/>
      <c r="BA1628" s="10"/>
      <c r="BB1628" s="10"/>
      <c r="BC1628" s="10"/>
      <c r="BD1628" s="10"/>
      <c r="BE1628" s="10"/>
      <c r="BF1628" s="10"/>
      <c r="BG1628" s="10"/>
      <c r="BH1628" s="10"/>
      <c r="BI1628" s="10"/>
      <c r="BJ1628" s="10"/>
      <c r="BK1628" s="10"/>
      <c r="BL1628" s="10"/>
      <c r="BM1628" s="10"/>
      <c r="BN1628" s="10"/>
      <c r="BO1628" s="10"/>
      <c r="BP1628" s="10"/>
    </row>
    <row r="1629" spans="1:68" s="14" customFormat="1" ht="9" customHeight="1" x14ac:dyDescent="0.2">
      <c r="A1629" s="249"/>
      <c r="B1629" s="249"/>
      <c r="C1629" s="284"/>
      <c r="D1629" s="244" t="s">
        <v>263</v>
      </c>
      <c r="E1629" s="281"/>
      <c r="F1629" s="257"/>
      <c r="G1629" s="249"/>
      <c r="H1629" s="242">
        <v>13022</v>
      </c>
      <c r="I1629" s="251">
        <f>H1629/$H$1637</f>
        <v>0.36789467736467396</v>
      </c>
      <c r="J1629" s="252" t="s">
        <v>263</v>
      </c>
      <c r="K1629" s="226"/>
      <c r="L1629" s="10"/>
      <c r="M1629" s="10"/>
      <c r="N1629" s="10"/>
      <c r="O1629" s="10"/>
      <c r="P1629" s="10"/>
      <c r="Q1629" s="10"/>
      <c r="R1629" s="10"/>
      <c r="S1629" s="10"/>
      <c r="T1629" s="10"/>
      <c r="U1629" s="10"/>
      <c r="V1629" s="10"/>
      <c r="W1629" s="10"/>
      <c r="X1629" s="10"/>
      <c r="Y1629" s="10"/>
      <c r="Z1629" s="10"/>
      <c r="AA1629" s="10"/>
      <c r="AB1629" s="10"/>
      <c r="AC1629" s="10"/>
      <c r="AD1629" s="10"/>
      <c r="AE1629" s="10"/>
      <c r="AF1629" s="10"/>
      <c r="AG1629" s="10"/>
      <c r="AH1629" s="10"/>
      <c r="AI1629" s="10"/>
      <c r="AJ1629" s="10"/>
      <c r="AK1629" s="10"/>
      <c r="AL1629" s="10"/>
      <c r="AM1629" s="10"/>
      <c r="AN1629" s="10"/>
      <c r="AO1629" s="10"/>
      <c r="AP1629" s="10"/>
      <c r="AQ1629" s="10"/>
      <c r="AR1629" s="10"/>
      <c r="AS1629" s="10"/>
      <c r="AT1629" s="10"/>
      <c r="AU1629" s="10"/>
      <c r="AV1629" s="10"/>
      <c r="AW1629" s="10"/>
      <c r="AX1629" s="10"/>
      <c r="AY1629" s="10"/>
      <c r="AZ1629" s="10"/>
      <c r="BA1629" s="10"/>
      <c r="BB1629" s="10"/>
      <c r="BC1629" s="10"/>
      <c r="BD1629" s="10"/>
      <c r="BE1629" s="10"/>
      <c r="BF1629" s="10"/>
      <c r="BG1629" s="10"/>
      <c r="BH1629" s="10"/>
      <c r="BI1629" s="10"/>
      <c r="BJ1629" s="10"/>
      <c r="BK1629" s="10"/>
      <c r="BL1629" s="10"/>
      <c r="BM1629" s="10"/>
      <c r="BN1629" s="10"/>
      <c r="BO1629" s="10"/>
      <c r="BP1629" s="10"/>
    </row>
    <row r="1630" spans="1:68" s="14" customFormat="1" ht="9" customHeight="1" x14ac:dyDescent="0.2">
      <c r="A1630" s="249"/>
      <c r="B1630" s="249"/>
      <c r="C1630" s="284"/>
      <c r="D1630" s="244" t="s">
        <v>292</v>
      </c>
      <c r="E1630" s="281"/>
      <c r="F1630" s="257"/>
      <c r="G1630" s="249"/>
      <c r="H1630" s="242">
        <v>1774</v>
      </c>
      <c r="I1630" s="251">
        <f t="shared" ref="I1630:I1636" si="41">H1630/$H$1637</f>
        <v>5.011865747542095E-2</v>
      </c>
      <c r="J1630" s="252"/>
      <c r="K1630" s="226"/>
      <c r="L1630" s="10"/>
      <c r="M1630" s="10"/>
      <c r="N1630" s="10"/>
      <c r="O1630" s="10"/>
      <c r="P1630" s="10"/>
      <c r="Q1630" s="10"/>
      <c r="R1630" s="10"/>
      <c r="S1630" s="10"/>
      <c r="T1630" s="10"/>
      <c r="U1630" s="10"/>
      <c r="V1630" s="10"/>
      <c r="W1630" s="10"/>
      <c r="X1630" s="10"/>
      <c r="Y1630" s="10"/>
      <c r="Z1630" s="10"/>
      <c r="AA1630" s="10"/>
      <c r="AB1630" s="10"/>
      <c r="AC1630" s="10"/>
      <c r="AD1630" s="10"/>
      <c r="AE1630" s="10"/>
      <c r="AF1630" s="10"/>
      <c r="AG1630" s="10"/>
      <c r="AH1630" s="10"/>
      <c r="AI1630" s="10"/>
      <c r="AJ1630" s="10"/>
      <c r="AK1630" s="10"/>
      <c r="AL1630" s="10"/>
      <c r="AM1630" s="10"/>
      <c r="AN1630" s="10"/>
      <c r="AO1630" s="10"/>
      <c r="AP1630" s="10"/>
      <c r="AQ1630" s="10"/>
      <c r="AR1630" s="10"/>
      <c r="AS1630" s="10"/>
      <c r="AT1630" s="10"/>
      <c r="AU1630" s="10"/>
      <c r="AV1630" s="10"/>
      <c r="AW1630" s="10"/>
      <c r="AX1630" s="10"/>
      <c r="AY1630" s="10"/>
      <c r="AZ1630" s="10"/>
      <c r="BA1630" s="10"/>
      <c r="BB1630" s="10"/>
      <c r="BC1630" s="10"/>
      <c r="BD1630" s="10"/>
      <c r="BE1630" s="10"/>
      <c r="BF1630" s="10"/>
      <c r="BG1630" s="10"/>
      <c r="BH1630" s="10"/>
      <c r="BI1630" s="10"/>
      <c r="BJ1630" s="10"/>
      <c r="BK1630" s="10"/>
      <c r="BL1630" s="10"/>
      <c r="BM1630" s="10"/>
      <c r="BN1630" s="10"/>
      <c r="BO1630" s="10"/>
      <c r="BP1630" s="10"/>
    </row>
    <row r="1631" spans="1:68" s="14" customFormat="1" ht="9" customHeight="1" x14ac:dyDescent="0.2">
      <c r="A1631" s="249"/>
      <c r="B1631" s="249"/>
      <c r="C1631" s="284"/>
      <c r="D1631" s="244" t="s">
        <v>286</v>
      </c>
      <c r="E1631" s="281"/>
      <c r="F1631" s="257"/>
      <c r="G1631" s="249"/>
      <c r="H1631" s="242">
        <v>2076</v>
      </c>
      <c r="I1631" s="251">
        <f t="shared" si="41"/>
        <v>5.8650694993784606E-2</v>
      </c>
      <c r="J1631" s="252"/>
      <c r="K1631" s="226"/>
      <c r="L1631" s="10"/>
      <c r="M1631" s="10"/>
      <c r="N1631" s="10"/>
      <c r="O1631" s="10"/>
      <c r="P1631" s="10"/>
      <c r="Q1631" s="10"/>
      <c r="R1631" s="10"/>
      <c r="S1631" s="10"/>
      <c r="T1631" s="10"/>
      <c r="U1631" s="10"/>
      <c r="V1631" s="10"/>
      <c r="W1631" s="10"/>
      <c r="X1631" s="10"/>
      <c r="Y1631" s="10"/>
      <c r="Z1631" s="10"/>
      <c r="AA1631" s="10"/>
      <c r="AB1631" s="10"/>
      <c r="AC1631" s="10"/>
      <c r="AD1631" s="10"/>
      <c r="AE1631" s="10"/>
      <c r="AF1631" s="10"/>
      <c r="AG1631" s="10"/>
      <c r="AH1631" s="10"/>
      <c r="AI1631" s="10"/>
      <c r="AJ1631" s="10"/>
      <c r="AK1631" s="10"/>
      <c r="AL1631" s="10"/>
      <c r="AM1631" s="10"/>
      <c r="AN1631" s="10"/>
      <c r="AO1631" s="10"/>
      <c r="AP1631" s="10"/>
      <c r="AQ1631" s="10"/>
      <c r="AR1631" s="10"/>
      <c r="AS1631" s="10"/>
      <c r="AT1631" s="10"/>
      <c r="AU1631" s="10"/>
      <c r="AV1631" s="10"/>
      <c r="AW1631" s="10"/>
      <c r="AX1631" s="10"/>
      <c r="AY1631" s="10"/>
      <c r="AZ1631" s="10"/>
      <c r="BA1631" s="10"/>
      <c r="BB1631" s="10"/>
      <c r="BC1631" s="10"/>
      <c r="BD1631" s="10"/>
      <c r="BE1631" s="10"/>
      <c r="BF1631" s="10"/>
      <c r="BG1631" s="10"/>
      <c r="BH1631" s="10"/>
      <c r="BI1631" s="10"/>
      <c r="BJ1631" s="10"/>
      <c r="BK1631" s="10"/>
      <c r="BL1631" s="10"/>
      <c r="BM1631" s="10"/>
      <c r="BN1631" s="10"/>
      <c r="BO1631" s="10"/>
      <c r="BP1631" s="10"/>
    </row>
    <row r="1632" spans="1:68" s="14" customFormat="1" ht="9" customHeight="1" x14ac:dyDescent="0.2">
      <c r="A1632" s="249"/>
      <c r="B1632" s="249"/>
      <c r="C1632" s="284"/>
      <c r="D1632" s="244" t="s">
        <v>244</v>
      </c>
      <c r="E1632" s="281"/>
      <c r="F1632" s="257"/>
      <c r="G1632" s="249"/>
      <c r="H1632" s="242">
        <v>4657</v>
      </c>
      <c r="I1632" s="251">
        <f t="shared" si="41"/>
        <v>0.13156853881794553</v>
      </c>
      <c r="J1632" s="252"/>
      <c r="K1632" s="226"/>
      <c r="L1632" s="10"/>
      <c r="M1632" s="10"/>
      <c r="N1632" s="10"/>
      <c r="O1632" s="10"/>
      <c r="P1632" s="10"/>
      <c r="Q1632" s="10"/>
      <c r="R1632" s="10"/>
      <c r="S1632" s="10"/>
      <c r="T1632" s="10"/>
      <c r="U1632" s="10"/>
      <c r="V1632" s="10"/>
      <c r="W1632" s="10"/>
      <c r="X1632" s="10"/>
      <c r="Y1632" s="10"/>
      <c r="Z1632" s="10"/>
      <c r="AA1632" s="10"/>
      <c r="AB1632" s="10"/>
      <c r="AC1632" s="10"/>
      <c r="AD1632" s="10"/>
      <c r="AE1632" s="10"/>
      <c r="AF1632" s="10"/>
      <c r="AG1632" s="10"/>
      <c r="AH1632" s="10"/>
      <c r="AI1632" s="10"/>
      <c r="AJ1632" s="10"/>
      <c r="AK1632" s="10"/>
      <c r="AL1632" s="10"/>
      <c r="AM1632" s="10"/>
      <c r="AN1632" s="10"/>
      <c r="AO1632" s="10"/>
      <c r="AP1632" s="10"/>
      <c r="AQ1632" s="10"/>
      <c r="AR1632" s="10"/>
      <c r="AS1632" s="10"/>
      <c r="AT1632" s="10"/>
      <c r="AU1632" s="10"/>
      <c r="AV1632" s="10"/>
      <c r="AW1632" s="10"/>
      <c r="AX1632" s="10"/>
      <c r="AY1632" s="10"/>
      <c r="AZ1632" s="10"/>
      <c r="BA1632" s="10"/>
      <c r="BB1632" s="10"/>
      <c r="BC1632" s="10"/>
      <c r="BD1632" s="10"/>
      <c r="BE1632" s="10"/>
      <c r="BF1632" s="10"/>
      <c r="BG1632" s="10"/>
      <c r="BH1632" s="10"/>
      <c r="BI1632" s="10"/>
      <c r="BJ1632" s="10"/>
      <c r="BK1632" s="10"/>
      <c r="BL1632" s="10"/>
      <c r="BM1632" s="10"/>
      <c r="BN1632" s="10"/>
      <c r="BO1632" s="10"/>
      <c r="BP1632" s="10"/>
    </row>
    <row r="1633" spans="1:68" s="14" customFormat="1" ht="9" customHeight="1" x14ac:dyDescent="0.2">
      <c r="A1633" s="249"/>
      <c r="B1633" s="249"/>
      <c r="C1633" s="284"/>
      <c r="D1633" s="244" t="s">
        <v>295</v>
      </c>
      <c r="E1633" s="281"/>
      <c r="F1633" s="257"/>
      <c r="G1633" s="249"/>
      <c r="H1633" s="242">
        <v>2807</v>
      </c>
      <c r="I1633" s="251">
        <f t="shared" si="41"/>
        <v>7.9302746073002597E-2</v>
      </c>
      <c r="J1633" s="252"/>
      <c r="K1633" s="226"/>
      <c r="L1633" s="10"/>
      <c r="M1633" s="10"/>
      <c r="N1633" s="10"/>
      <c r="O1633" s="10"/>
      <c r="P1633" s="10"/>
      <c r="Q1633" s="10"/>
      <c r="R1633" s="10"/>
      <c r="S1633" s="10"/>
      <c r="T1633" s="10"/>
      <c r="U1633" s="10"/>
      <c r="V1633" s="10"/>
      <c r="W1633" s="10"/>
      <c r="X1633" s="10"/>
      <c r="Y1633" s="10"/>
      <c r="Z1633" s="10"/>
      <c r="AA1633" s="10"/>
      <c r="AB1633" s="10"/>
      <c r="AC1633" s="10"/>
      <c r="AD1633" s="10"/>
      <c r="AE1633" s="10"/>
      <c r="AF1633" s="10"/>
      <c r="AG1633" s="10"/>
      <c r="AH1633" s="10"/>
      <c r="AI1633" s="10"/>
      <c r="AJ1633" s="10"/>
      <c r="AK1633" s="10"/>
      <c r="AL1633" s="10"/>
      <c r="AM1633" s="10"/>
      <c r="AN1633" s="10"/>
      <c r="AO1633" s="10"/>
      <c r="AP1633" s="10"/>
      <c r="AQ1633" s="10"/>
      <c r="AR1633" s="10"/>
      <c r="AS1633" s="10"/>
      <c r="AT1633" s="10"/>
      <c r="AU1633" s="10"/>
      <c r="AV1633" s="10"/>
      <c r="AW1633" s="10"/>
      <c r="AX1633" s="10"/>
      <c r="AY1633" s="10"/>
      <c r="AZ1633" s="10"/>
      <c r="BA1633" s="10"/>
      <c r="BB1633" s="10"/>
      <c r="BC1633" s="10"/>
      <c r="BD1633" s="10"/>
      <c r="BE1633" s="10"/>
      <c r="BF1633" s="10"/>
      <c r="BG1633" s="10"/>
      <c r="BH1633" s="10"/>
      <c r="BI1633" s="10"/>
      <c r="BJ1633" s="10"/>
      <c r="BK1633" s="10"/>
      <c r="BL1633" s="10"/>
      <c r="BM1633" s="10"/>
      <c r="BN1633" s="10"/>
      <c r="BO1633" s="10"/>
      <c r="BP1633" s="10"/>
    </row>
    <row r="1634" spans="1:68" s="14" customFormat="1" ht="9" customHeight="1" x14ac:dyDescent="0.2">
      <c r="A1634" s="249"/>
      <c r="B1634" s="249"/>
      <c r="C1634" s="284"/>
      <c r="D1634" s="244" t="s">
        <v>290</v>
      </c>
      <c r="E1634" s="281"/>
      <c r="F1634" s="257"/>
      <c r="G1634" s="249"/>
      <c r="H1634" s="242">
        <v>5833</v>
      </c>
      <c r="I1634" s="251">
        <f t="shared" si="41"/>
        <v>0.16479263193581195</v>
      </c>
      <c r="J1634" s="252"/>
      <c r="K1634" s="226"/>
      <c r="L1634" s="10"/>
      <c r="M1634" s="10"/>
      <c r="N1634" s="10"/>
      <c r="O1634" s="10"/>
      <c r="P1634" s="10"/>
      <c r="Q1634" s="10"/>
      <c r="R1634" s="10"/>
      <c r="S1634" s="10"/>
      <c r="T1634" s="10"/>
      <c r="U1634" s="10"/>
      <c r="V1634" s="10"/>
      <c r="W1634" s="10"/>
      <c r="X1634" s="10"/>
      <c r="Y1634" s="10"/>
      <c r="Z1634" s="10"/>
      <c r="AA1634" s="10"/>
      <c r="AB1634" s="10"/>
      <c r="AC1634" s="10"/>
      <c r="AD1634" s="10"/>
      <c r="AE1634" s="10"/>
      <c r="AF1634" s="10"/>
      <c r="AG1634" s="10"/>
      <c r="AH1634" s="10"/>
      <c r="AI1634" s="10"/>
      <c r="AJ1634" s="10"/>
      <c r="AK1634" s="10"/>
      <c r="AL1634" s="10"/>
      <c r="AM1634" s="10"/>
      <c r="AN1634" s="10"/>
      <c r="AO1634" s="10"/>
      <c r="AP1634" s="10"/>
      <c r="AQ1634" s="10"/>
      <c r="AR1634" s="10"/>
      <c r="AS1634" s="10"/>
      <c r="AT1634" s="10"/>
      <c r="AU1634" s="10"/>
      <c r="AV1634" s="10"/>
      <c r="AW1634" s="10"/>
      <c r="AX1634" s="10"/>
      <c r="AY1634" s="10"/>
      <c r="AZ1634" s="10"/>
      <c r="BA1634" s="10"/>
      <c r="BB1634" s="10"/>
      <c r="BC1634" s="10"/>
      <c r="BD1634" s="10"/>
      <c r="BE1634" s="10"/>
      <c r="BF1634" s="10"/>
      <c r="BG1634" s="10"/>
      <c r="BH1634" s="10"/>
      <c r="BI1634" s="10"/>
      <c r="BJ1634" s="10"/>
      <c r="BK1634" s="10"/>
      <c r="BL1634" s="10"/>
      <c r="BM1634" s="10"/>
      <c r="BN1634" s="10"/>
      <c r="BO1634" s="10"/>
      <c r="BP1634" s="10"/>
    </row>
    <row r="1635" spans="1:68" s="14" customFormat="1" ht="9" customHeight="1" x14ac:dyDescent="0.2">
      <c r="A1635" s="249"/>
      <c r="B1635" s="249"/>
      <c r="C1635" s="284"/>
      <c r="D1635" s="244" t="s">
        <v>294</v>
      </c>
      <c r="E1635" s="281"/>
      <c r="F1635" s="257"/>
      <c r="G1635" s="249"/>
      <c r="H1635" s="242">
        <v>412</v>
      </c>
      <c r="I1635" s="251">
        <f t="shared" si="41"/>
        <v>1.1639733303198101E-2</v>
      </c>
      <c r="J1635" s="252"/>
      <c r="K1635" s="226"/>
      <c r="L1635" s="10"/>
      <c r="M1635" s="10"/>
      <c r="N1635" s="10"/>
      <c r="O1635" s="10"/>
      <c r="P1635" s="10"/>
      <c r="Q1635" s="10"/>
      <c r="R1635" s="10"/>
      <c r="S1635" s="10"/>
      <c r="T1635" s="10"/>
      <c r="U1635" s="10"/>
      <c r="V1635" s="10"/>
      <c r="W1635" s="10"/>
      <c r="X1635" s="10"/>
      <c r="Y1635" s="10"/>
      <c r="Z1635" s="10"/>
      <c r="AA1635" s="10"/>
      <c r="AB1635" s="10"/>
      <c r="AC1635" s="10"/>
      <c r="AD1635" s="10"/>
      <c r="AE1635" s="10"/>
      <c r="AF1635" s="10"/>
      <c r="AG1635" s="10"/>
      <c r="AH1635" s="10"/>
      <c r="AI1635" s="10"/>
      <c r="AJ1635" s="10"/>
      <c r="AK1635" s="10"/>
      <c r="AL1635" s="10"/>
      <c r="AM1635" s="10"/>
      <c r="AN1635" s="10"/>
      <c r="AO1635" s="10"/>
      <c r="AP1635" s="10"/>
      <c r="AQ1635" s="10"/>
      <c r="AR1635" s="10"/>
      <c r="AS1635" s="10"/>
      <c r="AT1635" s="10"/>
      <c r="AU1635" s="10"/>
      <c r="AV1635" s="10"/>
      <c r="AW1635" s="10"/>
      <c r="AX1635" s="10"/>
      <c r="AY1635" s="10"/>
      <c r="AZ1635" s="10"/>
      <c r="BA1635" s="10"/>
      <c r="BB1635" s="10"/>
      <c r="BC1635" s="10"/>
      <c r="BD1635" s="10"/>
      <c r="BE1635" s="10"/>
      <c r="BF1635" s="10"/>
      <c r="BG1635" s="10"/>
      <c r="BH1635" s="10"/>
      <c r="BI1635" s="10"/>
      <c r="BJ1635" s="10"/>
      <c r="BK1635" s="10"/>
      <c r="BL1635" s="10"/>
      <c r="BM1635" s="10"/>
      <c r="BN1635" s="10"/>
      <c r="BO1635" s="10"/>
      <c r="BP1635" s="10"/>
    </row>
    <row r="1636" spans="1:68" s="14" customFormat="1" ht="9" customHeight="1" x14ac:dyDescent="0.2">
      <c r="A1636" s="249"/>
      <c r="B1636" s="249"/>
      <c r="C1636" s="284"/>
      <c r="D1636" s="244" t="s">
        <v>287</v>
      </c>
      <c r="E1636" s="281"/>
      <c r="F1636" s="257"/>
      <c r="G1636" s="249"/>
      <c r="H1636" s="242">
        <v>4815</v>
      </c>
      <c r="I1636" s="251">
        <f t="shared" si="41"/>
        <v>0.13603232003616228</v>
      </c>
      <c r="J1636" s="252"/>
      <c r="K1636" s="226"/>
      <c r="L1636" s="10"/>
      <c r="M1636" s="10"/>
      <c r="N1636" s="10"/>
      <c r="O1636" s="10"/>
      <c r="P1636" s="10"/>
      <c r="Q1636" s="10"/>
      <c r="R1636" s="10"/>
      <c r="S1636" s="10"/>
      <c r="T1636" s="10"/>
      <c r="U1636" s="10"/>
      <c r="V1636" s="10"/>
      <c r="W1636" s="10"/>
      <c r="X1636" s="10"/>
      <c r="Y1636" s="10"/>
      <c r="Z1636" s="10"/>
      <c r="AA1636" s="10"/>
      <c r="AB1636" s="10"/>
      <c r="AC1636" s="10"/>
      <c r="AD1636" s="10"/>
      <c r="AE1636" s="10"/>
      <c r="AF1636" s="10"/>
      <c r="AG1636" s="10"/>
      <c r="AH1636" s="10"/>
      <c r="AI1636" s="10"/>
      <c r="AJ1636" s="10"/>
      <c r="AK1636" s="10"/>
      <c r="AL1636" s="10"/>
      <c r="AM1636" s="10"/>
      <c r="AN1636" s="10"/>
      <c r="AO1636" s="10"/>
      <c r="AP1636" s="10"/>
      <c r="AQ1636" s="10"/>
      <c r="AR1636" s="10"/>
      <c r="AS1636" s="10"/>
      <c r="AT1636" s="10"/>
      <c r="AU1636" s="10"/>
      <c r="AV1636" s="10"/>
      <c r="AW1636" s="10"/>
      <c r="AX1636" s="10"/>
      <c r="AY1636" s="10"/>
      <c r="AZ1636" s="10"/>
      <c r="BA1636" s="10"/>
      <c r="BB1636" s="10"/>
      <c r="BC1636" s="10"/>
      <c r="BD1636" s="10"/>
      <c r="BE1636" s="10"/>
      <c r="BF1636" s="10"/>
      <c r="BG1636" s="10"/>
      <c r="BH1636" s="10"/>
      <c r="BI1636" s="10"/>
      <c r="BJ1636" s="10"/>
      <c r="BK1636" s="10"/>
      <c r="BL1636" s="10"/>
      <c r="BM1636" s="10"/>
      <c r="BN1636" s="10"/>
      <c r="BO1636" s="10"/>
      <c r="BP1636" s="10"/>
    </row>
    <row r="1637" spans="1:68" s="14" customFormat="1" ht="9" customHeight="1" x14ac:dyDescent="0.2">
      <c r="A1637" s="249"/>
      <c r="B1637" s="249"/>
      <c r="C1637" s="284"/>
      <c r="D1637" s="243" t="s">
        <v>33</v>
      </c>
      <c r="E1637" s="281"/>
      <c r="F1637" s="257"/>
      <c r="G1637" s="249"/>
      <c r="H1637" s="265">
        <f>SUM(H1629:H1636)</f>
        <v>35396</v>
      </c>
      <c r="I1637" s="256">
        <f>SUM(I1629:I1636)</f>
        <v>1</v>
      </c>
      <c r="J1637" s="249"/>
      <c r="K1637" s="226"/>
      <c r="L1637" s="10"/>
      <c r="M1637" s="10"/>
      <c r="N1637" s="10"/>
      <c r="O1637" s="10"/>
      <c r="P1637" s="10"/>
      <c r="Q1637" s="10"/>
      <c r="R1637" s="10"/>
      <c r="S1637" s="10"/>
      <c r="T1637" s="10"/>
      <c r="U1637" s="10"/>
      <c r="V1637" s="10"/>
      <c r="W1637" s="10"/>
      <c r="X1637" s="10"/>
      <c r="Y1637" s="10"/>
      <c r="Z1637" s="10"/>
      <c r="AA1637" s="10"/>
      <c r="AB1637" s="10"/>
      <c r="AC1637" s="10"/>
      <c r="AD1637" s="10"/>
      <c r="AE1637" s="10"/>
      <c r="AF1637" s="10"/>
      <c r="AG1637" s="10"/>
      <c r="AH1637" s="10"/>
      <c r="AI1637" s="10"/>
      <c r="AJ1637" s="10"/>
      <c r="AK1637" s="10"/>
      <c r="AL1637" s="10"/>
      <c r="AM1637" s="10"/>
      <c r="AN1637" s="10"/>
      <c r="AO1637" s="10"/>
      <c r="AP1637" s="10"/>
      <c r="AQ1637" s="10"/>
      <c r="AR1637" s="10"/>
      <c r="AS1637" s="10"/>
      <c r="AT1637" s="10"/>
      <c r="AU1637" s="10"/>
      <c r="AV1637" s="10"/>
      <c r="AW1637" s="10"/>
      <c r="AX1637" s="10"/>
      <c r="AY1637" s="10"/>
      <c r="AZ1637" s="10"/>
      <c r="BA1637" s="10"/>
      <c r="BB1637" s="10"/>
      <c r="BC1637" s="10"/>
      <c r="BD1637" s="10"/>
      <c r="BE1637" s="10"/>
      <c r="BF1637" s="10"/>
      <c r="BG1637" s="10"/>
      <c r="BH1637" s="10"/>
      <c r="BI1637" s="10"/>
      <c r="BJ1637" s="10"/>
      <c r="BK1637" s="10"/>
      <c r="BL1637" s="10"/>
      <c r="BM1637" s="10"/>
      <c r="BN1637" s="10"/>
      <c r="BO1637" s="10"/>
      <c r="BP1637" s="10"/>
    </row>
    <row r="1638" spans="1:68" s="14" customFormat="1" ht="9" customHeight="1" x14ac:dyDescent="0.2">
      <c r="A1638" s="249"/>
      <c r="B1638" s="249"/>
      <c r="C1638" s="284"/>
      <c r="D1638" s="243"/>
      <c r="E1638" s="281"/>
      <c r="F1638" s="257"/>
      <c r="G1638" s="249"/>
      <c r="H1638" s="249"/>
      <c r="I1638" s="262"/>
      <c r="J1638" s="249"/>
      <c r="K1638" s="226"/>
      <c r="L1638" s="10"/>
      <c r="M1638" s="10"/>
      <c r="N1638" s="10"/>
      <c r="O1638" s="10"/>
      <c r="P1638" s="10"/>
      <c r="Q1638" s="10"/>
      <c r="R1638" s="10"/>
      <c r="S1638" s="10"/>
      <c r="T1638" s="10"/>
      <c r="U1638" s="10"/>
      <c r="V1638" s="10"/>
      <c r="W1638" s="10"/>
      <c r="X1638" s="10"/>
      <c r="Y1638" s="10"/>
      <c r="Z1638" s="10"/>
      <c r="AA1638" s="10"/>
      <c r="AB1638" s="10"/>
      <c r="AC1638" s="10"/>
      <c r="AD1638" s="10"/>
      <c r="AE1638" s="10"/>
      <c r="AF1638" s="10"/>
      <c r="AG1638" s="10"/>
      <c r="AH1638" s="10"/>
      <c r="AI1638" s="10"/>
      <c r="AJ1638" s="10"/>
      <c r="AK1638" s="10"/>
      <c r="AL1638" s="10"/>
      <c r="AM1638" s="10"/>
      <c r="AN1638" s="10"/>
      <c r="AO1638" s="10"/>
      <c r="AP1638" s="10"/>
      <c r="AQ1638" s="10"/>
      <c r="AR1638" s="10"/>
      <c r="AS1638" s="10"/>
      <c r="AT1638" s="10"/>
      <c r="AU1638" s="10"/>
      <c r="AV1638" s="10"/>
      <c r="AW1638" s="10"/>
      <c r="AX1638" s="10"/>
      <c r="AY1638" s="10"/>
      <c r="AZ1638" s="10"/>
      <c r="BA1638" s="10"/>
      <c r="BB1638" s="10"/>
      <c r="BC1638" s="10"/>
      <c r="BD1638" s="10"/>
      <c r="BE1638" s="10"/>
      <c r="BF1638" s="10"/>
      <c r="BG1638" s="10"/>
      <c r="BH1638" s="10"/>
      <c r="BI1638" s="10"/>
      <c r="BJ1638" s="10"/>
      <c r="BK1638" s="10"/>
      <c r="BL1638" s="10"/>
      <c r="BM1638" s="10"/>
      <c r="BN1638" s="10"/>
      <c r="BO1638" s="10"/>
      <c r="BP1638" s="10"/>
    </row>
    <row r="1639" spans="1:68" s="14" customFormat="1" ht="9" customHeight="1" x14ac:dyDescent="0.2">
      <c r="A1639" s="261" t="s">
        <v>23</v>
      </c>
      <c r="B1639" s="264">
        <v>688</v>
      </c>
      <c r="C1639" s="243" t="s">
        <v>291</v>
      </c>
      <c r="D1639" s="249" t="s">
        <v>488</v>
      </c>
      <c r="E1639" s="336">
        <v>37622</v>
      </c>
      <c r="F1639" s="257">
        <v>1645246</v>
      </c>
      <c r="G1639" s="249">
        <v>11480</v>
      </c>
      <c r="H1639" s="242"/>
      <c r="I1639" s="251"/>
      <c r="J1639" s="242"/>
      <c r="K1639" s="226"/>
      <c r="L1639" s="10"/>
      <c r="M1639" s="10"/>
      <c r="N1639" s="10"/>
      <c r="O1639" s="10"/>
      <c r="P1639" s="10"/>
      <c r="Q1639" s="10"/>
      <c r="R1639" s="10"/>
      <c r="S1639" s="10"/>
      <c r="T1639" s="10"/>
      <c r="U1639" s="10"/>
      <c r="V1639" s="10"/>
      <c r="W1639" s="10"/>
      <c r="X1639" s="10"/>
      <c r="Y1639" s="10"/>
      <c r="Z1639" s="10"/>
      <c r="AA1639" s="10"/>
      <c r="AB1639" s="10"/>
      <c r="AC1639" s="10"/>
      <c r="AD1639" s="10"/>
      <c r="AE1639" s="10"/>
      <c r="AF1639" s="10"/>
      <c r="AG1639" s="10"/>
      <c r="AH1639" s="10"/>
      <c r="AI1639" s="10"/>
      <c r="AJ1639" s="10"/>
      <c r="AK1639" s="10"/>
      <c r="AL1639" s="10"/>
      <c r="AM1639" s="10"/>
      <c r="AN1639" s="10"/>
      <c r="AO1639" s="10"/>
      <c r="AP1639" s="10"/>
      <c r="AQ1639" s="10"/>
      <c r="AR1639" s="10"/>
      <c r="AS1639" s="10"/>
      <c r="AT1639" s="10"/>
      <c r="AU1639" s="10"/>
      <c r="AV1639" s="10"/>
      <c r="AW1639" s="10"/>
      <c r="AX1639" s="10"/>
      <c r="AY1639" s="10"/>
      <c r="AZ1639" s="10"/>
      <c r="BA1639" s="10"/>
      <c r="BB1639" s="10"/>
      <c r="BC1639" s="10"/>
      <c r="BD1639" s="10"/>
      <c r="BE1639" s="10"/>
      <c r="BF1639" s="10"/>
      <c r="BG1639" s="10"/>
      <c r="BH1639" s="10"/>
      <c r="BI1639" s="10"/>
      <c r="BJ1639" s="10"/>
      <c r="BK1639" s="10"/>
      <c r="BL1639" s="10"/>
      <c r="BM1639" s="10"/>
      <c r="BN1639" s="10"/>
      <c r="BO1639" s="10"/>
      <c r="BP1639" s="10"/>
    </row>
    <row r="1640" spans="1:68" s="14" customFormat="1" ht="9" customHeight="1" x14ac:dyDescent="0.2">
      <c r="A1640" s="249"/>
      <c r="B1640" s="249"/>
      <c r="C1640" s="284"/>
      <c r="D1640" s="244" t="s">
        <v>244</v>
      </c>
      <c r="E1640" s="281"/>
      <c r="F1640" s="257"/>
      <c r="G1640" s="249"/>
      <c r="H1640" s="242">
        <v>811</v>
      </c>
      <c r="I1640" s="251">
        <f>H1640/$H$1643</f>
        <v>0.1064583880283539</v>
      </c>
      <c r="J1640" s="252"/>
      <c r="K1640" s="226"/>
      <c r="L1640" s="10"/>
      <c r="M1640" s="10"/>
      <c r="N1640" s="10"/>
      <c r="O1640" s="10"/>
      <c r="P1640" s="10"/>
      <c r="Q1640" s="10"/>
      <c r="R1640" s="10"/>
      <c r="S1640" s="10"/>
      <c r="T1640" s="10"/>
      <c r="U1640" s="10"/>
      <c r="V1640" s="10"/>
      <c r="W1640" s="10"/>
      <c r="X1640" s="10"/>
      <c r="Y1640" s="10"/>
      <c r="Z1640" s="10"/>
      <c r="AA1640" s="10"/>
      <c r="AB1640" s="10"/>
      <c r="AC1640" s="10"/>
      <c r="AD1640" s="10"/>
      <c r="AE1640" s="10"/>
      <c r="AF1640" s="10"/>
      <c r="AG1640" s="10"/>
      <c r="AH1640" s="10"/>
      <c r="AI1640" s="10"/>
      <c r="AJ1640" s="10"/>
      <c r="AK1640" s="10"/>
      <c r="AL1640" s="10"/>
      <c r="AM1640" s="10"/>
      <c r="AN1640" s="10"/>
      <c r="AO1640" s="10"/>
      <c r="AP1640" s="10"/>
      <c r="AQ1640" s="10"/>
      <c r="AR1640" s="10"/>
      <c r="AS1640" s="10"/>
      <c r="AT1640" s="10"/>
      <c r="AU1640" s="10"/>
      <c r="AV1640" s="10"/>
      <c r="AW1640" s="10"/>
      <c r="AX1640" s="10"/>
      <c r="AY1640" s="10"/>
      <c r="AZ1640" s="10"/>
      <c r="BA1640" s="10"/>
      <c r="BB1640" s="10"/>
      <c r="BC1640" s="10"/>
      <c r="BD1640" s="10"/>
      <c r="BE1640" s="10"/>
      <c r="BF1640" s="10"/>
      <c r="BG1640" s="10"/>
      <c r="BH1640" s="10"/>
      <c r="BI1640" s="10"/>
      <c r="BJ1640" s="10"/>
      <c r="BK1640" s="10"/>
      <c r="BL1640" s="10"/>
      <c r="BM1640" s="10"/>
      <c r="BN1640" s="10"/>
      <c r="BO1640" s="10"/>
      <c r="BP1640" s="10"/>
    </row>
    <row r="1641" spans="1:68" s="14" customFormat="1" ht="9" customHeight="1" x14ac:dyDescent="0.2">
      <c r="A1641" s="249"/>
      <c r="B1641" s="249"/>
      <c r="C1641" s="284"/>
      <c r="D1641" s="244" t="s">
        <v>290</v>
      </c>
      <c r="E1641" s="281"/>
      <c r="F1641" s="257"/>
      <c r="G1641" s="249"/>
      <c r="H1641" s="242">
        <v>6216</v>
      </c>
      <c r="I1641" s="251">
        <f>H1641/$H$1643</f>
        <v>0.81596219480178522</v>
      </c>
      <c r="J1641" s="252" t="s">
        <v>290</v>
      </c>
      <c r="K1641" s="226"/>
      <c r="L1641" s="10"/>
      <c r="M1641" s="10"/>
      <c r="N1641" s="10"/>
      <c r="O1641" s="10"/>
      <c r="P1641" s="10"/>
      <c r="Q1641" s="10"/>
      <c r="R1641" s="10"/>
      <c r="S1641" s="10"/>
      <c r="T1641" s="10"/>
      <c r="U1641" s="10"/>
      <c r="V1641" s="10"/>
      <c r="W1641" s="10"/>
      <c r="X1641" s="10"/>
      <c r="Y1641" s="10"/>
      <c r="Z1641" s="10"/>
      <c r="AA1641" s="10"/>
      <c r="AB1641" s="10"/>
      <c r="AC1641" s="10"/>
      <c r="AD1641" s="10"/>
      <c r="AE1641" s="10"/>
      <c r="AF1641" s="10"/>
      <c r="AG1641" s="10"/>
      <c r="AH1641" s="10"/>
      <c r="AI1641" s="10"/>
      <c r="AJ1641" s="10"/>
      <c r="AK1641" s="10"/>
      <c r="AL1641" s="10"/>
      <c r="AM1641" s="10"/>
      <c r="AN1641" s="10"/>
      <c r="AO1641" s="10"/>
      <c r="AP1641" s="10"/>
      <c r="AQ1641" s="10"/>
      <c r="AR1641" s="10"/>
      <c r="AS1641" s="10"/>
      <c r="AT1641" s="10"/>
      <c r="AU1641" s="10"/>
      <c r="AV1641" s="10"/>
      <c r="AW1641" s="10"/>
      <c r="AX1641" s="10"/>
      <c r="AY1641" s="10"/>
      <c r="AZ1641" s="10"/>
      <c r="BA1641" s="10"/>
      <c r="BB1641" s="10"/>
      <c r="BC1641" s="10"/>
      <c r="BD1641" s="10"/>
      <c r="BE1641" s="10"/>
      <c r="BF1641" s="10"/>
      <c r="BG1641" s="10"/>
      <c r="BH1641" s="10"/>
      <c r="BI1641" s="10"/>
      <c r="BJ1641" s="10"/>
      <c r="BK1641" s="10"/>
      <c r="BL1641" s="10"/>
      <c r="BM1641" s="10"/>
      <c r="BN1641" s="10"/>
      <c r="BO1641" s="10"/>
      <c r="BP1641" s="10"/>
    </row>
    <row r="1642" spans="1:68" s="14" customFormat="1" ht="9" customHeight="1" x14ac:dyDescent="0.2">
      <c r="A1642" s="249"/>
      <c r="B1642" s="249"/>
      <c r="C1642" s="284"/>
      <c r="D1642" s="244" t="s">
        <v>294</v>
      </c>
      <c r="E1642" s="281"/>
      <c r="F1642" s="257"/>
      <c r="G1642" s="249"/>
      <c r="H1642" s="242">
        <v>591</v>
      </c>
      <c r="I1642" s="251">
        <f>H1642/$H$1643</f>
        <v>7.7579417169860859E-2</v>
      </c>
      <c r="J1642" s="252"/>
      <c r="K1642" s="226"/>
      <c r="L1642" s="10"/>
      <c r="M1642" s="10"/>
      <c r="N1642" s="10"/>
      <c r="O1642" s="10"/>
      <c r="P1642" s="10"/>
      <c r="Q1642" s="10"/>
      <c r="R1642" s="10"/>
      <c r="S1642" s="10"/>
      <c r="T1642" s="10"/>
      <c r="U1642" s="10"/>
      <c r="V1642" s="10"/>
      <c r="W1642" s="10"/>
      <c r="X1642" s="10"/>
      <c r="Y1642" s="10"/>
      <c r="Z1642" s="10"/>
      <c r="AA1642" s="10"/>
      <c r="AB1642" s="10"/>
      <c r="AC1642" s="10"/>
      <c r="AD1642" s="10"/>
      <c r="AE1642" s="10"/>
      <c r="AF1642" s="10"/>
      <c r="AG1642" s="10"/>
      <c r="AH1642" s="10"/>
      <c r="AI1642" s="10"/>
      <c r="AJ1642" s="10"/>
      <c r="AK1642" s="10"/>
      <c r="AL1642" s="10"/>
      <c r="AM1642" s="10"/>
      <c r="AN1642" s="10"/>
      <c r="AO1642" s="10"/>
      <c r="AP1642" s="10"/>
      <c r="AQ1642" s="10"/>
      <c r="AR1642" s="10"/>
      <c r="AS1642" s="10"/>
      <c r="AT1642" s="10"/>
      <c r="AU1642" s="10"/>
      <c r="AV1642" s="10"/>
      <c r="AW1642" s="10"/>
      <c r="AX1642" s="10"/>
      <c r="AY1642" s="10"/>
      <c r="AZ1642" s="10"/>
      <c r="BA1642" s="10"/>
      <c r="BB1642" s="10"/>
      <c r="BC1642" s="10"/>
      <c r="BD1642" s="10"/>
      <c r="BE1642" s="10"/>
      <c r="BF1642" s="10"/>
      <c r="BG1642" s="10"/>
      <c r="BH1642" s="10"/>
      <c r="BI1642" s="10"/>
      <c r="BJ1642" s="10"/>
      <c r="BK1642" s="10"/>
      <c r="BL1642" s="10"/>
      <c r="BM1642" s="10"/>
      <c r="BN1642" s="10"/>
      <c r="BO1642" s="10"/>
      <c r="BP1642" s="10"/>
    </row>
    <row r="1643" spans="1:68" s="14" customFormat="1" ht="9" customHeight="1" x14ac:dyDescent="0.2">
      <c r="A1643" s="249"/>
      <c r="B1643" s="249"/>
      <c r="C1643" s="284"/>
      <c r="D1643" s="243" t="s">
        <v>33</v>
      </c>
      <c r="E1643" s="281"/>
      <c r="F1643" s="257"/>
      <c r="G1643" s="249"/>
      <c r="H1643" s="265">
        <f>SUM(H1640:H1642)</f>
        <v>7618</v>
      </c>
      <c r="I1643" s="256">
        <f>SUM(I1640:I1642)</f>
        <v>1</v>
      </c>
      <c r="J1643" s="249"/>
      <c r="K1643" s="226"/>
      <c r="L1643" s="10"/>
      <c r="M1643" s="10"/>
      <c r="N1643" s="10"/>
      <c r="O1643" s="10"/>
      <c r="P1643" s="10"/>
      <c r="Q1643" s="10"/>
      <c r="R1643" s="10"/>
      <c r="S1643" s="10"/>
      <c r="T1643" s="10"/>
      <c r="U1643" s="10"/>
      <c r="V1643" s="10"/>
      <c r="W1643" s="10"/>
      <c r="X1643" s="10"/>
      <c r="Y1643" s="10"/>
      <c r="Z1643" s="10"/>
      <c r="AA1643" s="10"/>
      <c r="AB1643" s="10"/>
      <c r="AC1643" s="10"/>
      <c r="AD1643" s="10"/>
      <c r="AE1643" s="10"/>
      <c r="AF1643" s="10"/>
      <c r="AG1643" s="10"/>
      <c r="AH1643" s="10"/>
      <c r="AI1643" s="10"/>
      <c r="AJ1643" s="10"/>
      <c r="AK1643" s="10"/>
      <c r="AL1643" s="10"/>
      <c r="AM1643" s="10"/>
      <c r="AN1643" s="10"/>
      <c r="AO1643" s="10"/>
      <c r="AP1643" s="10"/>
      <c r="AQ1643" s="10"/>
      <c r="AR1643" s="10"/>
      <c r="AS1643" s="10"/>
      <c r="AT1643" s="10"/>
      <c r="AU1643" s="10"/>
      <c r="AV1643" s="10"/>
      <c r="AW1643" s="10"/>
      <c r="AX1643" s="10"/>
      <c r="AY1643" s="10"/>
      <c r="AZ1643" s="10"/>
      <c r="BA1643" s="10"/>
      <c r="BB1643" s="10"/>
      <c r="BC1643" s="10"/>
      <c r="BD1643" s="10"/>
      <c r="BE1643" s="10"/>
      <c r="BF1643" s="10"/>
      <c r="BG1643" s="10"/>
      <c r="BH1643" s="10"/>
      <c r="BI1643" s="10"/>
      <c r="BJ1643" s="10"/>
      <c r="BK1643" s="10"/>
      <c r="BL1643" s="10"/>
      <c r="BM1643" s="10"/>
      <c r="BN1643" s="10"/>
      <c r="BO1643" s="10"/>
      <c r="BP1643" s="10"/>
    </row>
    <row r="1644" spans="1:68" s="14" customFormat="1" ht="9" customHeight="1" x14ac:dyDescent="0.2">
      <c r="A1644" s="249"/>
      <c r="B1644" s="249"/>
      <c r="C1644" s="284"/>
      <c r="D1644" s="243"/>
      <c r="E1644" s="281"/>
      <c r="F1644" s="257"/>
      <c r="G1644" s="249"/>
      <c r="H1644" s="249"/>
      <c r="I1644" s="262"/>
      <c r="J1644" s="249"/>
      <c r="K1644" s="226"/>
      <c r="L1644" s="10"/>
      <c r="M1644" s="10"/>
      <c r="N1644" s="10"/>
      <c r="O1644" s="10"/>
      <c r="P1644" s="10"/>
      <c r="Q1644" s="10"/>
      <c r="R1644" s="10"/>
      <c r="S1644" s="10"/>
      <c r="T1644" s="10"/>
      <c r="U1644" s="10"/>
      <c r="V1644" s="10"/>
      <c r="W1644" s="10"/>
      <c r="X1644" s="10"/>
      <c r="Y1644" s="10"/>
      <c r="Z1644" s="10"/>
      <c r="AA1644" s="10"/>
      <c r="AB1644" s="10"/>
      <c r="AC1644" s="10"/>
      <c r="AD1644" s="10"/>
      <c r="AE1644" s="10"/>
      <c r="AF1644" s="10"/>
      <c r="AG1644" s="10"/>
      <c r="AH1644" s="10"/>
      <c r="AI1644" s="10"/>
      <c r="AJ1644" s="10"/>
      <c r="AK1644" s="10"/>
      <c r="AL1644" s="10"/>
      <c r="AM1644" s="10"/>
      <c r="AN1644" s="10"/>
      <c r="AO1644" s="10"/>
      <c r="AP1644" s="10"/>
      <c r="AQ1644" s="10"/>
      <c r="AR1644" s="10"/>
      <c r="AS1644" s="10"/>
      <c r="AT1644" s="10"/>
      <c r="AU1644" s="10"/>
      <c r="AV1644" s="10"/>
      <c r="AW1644" s="10"/>
      <c r="AX1644" s="10"/>
      <c r="AY1644" s="10"/>
      <c r="AZ1644" s="10"/>
      <c r="BA1644" s="10"/>
      <c r="BB1644" s="10"/>
      <c r="BC1644" s="10"/>
      <c r="BD1644" s="10"/>
      <c r="BE1644" s="10"/>
      <c r="BF1644" s="10"/>
      <c r="BG1644" s="10"/>
      <c r="BH1644" s="10"/>
      <c r="BI1644" s="10"/>
      <c r="BJ1644" s="10"/>
      <c r="BK1644" s="10"/>
      <c r="BL1644" s="10"/>
      <c r="BM1644" s="10"/>
      <c r="BN1644" s="10"/>
      <c r="BO1644" s="10"/>
      <c r="BP1644" s="10"/>
    </row>
    <row r="1645" spans="1:68" s="14" customFormat="1" ht="9" customHeight="1" x14ac:dyDescent="0.2">
      <c r="A1645" s="261" t="s">
        <v>23</v>
      </c>
      <c r="B1645" s="264">
        <v>613</v>
      </c>
      <c r="C1645" s="243" t="s">
        <v>291</v>
      </c>
      <c r="D1645" s="249" t="s">
        <v>489</v>
      </c>
      <c r="E1645" s="336">
        <v>37778</v>
      </c>
      <c r="F1645" s="257">
        <v>5423000</v>
      </c>
      <c r="G1645" s="249">
        <v>37990</v>
      </c>
      <c r="H1645" s="242"/>
      <c r="I1645" s="251"/>
      <c r="J1645" s="242"/>
      <c r="K1645" s="226"/>
      <c r="L1645" s="10"/>
      <c r="M1645" s="10"/>
      <c r="N1645" s="10"/>
      <c r="O1645" s="10"/>
      <c r="P1645" s="10"/>
      <c r="Q1645" s="10"/>
      <c r="R1645" s="10"/>
      <c r="S1645" s="10"/>
      <c r="T1645" s="10"/>
      <c r="U1645" s="10"/>
      <c r="V1645" s="10"/>
      <c r="W1645" s="10"/>
      <c r="X1645" s="10"/>
      <c r="Y1645" s="10"/>
      <c r="Z1645" s="10"/>
      <c r="AA1645" s="10"/>
      <c r="AB1645" s="10"/>
      <c r="AC1645" s="10"/>
      <c r="AD1645" s="10"/>
      <c r="AE1645" s="10"/>
      <c r="AF1645" s="10"/>
      <c r="AG1645" s="10"/>
      <c r="AH1645" s="10"/>
      <c r="AI1645" s="10"/>
      <c r="AJ1645" s="10"/>
      <c r="AK1645" s="10"/>
      <c r="AL1645" s="10"/>
      <c r="AM1645" s="10"/>
      <c r="AN1645" s="10"/>
      <c r="AO1645" s="10"/>
      <c r="AP1645" s="10"/>
      <c r="AQ1645" s="10"/>
      <c r="AR1645" s="10"/>
      <c r="AS1645" s="10"/>
      <c r="AT1645" s="10"/>
      <c r="AU1645" s="10"/>
      <c r="AV1645" s="10"/>
      <c r="AW1645" s="10"/>
      <c r="AX1645" s="10"/>
      <c r="AY1645" s="10"/>
      <c r="AZ1645" s="10"/>
      <c r="BA1645" s="10"/>
      <c r="BB1645" s="10"/>
      <c r="BC1645" s="10"/>
      <c r="BD1645" s="10"/>
      <c r="BE1645" s="10"/>
      <c r="BF1645" s="10"/>
      <c r="BG1645" s="10"/>
      <c r="BH1645" s="10"/>
      <c r="BI1645" s="10"/>
      <c r="BJ1645" s="10"/>
      <c r="BK1645" s="10"/>
      <c r="BL1645" s="10"/>
      <c r="BM1645" s="10"/>
      <c r="BN1645" s="10"/>
      <c r="BO1645" s="10"/>
      <c r="BP1645" s="10"/>
    </row>
    <row r="1646" spans="1:68" s="14" customFormat="1" ht="9" customHeight="1" x14ac:dyDescent="0.2">
      <c r="A1646" s="249"/>
      <c r="B1646" s="249"/>
      <c r="C1646" s="284"/>
      <c r="D1646" s="244" t="s">
        <v>263</v>
      </c>
      <c r="E1646" s="281"/>
      <c r="F1646" s="257"/>
      <c r="G1646" s="249"/>
      <c r="H1646" s="242">
        <v>4677</v>
      </c>
      <c r="I1646" s="251">
        <f>H1646/$H$1650</f>
        <v>0.18223261250730566</v>
      </c>
      <c r="J1646" s="252"/>
      <c r="K1646" s="226"/>
      <c r="L1646" s="10"/>
      <c r="M1646" s="10"/>
      <c r="N1646" s="10"/>
      <c r="O1646" s="10"/>
      <c r="P1646" s="10"/>
      <c r="Q1646" s="10"/>
      <c r="R1646" s="10"/>
      <c r="S1646" s="10"/>
      <c r="T1646" s="10"/>
      <c r="U1646" s="10"/>
      <c r="V1646" s="10"/>
      <c r="W1646" s="10"/>
      <c r="X1646" s="10"/>
      <c r="Y1646" s="10"/>
      <c r="Z1646" s="10"/>
      <c r="AA1646" s="10"/>
      <c r="AB1646" s="10"/>
      <c r="AC1646" s="10"/>
      <c r="AD1646" s="10"/>
      <c r="AE1646" s="10"/>
      <c r="AF1646" s="10"/>
      <c r="AG1646" s="10"/>
      <c r="AH1646" s="10"/>
      <c r="AI1646" s="10"/>
      <c r="AJ1646" s="10"/>
      <c r="AK1646" s="10"/>
      <c r="AL1646" s="10"/>
      <c r="AM1646" s="10"/>
      <c r="AN1646" s="10"/>
      <c r="AO1646" s="10"/>
      <c r="AP1646" s="10"/>
      <c r="AQ1646" s="10"/>
      <c r="AR1646" s="10"/>
      <c r="AS1646" s="10"/>
      <c r="AT1646" s="10"/>
      <c r="AU1646" s="10"/>
      <c r="AV1646" s="10"/>
      <c r="AW1646" s="10"/>
      <c r="AX1646" s="10"/>
      <c r="AY1646" s="10"/>
      <c r="AZ1646" s="10"/>
      <c r="BA1646" s="10"/>
      <c r="BB1646" s="10"/>
      <c r="BC1646" s="10"/>
      <c r="BD1646" s="10"/>
      <c r="BE1646" s="10"/>
      <c r="BF1646" s="10"/>
      <c r="BG1646" s="10"/>
      <c r="BH1646" s="10"/>
      <c r="BI1646" s="10"/>
      <c r="BJ1646" s="10"/>
      <c r="BK1646" s="10"/>
      <c r="BL1646" s="10"/>
      <c r="BM1646" s="10"/>
      <c r="BN1646" s="10"/>
      <c r="BO1646" s="10"/>
      <c r="BP1646" s="10"/>
    </row>
    <row r="1647" spans="1:68" s="14" customFormat="1" ht="9" customHeight="1" x14ac:dyDescent="0.2">
      <c r="A1647" s="249"/>
      <c r="B1647" s="249"/>
      <c r="C1647" s="284"/>
      <c r="D1647" s="244" t="s">
        <v>286</v>
      </c>
      <c r="E1647" s="281"/>
      <c r="F1647" s="257"/>
      <c r="G1647" s="249"/>
      <c r="H1647" s="242">
        <v>14168</v>
      </c>
      <c r="I1647" s="251">
        <f>H1647/$H$1650</f>
        <v>0.55203584648353787</v>
      </c>
      <c r="J1647" s="252" t="s">
        <v>286</v>
      </c>
      <c r="K1647" s="226"/>
      <c r="L1647" s="10"/>
      <c r="M1647" s="10"/>
      <c r="N1647" s="10"/>
      <c r="O1647" s="10"/>
      <c r="P1647" s="10"/>
      <c r="Q1647" s="10"/>
      <c r="R1647" s="10"/>
      <c r="S1647" s="10"/>
      <c r="T1647" s="10"/>
      <c r="U1647" s="10"/>
      <c r="V1647" s="10"/>
      <c r="W1647" s="10"/>
      <c r="X1647" s="10"/>
      <c r="Y1647" s="10"/>
      <c r="Z1647" s="10"/>
      <c r="AA1647" s="10"/>
      <c r="AB1647" s="10"/>
      <c r="AC1647" s="10"/>
      <c r="AD1647" s="10"/>
      <c r="AE1647" s="10"/>
      <c r="AF1647" s="10"/>
      <c r="AG1647" s="10"/>
      <c r="AH1647" s="10"/>
      <c r="AI1647" s="10"/>
      <c r="AJ1647" s="10"/>
      <c r="AK1647" s="10"/>
      <c r="AL1647" s="10"/>
      <c r="AM1647" s="10"/>
      <c r="AN1647" s="10"/>
      <c r="AO1647" s="10"/>
      <c r="AP1647" s="10"/>
      <c r="AQ1647" s="10"/>
      <c r="AR1647" s="10"/>
      <c r="AS1647" s="10"/>
      <c r="AT1647" s="10"/>
      <c r="AU1647" s="10"/>
      <c r="AV1647" s="10"/>
      <c r="AW1647" s="10"/>
      <c r="AX1647" s="10"/>
      <c r="AY1647" s="10"/>
      <c r="AZ1647" s="10"/>
      <c r="BA1647" s="10"/>
      <c r="BB1647" s="10"/>
      <c r="BC1647" s="10"/>
      <c r="BD1647" s="10"/>
      <c r="BE1647" s="10"/>
      <c r="BF1647" s="10"/>
      <c r="BG1647" s="10"/>
      <c r="BH1647" s="10"/>
      <c r="BI1647" s="10"/>
      <c r="BJ1647" s="10"/>
      <c r="BK1647" s="10"/>
      <c r="BL1647" s="10"/>
      <c r="BM1647" s="10"/>
      <c r="BN1647" s="10"/>
      <c r="BO1647" s="10"/>
      <c r="BP1647" s="10"/>
    </row>
    <row r="1648" spans="1:68" s="14" customFormat="1" ht="9" customHeight="1" x14ac:dyDescent="0.2">
      <c r="A1648" s="249"/>
      <c r="B1648" s="249"/>
      <c r="C1648" s="284"/>
      <c r="D1648" s="244" t="s">
        <v>290</v>
      </c>
      <c r="E1648" s="281"/>
      <c r="F1648" s="257"/>
      <c r="G1648" s="249"/>
      <c r="H1648" s="242">
        <v>6300</v>
      </c>
      <c r="I1648" s="251">
        <f>H1648/$H$1650</f>
        <v>0.24547048509643482</v>
      </c>
      <c r="J1648" s="252"/>
      <c r="K1648" s="226"/>
      <c r="L1648" s="10"/>
      <c r="M1648" s="10"/>
      <c r="N1648" s="10"/>
      <c r="O1648" s="10"/>
      <c r="P1648" s="10"/>
      <c r="Q1648" s="10"/>
      <c r="R1648" s="10"/>
      <c r="S1648" s="10"/>
      <c r="T1648" s="10"/>
      <c r="U1648" s="10"/>
      <c r="V1648" s="10"/>
      <c r="W1648" s="10"/>
      <c r="X1648" s="10"/>
      <c r="Y1648" s="10"/>
      <c r="Z1648" s="10"/>
      <c r="AA1648" s="10"/>
      <c r="AB1648" s="10"/>
      <c r="AC1648" s="10"/>
      <c r="AD1648" s="10"/>
      <c r="AE1648" s="10"/>
      <c r="AF1648" s="10"/>
      <c r="AG1648" s="10"/>
      <c r="AH1648" s="10"/>
      <c r="AI1648" s="10"/>
      <c r="AJ1648" s="10"/>
      <c r="AK1648" s="10"/>
      <c r="AL1648" s="10"/>
      <c r="AM1648" s="10"/>
      <c r="AN1648" s="10"/>
      <c r="AO1648" s="10"/>
      <c r="AP1648" s="10"/>
      <c r="AQ1648" s="10"/>
      <c r="AR1648" s="10"/>
      <c r="AS1648" s="10"/>
      <c r="AT1648" s="10"/>
      <c r="AU1648" s="10"/>
      <c r="AV1648" s="10"/>
      <c r="AW1648" s="10"/>
      <c r="AX1648" s="10"/>
      <c r="AY1648" s="10"/>
      <c r="AZ1648" s="10"/>
      <c r="BA1648" s="10"/>
      <c r="BB1648" s="10"/>
      <c r="BC1648" s="10"/>
      <c r="BD1648" s="10"/>
      <c r="BE1648" s="10"/>
      <c r="BF1648" s="10"/>
      <c r="BG1648" s="10"/>
      <c r="BH1648" s="10"/>
      <c r="BI1648" s="10"/>
      <c r="BJ1648" s="10"/>
      <c r="BK1648" s="10"/>
      <c r="BL1648" s="10"/>
      <c r="BM1648" s="10"/>
      <c r="BN1648" s="10"/>
      <c r="BO1648" s="10"/>
      <c r="BP1648" s="10"/>
    </row>
    <row r="1649" spans="1:68" s="14" customFormat="1" ht="9" customHeight="1" x14ac:dyDescent="0.2">
      <c r="A1649" s="249"/>
      <c r="B1649" s="249"/>
      <c r="C1649" s="284"/>
      <c r="D1649" s="244" t="s">
        <v>294</v>
      </c>
      <c r="E1649" s="281"/>
      <c r="F1649" s="257"/>
      <c r="G1649" s="249"/>
      <c r="H1649" s="242">
        <v>520</v>
      </c>
      <c r="I1649" s="251">
        <f>H1649/$H$1650</f>
        <v>2.0261055912721607E-2</v>
      </c>
      <c r="J1649" s="252"/>
      <c r="K1649" s="226"/>
      <c r="L1649" s="10"/>
      <c r="M1649" s="10"/>
      <c r="N1649" s="10"/>
      <c r="O1649" s="10"/>
      <c r="P1649" s="10"/>
      <c r="Q1649" s="10"/>
      <c r="R1649" s="10"/>
      <c r="S1649" s="10"/>
      <c r="T1649" s="10"/>
      <c r="U1649" s="10"/>
      <c r="V1649" s="10"/>
      <c r="W1649" s="10"/>
      <c r="X1649" s="10"/>
      <c r="Y1649" s="10"/>
      <c r="Z1649" s="10"/>
      <c r="AA1649" s="10"/>
      <c r="AB1649" s="10"/>
      <c r="AC1649" s="10"/>
      <c r="AD1649" s="10"/>
      <c r="AE1649" s="10"/>
      <c r="AF1649" s="10"/>
      <c r="AG1649" s="10"/>
      <c r="AH1649" s="10"/>
      <c r="AI1649" s="10"/>
      <c r="AJ1649" s="10"/>
      <c r="AK1649" s="10"/>
      <c r="AL1649" s="10"/>
      <c r="AM1649" s="10"/>
      <c r="AN1649" s="10"/>
      <c r="AO1649" s="10"/>
      <c r="AP1649" s="10"/>
      <c r="AQ1649" s="10"/>
      <c r="AR1649" s="10"/>
      <c r="AS1649" s="10"/>
      <c r="AT1649" s="10"/>
      <c r="AU1649" s="10"/>
      <c r="AV1649" s="10"/>
      <c r="AW1649" s="10"/>
      <c r="AX1649" s="10"/>
      <c r="AY1649" s="10"/>
      <c r="AZ1649" s="10"/>
      <c r="BA1649" s="10"/>
      <c r="BB1649" s="10"/>
      <c r="BC1649" s="10"/>
      <c r="BD1649" s="10"/>
      <c r="BE1649" s="10"/>
      <c r="BF1649" s="10"/>
      <c r="BG1649" s="10"/>
      <c r="BH1649" s="10"/>
      <c r="BI1649" s="10"/>
      <c r="BJ1649" s="10"/>
      <c r="BK1649" s="10"/>
      <c r="BL1649" s="10"/>
      <c r="BM1649" s="10"/>
      <c r="BN1649" s="10"/>
      <c r="BO1649" s="10"/>
      <c r="BP1649" s="10"/>
    </row>
    <row r="1650" spans="1:68" s="14" customFormat="1" ht="9" customHeight="1" x14ac:dyDescent="0.2">
      <c r="A1650" s="249"/>
      <c r="B1650" s="249"/>
      <c r="C1650" s="284"/>
      <c r="D1650" s="243" t="s">
        <v>33</v>
      </c>
      <c r="E1650" s="281"/>
      <c r="F1650" s="257"/>
      <c r="G1650" s="249"/>
      <c r="H1650" s="265">
        <f>SUM(H1646:H1649)</f>
        <v>25665</v>
      </c>
      <c r="I1650" s="256">
        <f>SUM(I1646:I1649)</f>
        <v>1</v>
      </c>
      <c r="J1650" s="249"/>
      <c r="K1650" s="226"/>
      <c r="L1650" s="10"/>
      <c r="M1650" s="10"/>
      <c r="N1650" s="10"/>
      <c r="O1650" s="10"/>
      <c r="P1650" s="10"/>
      <c r="Q1650" s="10"/>
      <c r="R1650" s="10"/>
      <c r="S1650" s="10"/>
      <c r="T1650" s="10"/>
      <c r="U1650" s="10"/>
      <c r="V1650" s="10"/>
      <c r="W1650" s="10"/>
      <c r="X1650" s="10"/>
      <c r="Y1650" s="10"/>
      <c r="Z1650" s="10"/>
      <c r="AA1650" s="10"/>
      <c r="AB1650" s="10"/>
      <c r="AC1650" s="10"/>
      <c r="AD1650" s="10"/>
      <c r="AE1650" s="10"/>
      <c r="AF1650" s="10"/>
      <c r="AG1650" s="10"/>
      <c r="AH1650" s="10"/>
      <c r="AI1650" s="10"/>
      <c r="AJ1650" s="10"/>
      <c r="AK1650" s="10"/>
      <c r="AL1650" s="10"/>
      <c r="AM1650" s="10"/>
      <c r="AN1650" s="10"/>
      <c r="AO1650" s="10"/>
      <c r="AP1650" s="10"/>
      <c r="AQ1650" s="10"/>
      <c r="AR1650" s="10"/>
      <c r="AS1650" s="10"/>
      <c r="AT1650" s="10"/>
      <c r="AU1650" s="10"/>
      <c r="AV1650" s="10"/>
      <c r="AW1650" s="10"/>
      <c r="AX1650" s="10"/>
      <c r="AY1650" s="10"/>
      <c r="AZ1650" s="10"/>
      <c r="BA1650" s="10"/>
      <c r="BB1650" s="10"/>
      <c r="BC1650" s="10"/>
      <c r="BD1650" s="10"/>
      <c r="BE1650" s="10"/>
      <c r="BF1650" s="10"/>
      <c r="BG1650" s="10"/>
      <c r="BH1650" s="10"/>
      <c r="BI1650" s="10"/>
      <c r="BJ1650" s="10"/>
      <c r="BK1650" s="10"/>
      <c r="BL1650" s="10"/>
      <c r="BM1650" s="10"/>
      <c r="BN1650" s="10"/>
      <c r="BO1650" s="10"/>
      <c r="BP1650" s="10"/>
    </row>
    <row r="1651" spans="1:68" s="14" customFormat="1" ht="9" customHeight="1" x14ac:dyDescent="0.2">
      <c r="A1651" s="249"/>
      <c r="B1651" s="249"/>
      <c r="C1651" s="284"/>
      <c r="D1651" s="243"/>
      <c r="E1651" s="281"/>
      <c r="F1651" s="257"/>
      <c r="G1651" s="249"/>
      <c r="H1651" s="249"/>
      <c r="I1651" s="262"/>
      <c r="J1651" s="249"/>
      <c r="K1651" s="226"/>
      <c r="L1651" s="10"/>
      <c r="M1651" s="10"/>
      <c r="N1651" s="10"/>
      <c r="O1651" s="10"/>
      <c r="P1651" s="10"/>
      <c r="Q1651" s="10"/>
      <c r="R1651" s="10"/>
      <c r="S1651" s="10"/>
      <c r="T1651" s="10"/>
      <c r="U1651" s="10"/>
      <c r="V1651" s="10"/>
      <c r="W1651" s="10"/>
      <c r="X1651" s="10"/>
      <c r="Y1651" s="10"/>
      <c r="Z1651" s="10"/>
      <c r="AA1651" s="10"/>
      <c r="AB1651" s="10"/>
      <c r="AC1651" s="10"/>
      <c r="AD1651" s="10"/>
      <c r="AE1651" s="10"/>
      <c r="AF1651" s="10"/>
      <c r="AG1651" s="10"/>
      <c r="AH1651" s="10"/>
      <c r="AI1651" s="10"/>
      <c r="AJ1651" s="10"/>
      <c r="AK1651" s="10"/>
      <c r="AL1651" s="10"/>
      <c r="AM1651" s="10"/>
      <c r="AN1651" s="10"/>
      <c r="AO1651" s="10"/>
      <c r="AP1651" s="10"/>
      <c r="AQ1651" s="10"/>
      <c r="AR1651" s="10"/>
      <c r="AS1651" s="10"/>
      <c r="AT1651" s="10"/>
      <c r="AU1651" s="10"/>
      <c r="AV1651" s="10"/>
      <c r="AW1651" s="10"/>
      <c r="AX1651" s="10"/>
      <c r="AY1651" s="10"/>
      <c r="AZ1651" s="10"/>
      <c r="BA1651" s="10"/>
      <c r="BB1651" s="10"/>
      <c r="BC1651" s="10"/>
      <c r="BD1651" s="10"/>
      <c r="BE1651" s="10"/>
      <c r="BF1651" s="10"/>
      <c r="BG1651" s="10"/>
      <c r="BH1651" s="10"/>
      <c r="BI1651" s="10"/>
      <c r="BJ1651" s="10"/>
      <c r="BK1651" s="10"/>
      <c r="BL1651" s="10"/>
      <c r="BM1651" s="10"/>
      <c r="BN1651" s="10"/>
      <c r="BO1651" s="10"/>
      <c r="BP1651" s="10"/>
    </row>
    <row r="1652" spans="1:68" s="14" customFormat="1" ht="9" customHeight="1" x14ac:dyDescent="0.2">
      <c r="A1652" s="261" t="s">
        <v>23</v>
      </c>
      <c r="B1652" s="264">
        <v>611</v>
      </c>
      <c r="C1652" s="243" t="s">
        <v>291</v>
      </c>
      <c r="D1652" s="249" t="s">
        <v>499</v>
      </c>
      <c r="E1652" s="281">
        <v>38446</v>
      </c>
      <c r="F1652" s="257">
        <v>9931043</v>
      </c>
      <c r="G1652" s="249">
        <v>41629</v>
      </c>
      <c r="H1652" s="242"/>
      <c r="I1652" s="251"/>
      <c r="J1652" s="242"/>
      <c r="K1652" s="226"/>
      <c r="L1652" s="10"/>
      <c r="M1652" s="10"/>
      <c r="N1652" s="10"/>
      <c r="O1652" s="10"/>
      <c r="P1652" s="10"/>
      <c r="Q1652" s="10"/>
      <c r="R1652" s="10"/>
      <c r="S1652" s="10"/>
      <c r="T1652" s="10"/>
      <c r="U1652" s="10"/>
      <c r="V1652" s="10"/>
      <c r="W1652" s="10"/>
      <c r="X1652" s="10"/>
      <c r="Y1652" s="10"/>
      <c r="Z1652" s="10"/>
      <c r="AA1652" s="10"/>
      <c r="AB1652" s="10"/>
      <c r="AC1652" s="10"/>
      <c r="AD1652" s="10"/>
      <c r="AE1652" s="10"/>
      <c r="AF1652" s="10"/>
      <c r="AG1652" s="10"/>
      <c r="AH1652" s="10"/>
      <c r="AI1652" s="10"/>
      <c r="AJ1652" s="10"/>
      <c r="AK1652" s="10"/>
      <c r="AL1652" s="10"/>
      <c r="AM1652" s="10"/>
      <c r="AN1652" s="10"/>
      <c r="AO1652" s="10"/>
      <c r="AP1652" s="10"/>
      <c r="AQ1652" s="10"/>
      <c r="AR1652" s="10"/>
      <c r="AS1652" s="10"/>
      <c r="AT1652" s="10"/>
      <c r="AU1652" s="10"/>
      <c r="AV1652" s="10"/>
      <c r="AW1652" s="10"/>
      <c r="AX1652" s="10"/>
      <c r="AY1652" s="10"/>
      <c r="AZ1652" s="10"/>
      <c r="BA1652" s="10"/>
      <c r="BB1652" s="10"/>
      <c r="BC1652" s="10"/>
      <c r="BD1652" s="10"/>
      <c r="BE1652" s="10"/>
      <c r="BF1652" s="10"/>
      <c r="BG1652" s="10"/>
      <c r="BH1652" s="10"/>
      <c r="BI1652" s="10"/>
      <c r="BJ1652" s="10"/>
      <c r="BK1652" s="10"/>
      <c r="BL1652" s="10"/>
      <c r="BM1652" s="10"/>
      <c r="BN1652" s="10"/>
      <c r="BO1652" s="10"/>
      <c r="BP1652" s="10"/>
    </row>
    <row r="1653" spans="1:68" s="14" customFormat="1" ht="9" customHeight="1" x14ac:dyDescent="0.2">
      <c r="A1653" s="249"/>
      <c r="B1653" s="249"/>
      <c r="C1653" s="284"/>
      <c r="D1653" s="244" t="s">
        <v>293</v>
      </c>
      <c r="E1653" s="281"/>
      <c r="F1653" s="257"/>
      <c r="G1653" s="249"/>
      <c r="H1653" s="242">
        <v>16083</v>
      </c>
      <c r="I1653" s="251">
        <f>H1653/$H$1656</f>
        <v>0.62638261411434804</v>
      </c>
      <c r="J1653" s="252" t="s">
        <v>293</v>
      </c>
      <c r="K1653" s="226"/>
      <c r="L1653" s="10"/>
      <c r="M1653" s="10"/>
      <c r="N1653" s="10"/>
      <c r="O1653" s="10"/>
      <c r="P1653" s="10"/>
      <c r="Q1653" s="10"/>
      <c r="R1653" s="10"/>
      <c r="S1653" s="10"/>
      <c r="T1653" s="10"/>
      <c r="U1653" s="10"/>
      <c r="V1653" s="10"/>
      <c r="W1653" s="10"/>
      <c r="X1653" s="10"/>
      <c r="Y1653" s="10"/>
      <c r="Z1653" s="10"/>
      <c r="AA1653" s="10"/>
      <c r="AB1653" s="10"/>
      <c r="AC1653" s="10"/>
      <c r="AD1653" s="10"/>
      <c r="AE1653" s="10"/>
      <c r="AF1653" s="10"/>
      <c r="AG1653" s="10"/>
      <c r="AH1653" s="10"/>
      <c r="AI1653" s="10"/>
      <c r="AJ1653" s="10"/>
      <c r="AK1653" s="10"/>
      <c r="AL1653" s="10"/>
      <c r="AM1653" s="10"/>
      <c r="AN1653" s="10"/>
      <c r="AO1653" s="10"/>
      <c r="AP1653" s="10"/>
      <c r="AQ1653" s="10"/>
      <c r="AR1653" s="10"/>
      <c r="AS1653" s="10"/>
      <c r="AT1653" s="10"/>
      <c r="AU1653" s="10"/>
      <c r="AV1653" s="10"/>
      <c r="AW1653" s="10"/>
      <c r="AX1653" s="10"/>
      <c r="AY1653" s="10"/>
      <c r="AZ1653" s="10"/>
      <c r="BA1653" s="10"/>
      <c r="BB1653" s="10"/>
      <c r="BC1653" s="10"/>
      <c r="BD1653" s="10"/>
      <c r="BE1653" s="10"/>
      <c r="BF1653" s="10"/>
      <c r="BG1653" s="10"/>
      <c r="BH1653" s="10"/>
      <c r="BI1653" s="10"/>
      <c r="BJ1653" s="10"/>
      <c r="BK1653" s="10"/>
      <c r="BL1653" s="10"/>
      <c r="BM1653" s="10"/>
      <c r="BN1653" s="10"/>
      <c r="BO1653" s="10"/>
      <c r="BP1653" s="10"/>
    </row>
    <row r="1654" spans="1:68" s="14" customFormat="1" ht="9" customHeight="1" x14ac:dyDescent="0.2">
      <c r="A1654" s="249"/>
      <c r="B1654" s="249"/>
      <c r="C1654" s="284"/>
      <c r="D1654" s="244" t="s">
        <v>290</v>
      </c>
      <c r="E1654" s="281"/>
      <c r="F1654" s="257"/>
      <c r="G1654" s="249"/>
      <c r="H1654" s="242">
        <v>4338</v>
      </c>
      <c r="I1654" s="251">
        <f>H1654/$H$1656</f>
        <v>0.16895155008568313</v>
      </c>
      <c r="J1654" s="252"/>
      <c r="K1654" s="226"/>
      <c r="L1654" s="10"/>
      <c r="M1654" s="10"/>
      <c r="N1654" s="10"/>
      <c r="O1654" s="10"/>
      <c r="P1654" s="10"/>
      <c r="Q1654" s="10"/>
      <c r="R1654" s="10"/>
      <c r="S1654" s="10"/>
      <c r="T1654" s="10"/>
      <c r="U1654" s="10"/>
      <c r="V1654" s="10"/>
      <c r="W1654" s="10"/>
      <c r="X1654" s="10"/>
      <c r="Y1654" s="10"/>
      <c r="Z1654" s="10"/>
      <c r="AA1654" s="10"/>
      <c r="AB1654" s="10"/>
      <c r="AC1654" s="10"/>
      <c r="AD1654" s="10"/>
      <c r="AE1654" s="10"/>
      <c r="AF1654" s="10"/>
      <c r="AG1654" s="10"/>
      <c r="AH1654" s="10"/>
      <c r="AI1654" s="10"/>
      <c r="AJ1654" s="10"/>
      <c r="AK1654" s="10"/>
      <c r="AL1654" s="10"/>
      <c r="AM1654" s="10"/>
      <c r="AN1654" s="10"/>
      <c r="AO1654" s="10"/>
      <c r="AP1654" s="10"/>
      <c r="AQ1654" s="10"/>
      <c r="AR1654" s="10"/>
      <c r="AS1654" s="10"/>
      <c r="AT1654" s="10"/>
      <c r="AU1654" s="10"/>
      <c r="AV1654" s="10"/>
      <c r="AW1654" s="10"/>
      <c r="AX1654" s="10"/>
      <c r="AY1654" s="10"/>
      <c r="AZ1654" s="10"/>
      <c r="BA1654" s="10"/>
      <c r="BB1654" s="10"/>
      <c r="BC1654" s="10"/>
      <c r="BD1654" s="10"/>
      <c r="BE1654" s="10"/>
      <c r="BF1654" s="10"/>
      <c r="BG1654" s="10"/>
      <c r="BH1654" s="10"/>
      <c r="BI1654" s="10"/>
      <c r="BJ1654" s="10"/>
      <c r="BK1654" s="10"/>
      <c r="BL1654" s="10"/>
      <c r="BM1654" s="10"/>
      <c r="BN1654" s="10"/>
      <c r="BO1654" s="10"/>
      <c r="BP1654" s="10"/>
    </row>
    <row r="1655" spans="1:68" s="14" customFormat="1" ht="9" customHeight="1" x14ac:dyDescent="0.2">
      <c r="A1655" s="249"/>
      <c r="B1655" s="249"/>
      <c r="C1655" s="284"/>
      <c r="D1655" s="244" t="s">
        <v>294</v>
      </c>
      <c r="E1655" s="281"/>
      <c r="F1655" s="257"/>
      <c r="G1655" s="249"/>
      <c r="H1655" s="242">
        <v>5255</v>
      </c>
      <c r="I1655" s="251">
        <f>H1655/$H$1656</f>
        <v>0.20466583579996883</v>
      </c>
      <c r="J1655" s="252"/>
      <c r="K1655" s="226"/>
      <c r="L1655" s="10"/>
      <c r="M1655" s="10"/>
      <c r="N1655" s="10"/>
      <c r="O1655" s="10"/>
      <c r="P1655" s="10"/>
      <c r="Q1655" s="10"/>
      <c r="R1655" s="10"/>
      <c r="S1655" s="10"/>
      <c r="T1655" s="10"/>
      <c r="U1655" s="10"/>
      <c r="V1655" s="10"/>
      <c r="W1655" s="10"/>
      <c r="X1655" s="10"/>
      <c r="Y1655" s="10"/>
      <c r="Z1655" s="10"/>
      <c r="AA1655" s="10"/>
      <c r="AB1655" s="10"/>
      <c r="AC1655" s="10"/>
      <c r="AD1655" s="10"/>
      <c r="AE1655" s="10"/>
      <c r="AF1655" s="10"/>
      <c r="AG1655" s="10"/>
      <c r="AH1655" s="10"/>
      <c r="AI1655" s="10"/>
      <c r="AJ1655" s="10"/>
      <c r="AK1655" s="10"/>
      <c r="AL1655" s="10"/>
      <c r="AM1655" s="10"/>
      <c r="AN1655" s="10"/>
      <c r="AO1655" s="10"/>
      <c r="AP1655" s="10"/>
      <c r="AQ1655" s="10"/>
      <c r="AR1655" s="10"/>
      <c r="AS1655" s="10"/>
      <c r="AT1655" s="10"/>
      <c r="AU1655" s="10"/>
      <c r="AV1655" s="10"/>
      <c r="AW1655" s="10"/>
      <c r="AX1655" s="10"/>
      <c r="AY1655" s="10"/>
      <c r="AZ1655" s="10"/>
      <c r="BA1655" s="10"/>
      <c r="BB1655" s="10"/>
      <c r="BC1655" s="10"/>
      <c r="BD1655" s="10"/>
      <c r="BE1655" s="10"/>
      <c r="BF1655" s="10"/>
      <c r="BG1655" s="10"/>
      <c r="BH1655" s="10"/>
      <c r="BI1655" s="10"/>
      <c r="BJ1655" s="10"/>
      <c r="BK1655" s="10"/>
      <c r="BL1655" s="10"/>
      <c r="BM1655" s="10"/>
      <c r="BN1655" s="10"/>
      <c r="BO1655" s="10"/>
      <c r="BP1655" s="10"/>
    </row>
    <row r="1656" spans="1:68" s="14" customFormat="1" ht="9" customHeight="1" x14ac:dyDescent="0.2">
      <c r="A1656" s="249"/>
      <c r="B1656" s="249"/>
      <c r="C1656" s="284"/>
      <c r="D1656" s="243" t="s">
        <v>33</v>
      </c>
      <c r="E1656" s="281"/>
      <c r="F1656" s="257"/>
      <c r="G1656" s="249"/>
      <c r="H1656" s="265">
        <f>SUM(H1653:H1655)</f>
        <v>25676</v>
      </c>
      <c r="I1656" s="256">
        <f>SUM(I1653:I1655)</f>
        <v>1</v>
      </c>
      <c r="J1656" s="249"/>
      <c r="K1656" s="226"/>
      <c r="L1656" s="10"/>
      <c r="M1656" s="10"/>
      <c r="N1656" s="10"/>
      <c r="O1656" s="10"/>
      <c r="P1656" s="10"/>
      <c r="Q1656" s="10"/>
      <c r="R1656" s="10"/>
      <c r="S1656" s="10"/>
      <c r="T1656" s="10"/>
      <c r="U1656" s="10"/>
      <c r="V1656" s="10"/>
      <c r="W1656" s="10"/>
      <c r="X1656" s="10"/>
      <c r="Y1656" s="10"/>
      <c r="Z1656" s="10"/>
      <c r="AA1656" s="10"/>
      <c r="AB1656" s="10"/>
      <c r="AC1656" s="10"/>
      <c r="AD1656" s="10"/>
      <c r="AE1656" s="10"/>
      <c r="AF1656" s="10"/>
      <c r="AG1656" s="10"/>
      <c r="AH1656" s="10"/>
      <c r="AI1656" s="10"/>
      <c r="AJ1656" s="10"/>
      <c r="AK1656" s="10"/>
      <c r="AL1656" s="10"/>
      <c r="AM1656" s="10"/>
      <c r="AN1656" s="10"/>
      <c r="AO1656" s="10"/>
      <c r="AP1656" s="10"/>
      <c r="AQ1656" s="10"/>
      <c r="AR1656" s="10"/>
      <c r="AS1656" s="10"/>
      <c r="AT1656" s="10"/>
      <c r="AU1656" s="10"/>
      <c r="AV1656" s="10"/>
      <c r="AW1656" s="10"/>
      <c r="AX1656" s="10"/>
      <c r="AY1656" s="10"/>
      <c r="AZ1656" s="10"/>
      <c r="BA1656" s="10"/>
      <c r="BB1656" s="10"/>
      <c r="BC1656" s="10"/>
      <c r="BD1656" s="10"/>
      <c r="BE1656" s="10"/>
      <c r="BF1656" s="10"/>
      <c r="BG1656" s="10"/>
      <c r="BH1656" s="10"/>
      <c r="BI1656" s="10"/>
      <c r="BJ1656" s="10"/>
      <c r="BK1656" s="10"/>
      <c r="BL1656" s="10"/>
      <c r="BM1656" s="10"/>
      <c r="BN1656" s="10"/>
      <c r="BO1656" s="10"/>
      <c r="BP1656" s="10"/>
    </row>
    <row r="1657" spans="1:68" s="14" customFormat="1" ht="9" customHeight="1" x14ac:dyDescent="0.2">
      <c r="A1657" s="249"/>
      <c r="B1657" s="249"/>
      <c r="C1657" s="284"/>
      <c r="D1657" s="243"/>
      <c r="E1657" s="281"/>
      <c r="F1657" s="257"/>
      <c r="G1657" s="249"/>
      <c r="H1657" s="249"/>
      <c r="I1657" s="262"/>
      <c r="J1657" s="249"/>
      <c r="K1657" s="226"/>
      <c r="L1657" s="10"/>
      <c r="M1657" s="10"/>
      <c r="N1657" s="10"/>
      <c r="O1657" s="10"/>
      <c r="P1657" s="10"/>
      <c r="Q1657" s="10"/>
      <c r="R1657" s="10"/>
      <c r="S1657" s="10"/>
      <c r="T1657" s="10"/>
      <c r="U1657" s="10"/>
      <c r="V1657" s="10"/>
      <c r="W1657" s="10"/>
      <c r="X1657" s="10"/>
      <c r="Y1657" s="10"/>
      <c r="Z1657" s="10"/>
      <c r="AA1657" s="10"/>
      <c r="AB1657" s="10"/>
      <c r="AC1657" s="10"/>
      <c r="AD1657" s="10"/>
      <c r="AE1657" s="10"/>
      <c r="AF1657" s="10"/>
      <c r="AG1657" s="10"/>
      <c r="AH1657" s="10"/>
      <c r="AI1657" s="10"/>
      <c r="AJ1657" s="10"/>
      <c r="AK1657" s="10"/>
      <c r="AL1657" s="10"/>
      <c r="AM1657" s="10"/>
      <c r="AN1657" s="10"/>
      <c r="AO1657" s="10"/>
      <c r="AP1657" s="10"/>
      <c r="AQ1657" s="10"/>
      <c r="AR1657" s="10"/>
      <c r="AS1657" s="10"/>
      <c r="AT1657" s="10"/>
      <c r="AU1657" s="10"/>
      <c r="AV1657" s="10"/>
      <c r="AW1657" s="10"/>
      <c r="AX1657" s="10"/>
      <c r="AY1657" s="10"/>
      <c r="AZ1657" s="10"/>
      <c r="BA1657" s="10"/>
      <c r="BB1657" s="10"/>
      <c r="BC1657" s="10"/>
      <c r="BD1657" s="10"/>
      <c r="BE1657" s="10"/>
      <c r="BF1657" s="10"/>
      <c r="BG1657" s="10"/>
      <c r="BH1657" s="10"/>
      <c r="BI1657" s="10"/>
      <c r="BJ1657" s="10"/>
      <c r="BK1657" s="10"/>
      <c r="BL1657" s="10"/>
      <c r="BM1657" s="10"/>
      <c r="BN1657" s="10"/>
      <c r="BO1657" s="10"/>
      <c r="BP1657" s="10"/>
    </row>
    <row r="1658" spans="1:68" s="14" customFormat="1" ht="9" customHeight="1" x14ac:dyDescent="0.2">
      <c r="A1658" s="261" t="s">
        <v>23</v>
      </c>
      <c r="B1658" s="264">
        <v>614</v>
      </c>
      <c r="C1658" s="243" t="s">
        <v>291</v>
      </c>
      <c r="D1658" s="249" t="s">
        <v>505</v>
      </c>
      <c r="E1658" s="281">
        <v>38231</v>
      </c>
      <c r="F1658" s="257">
        <v>4778447</v>
      </c>
      <c r="G1658" s="249">
        <v>20310</v>
      </c>
      <c r="H1658" s="242"/>
      <c r="I1658" s="251"/>
      <c r="J1658" s="242"/>
      <c r="K1658" s="226"/>
      <c r="L1658" s="10"/>
      <c r="M1658" s="10"/>
      <c r="N1658" s="10"/>
      <c r="O1658" s="10"/>
      <c r="P1658" s="10"/>
      <c r="Q1658" s="10"/>
      <c r="R1658" s="10"/>
      <c r="S1658" s="10"/>
      <c r="T1658" s="10"/>
      <c r="U1658" s="10"/>
      <c r="V1658" s="10"/>
      <c r="W1658" s="10"/>
      <c r="X1658" s="10"/>
      <c r="Y1658" s="10"/>
      <c r="Z1658" s="10"/>
      <c r="AA1658" s="10"/>
      <c r="AB1658" s="10"/>
      <c r="AC1658" s="10"/>
      <c r="AD1658" s="10"/>
      <c r="AE1658" s="10"/>
      <c r="AF1658" s="10"/>
      <c r="AG1658" s="10"/>
      <c r="AH1658" s="10"/>
      <c r="AI1658" s="10"/>
      <c r="AJ1658" s="10"/>
      <c r="AK1658" s="10"/>
      <c r="AL1658" s="10"/>
      <c r="AM1658" s="10"/>
      <c r="AN1658" s="10"/>
      <c r="AO1658" s="10"/>
      <c r="AP1658" s="10"/>
      <c r="AQ1658" s="10"/>
      <c r="AR1658" s="10"/>
      <c r="AS1658" s="10"/>
      <c r="AT1658" s="10"/>
      <c r="AU1658" s="10"/>
      <c r="AV1658" s="10"/>
      <c r="AW1658" s="10"/>
      <c r="AX1658" s="10"/>
      <c r="AY1658" s="10"/>
      <c r="AZ1658" s="10"/>
      <c r="BA1658" s="10"/>
      <c r="BB1658" s="10"/>
      <c r="BC1658" s="10"/>
      <c r="BD1658" s="10"/>
      <c r="BE1658" s="10"/>
      <c r="BF1658" s="10"/>
      <c r="BG1658" s="10"/>
      <c r="BH1658" s="10"/>
      <c r="BI1658" s="10"/>
      <c r="BJ1658" s="10"/>
      <c r="BK1658" s="10"/>
      <c r="BL1658" s="10"/>
      <c r="BM1658" s="10"/>
      <c r="BN1658" s="10"/>
      <c r="BO1658" s="10"/>
      <c r="BP1658" s="10"/>
    </row>
    <row r="1659" spans="1:68" s="14" customFormat="1" ht="9" customHeight="1" x14ac:dyDescent="0.2">
      <c r="A1659" s="249"/>
      <c r="B1659" s="249"/>
      <c r="C1659" s="284"/>
      <c r="D1659" s="244" t="s">
        <v>263</v>
      </c>
      <c r="E1659" s="281"/>
      <c r="F1659" s="257"/>
      <c r="G1659" s="249"/>
      <c r="H1659" s="242">
        <v>4679</v>
      </c>
      <c r="I1659" s="251">
        <f>H1659/$H$1662</f>
        <v>0.30845803942250644</v>
      </c>
      <c r="J1659" s="252"/>
      <c r="K1659" s="226"/>
      <c r="L1659" s="10"/>
      <c r="M1659" s="10"/>
      <c r="N1659" s="10"/>
      <c r="O1659" s="10"/>
      <c r="P1659" s="10"/>
      <c r="Q1659" s="10"/>
      <c r="R1659" s="10"/>
      <c r="S1659" s="10"/>
      <c r="T1659" s="10"/>
      <c r="U1659" s="10"/>
      <c r="V1659" s="10"/>
      <c r="W1659" s="10"/>
      <c r="X1659" s="10"/>
      <c r="Y1659" s="10"/>
      <c r="Z1659" s="10"/>
      <c r="AA1659" s="10"/>
      <c r="AB1659" s="10"/>
      <c r="AC1659" s="10"/>
      <c r="AD1659" s="10"/>
      <c r="AE1659" s="10"/>
      <c r="AF1659" s="10"/>
      <c r="AG1659" s="10"/>
      <c r="AH1659" s="10"/>
      <c r="AI1659" s="10"/>
      <c r="AJ1659" s="10"/>
      <c r="AK1659" s="10"/>
      <c r="AL1659" s="10"/>
      <c r="AM1659" s="10"/>
      <c r="AN1659" s="10"/>
      <c r="AO1659" s="10"/>
      <c r="AP1659" s="10"/>
      <c r="AQ1659" s="10"/>
      <c r="AR1659" s="10"/>
      <c r="AS1659" s="10"/>
      <c r="AT1659" s="10"/>
      <c r="AU1659" s="10"/>
      <c r="AV1659" s="10"/>
      <c r="AW1659" s="10"/>
      <c r="AX1659" s="10"/>
      <c r="AY1659" s="10"/>
      <c r="AZ1659" s="10"/>
      <c r="BA1659" s="10"/>
      <c r="BB1659" s="10"/>
      <c r="BC1659" s="10"/>
      <c r="BD1659" s="10"/>
      <c r="BE1659" s="10"/>
      <c r="BF1659" s="10"/>
      <c r="BG1659" s="10"/>
      <c r="BH1659" s="10"/>
      <c r="BI1659" s="10"/>
      <c r="BJ1659" s="10"/>
      <c r="BK1659" s="10"/>
      <c r="BL1659" s="10"/>
      <c r="BM1659" s="10"/>
      <c r="BN1659" s="10"/>
      <c r="BO1659" s="10"/>
      <c r="BP1659" s="10"/>
    </row>
    <row r="1660" spans="1:68" s="14" customFormat="1" ht="9" customHeight="1" x14ac:dyDescent="0.2">
      <c r="A1660" s="279"/>
      <c r="B1660" s="249"/>
      <c r="C1660" s="284"/>
      <c r="D1660" s="244" t="s">
        <v>264</v>
      </c>
      <c r="E1660" s="365"/>
      <c r="F1660" s="257"/>
      <c r="G1660" s="249"/>
      <c r="H1660" s="242">
        <v>8500</v>
      </c>
      <c r="I1660" s="251">
        <f>H1660/$H$1662</f>
        <v>0.56035335223152483</v>
      </c>
      <c r="J1660" s="252" t="s">
        <v>264</v>
      </c>
      <c r="K1660" s="226"/>
      <c r="L1660" s="10"/>
      <c r="M1660" s="10"/>
      <c r="N1660" s="10"/>
      <c r="O1660" s="10"/>
      <c r="P1660" s="10"/>
      <c r="Q1660" s="10"/>
      <c r="R1660" s="10"/>
      <c r="S1660" s="10"/>
      <c r="T1660" s="10"/>
      <c r="U1660" s="10"/>
      <c r="V1660" s="10"/>
      <c r="W1660" s="10"/>
      <c r="X1660" s="10"/>
      <c r="Y1660" s="10"/>
      <c r="Z1660" s="10"/>
      <c r="AA1660" s="10"/>
      <c r="AB1660" s="10"/>
      <c r="AC1660" s="10"/>
      <c r="AD1660" s="10"/>
      <c r="AE1660" s="10"/>
      <c r="AF1660" s="10"/>
      <c r="AG1660" s="10"/>
      <c r="AH1660" s="10"/>
      <c r="AI1660" s="10"/>
      <c r="AJ1660" s="10"/>
      <c r="AK1660" s="10"/>
      <c r="AL1660" s="10"/>
      <c r="AM1660" s="10"/>
      <c r="AN1660" s="10"/>
      <c r="AO1660" s="10"/>
      <c r="AP1660" s="10"/>
      <c r="AQ1660" s="10"/>
      <c r="AR1660" s="10"/>
      <c r="AS1660" s="10"/>
      <c r="AT1660" s="10"/>
      <c r="AU1660" s="10"/>
      <c r="AV1660" s="10"/>
      <c r="AW1660" s="10"/>
      <c r="AX1660" s="10"/>
      <c r="AY1660" s="10"/>
      <c r="AZ1660" s="10"/>
      <c r="BA1660" s="10"/>
      <c r="BB1660" s="10"/>
      <c r="BC1660" s="10"/>
      <c r="BD1660" s="10"/>
      <c r="BE1660" s="10"/>
      <c r="BF1660" s="10"/>
      <c r="BG1660" s="10"/>
      <c r="BH1660" s="10"/>
      <c r="BI1660" s="10"/>
      <c r="BJ1660" s="10"/>
      <c r="BK1660" s="10"/>
      <c r="BL1660" s="10"/>
      <c r="BM1660" s="10"/>
      <c r="BN1660" s="10"/>
      <c r="BO1660" s="10"/>
      <c r="BP1660" s="10"/>
    </row>
    <row r="1661" spans="1:68" s="14" customFormat="1" ht="9" customHeight="1" x14ac:dyDescent="0.2">
      <c r="A1661" s="249"/>
      <c r="B1661" s="249"/>
      <c r="C1661" s="284"/>
      <c r="D1661" s="244" t="s">
        <v>290</v>
      </c>
      <c r="E1661" s="281"/>
      <c r="F1661" s="257"/>
      <c r="G1661" s="249"/>
      <c r="H1661" s="242">
        <v>1990</v>
      </c>
      <c r="I1661" s="251">
        <f>H1661/$H$1662</f>
        <v>0.13118860834596877</v>
      </c>
      <c r="J1661" s="252"/>
      <c r="K1661" s="226"/>
      <c r="L1661" s="10"/>
      <c r="M1661" s="10"/>
      <c r="N1661" s="10"/>
      <c r="O1661" s="10"/>
      <c r="P1661" s="10"/>
      <c r="Q1661" s="10"/>
      <c r="R1661" s="10"/>
      <c r="S1661" s="10"/>
      <c r="T1661" s="10"/>
      <c r="U1661" s="10"/>
      <c r="V1661" s="10"/>
      <c r="W1661" s="10"/>
      <c r="X1661" s="10"/>
      <c r="Y1661" s="10"/>
      <c r="Z1661" s="10"/>
      <c r="AA1661" s="10"/>
      <c r="AB1661" s="10"/>
      <c r="AC1661" s="10"/>
      <c r="AD1661" s="10"/>
      <c r="AE1661" s="10"/>
      <c r="AF1661" s="10"/>
      <c r="AG1661" s="10"/>
      <c r="AH1661" s="10"/>
      <c r="AI1661" s="10"/>
      <c r="AJ1661" s="10"/>
      <c r="AK1661" s="10"/>
      <c r="AL1661" s="10"/>
      <c r="AM1661" s="10"/>
      <c r="AN1661" s="10"/>
      <c r="AO1661" s="10"/>
      <c r="AP1661" s="10"/>
      <c r="AQ1661" s="10"/>
      <c r="AR1661" s="10"/>
      <c r="AS1661" s="10"/>
      <c r="AT1661" s="10"/>
      <c r="AU1661" s="10"/>
      <c r="AV1661" s="10"/>
      <c r="AW1661" s="10"/>
      <c r="AX1661" s="10"/>
      <c r="AY1661" s="10"/>
      <c r="AZ1661" s="10"/>
      <c r="BA1661" s="10"/>
      <c r="BB1661" s="10"/>
      <c r="BC1661" s="10"/>
      <c r="BD1661" s="10"/>
      <c r="BE1661" s="10"/>
      <c r="BF1661" s="10"/>
      <c r="BG1661" s="10"/>
      <c r="BH1661" s="10"/>
      <c r="BI1661" s="10"/>
      <c r="BJ1661" s="10"/>
      <c r="BK1661" s="10"/>
      <c r="BL1661" s="10"/>
      <c r="BM1661" s="10"/>
      <c r="BN1661" s="10"/>
      <c r="BO1661" s="10"/>
      <c r="BP1661" s="10"/>
    </row>
    <row r="1662" spans="1:68" s="14" customFormat="1" ht="9" customHeight="1" x14ac:dyDescent="0.2">
      <c r="A1662" s="249"/>
      <c r="B1662" s="249"/>
      <c r="C1662" s="284"/>
      <c r="D1662" s="243" t="s">
        <v>33</v>
      </c>
      <c r="E1662" s="281"/>
      <c r="F1662" s="257"/>
      <c r="G1662" s="249"/>
      <c r="H1662" s="265">
        <f>SUM(H1659:H1661)</f>
        <v>15169</v>
      </c>
      <c r="I1662" s="256">
        <f>SUM(I1659:I1661)</f>
        <v>1</v>
      </c>
      <c r="J1662" s="249"/>
      <c r="K1662" s="226"/>
      <c r="L1662" s="10"/>
      <c r="M1662" s="10"/>
      <c r="N1662" s="10"/>
      <c r="O1662" s="10"/>
      <c r="P1662" s="10"/>
      <c r="Q1662" s="10"/>
      <c r="R1662" s="10"/>
      <c r="S1662" s="10"/>
      <c r="T1662" s="10"/>
      <c r="U1662" s="10"/>
      <c r="V1662" s="10"/>
      <c r="W1662" s="10"/>
      <c r="X1662" s="10"/>
      <c r="Y1662" s="10"/>
      <c r="Z1662" s="10"/>
      <c r="AA1662" s="10"/>
      <c r="AB1662" s="10"/>
      <c r="AC1662" s="10"/>
      <c r="AD1662" s="10"/>
      <c r="AE1662" s="10"/>
      <c r="AF1662" s="10"/>
      <c r="AG1662" s="10"/>
      <c r="AH1662" s="10"/>
      <c r="AI1662" s="10"/>
      <c r="AJ1662" s="10"/>
      <c r="AK1662" s="10"/>
      <c r="AL1662" s="10"/>
      <c r="AM1662" s="10"/>
      <c r="AN1662" s="10"/>
      <c r="AO1662" s="10"/>
      <c r="AP1662" s="10"/>
      <c r="AQ1662" s="10"/>
      <c r="AR1662" s="10"/>
      <c r="AS1662" s="10"/>
      <c r="AT1662" s="10"/>
      <c r="AU1662" s="10"/>
      <c r="AV1662" s="10"/>
      <c r="AW1662" s="10"/>
      <c r="AX1662" s="10"/>
      <c r="AY1662" s="10"/>
      <c r="AZ1662" s="10"/>
      <c r="BA1662" s="10"/>
      <c r="BB1662" s="10"/>
      <c r="BC1662" s="10"/>
      <c r="BD1662" s="10"/>
      <c r="BE1662" s="10"/>
      <c r="BF1662" s="10"/>
      <c r="BG1662" s="10"/>
      <c r="BH1662" s="10"/>
      <c r="BI1662" s="10"/>
      <c r="BJ1662" s="10"/>
      <c r="BK1662" s="10"/>
      <c r="BL1662" s="10"/>
      <c r="BM1662" s="10"/>
      <c r="BN1662" s="10"/>
      <c r="BO1662" s="10"/>
      <c r="BP1662" s="10"/>
    </row>
    <row r="1663" spans="1:68" s="14" customFormat="1" ht="9" customHeight="1" x14ac:dyDescent="0.2">
      <c r="A1663" s="249"/>
      <c r="B1663" s="249"/>
      <c r="C1663" s="284"/>
      <c r="D1663" s="243"/>
      <c r="E1663" s="281"/>
      <c r="F1663" s="257"/>
      <c r="G1663" s="249"/>
      <c r="H1663" s="249"/>
      <c r="I1663" s="262"/>
      <c r="J1663" s="249"/>
      <c r="K1663" s="226"/>
      <c r="L1663" s="10"/>
      <c r="M1663" s="10"/>
      <c r="N1663" s="10"/>
      <c r="O1663" s="10"/>
      <c r="P1663" s="10"/>
      <c r="Q1663" s="10"/>
      <c r="R1663" s="10"/>
      <c r="S1663" s="10"/>
      <c r="T1663" s="10"/>
      <c r="U1663" s="10"/>
      <c r="V1663" s="10"/>
      <c r="W1663" s="10"/>
      <c r="X1663" s="10"/>
      <c r="Y1663" s="10"/>
      <c r="Z1663" s="10"/>
      <c r="AA1663" s="10"/>
      <c r="AB1663" s="10"/>
      <c r="AC1663" s="10"/>
      <c r="AD1663" s="10"/>
      <c r="AE1663" s="10"/>
      <c r="AF1663" s="10"/>
      <c r="AG1663" s="10"/>
      <c r="AH1663" s="10"/>
      <c r="AI1663" s="10"/>
      <c r="AJ1663" s="10"/>
      <c r="AK1663" s="10"/>
      <c r="AL1663" s="10"/>
      <c r="AM1663" s="10"/>
      <c r="AN1663" s="10"/>
      <c r="AO1663" s="10"/>
      <c r="AP1663" s="10"/>
      <c r="AQ1663" s="10"/>
      <c r="AR1663" s="10"/>
      <c r="AS1663" s="10"/>
      <c r="AT1663" s="10"/>
      <c r="AU1663" s="10"/>
      <c r="AV1663" s="10"/>
      <c r="AW1663" s="10"/>
      <c r="AX1663" s="10"/>
      <c r="AY1663" s="10"/>
      <c r="AZ1663" s="10"/>
      <c r="BA1663" s="10"/>
      <c r="BB1663" s="10"/>
      <c r="BC1663" s="10"/>
      <c r="BD1663" s="10"/>
      <c r="BE1663" s="10"/>
      <c r="BF1663" s="10"/>
      <c r="BG1663" s="10"/>
      <c r="BH1663" s="10"/>
      <c r="BI1663" s="10"/>
      <c r="BJ1663" s="10"/>
      <c r="BK1663" s="10"/>
      <c r="BL1663" s="10"/>
      <c r="BM1663" s="10"/>
      <c r="BN1663" s="10"/>
      <c r="BO1663" s="10"/>
      <c r="BP1663" s="10"/>
    </row>
    <row r="1664" spans="1:68" s="14" customFormat="1" ht="9" customHeight="1" x14ac:dyDescent="0.2">
      <c r="A1664" s="261" t="s">
        <v>23</v>
      </c>
      <c r="B1664" s="264">
        <v>633</v>
      </c>
      <c r="C1664" s="243" t="s">
        <v>291</v>
      </c>
      <c r="D1664" s="249" t="s">
        <v>500</v>
      </c>
      <c r="E1664" s="336">
        <v>38049</v>
      </c>
      <c r="F1664" s="257">
        <v>12707125</v>
      </c>
      <c r="G1664" s="249">
        <v>72998</v>
      </c>
      <c r="H1664" s="242"/>
      <c r="I1664" s="251"/>
      <c r="J1664" s="242"/>
      <c r="K1664" s="226"/>
      <c r="L1664" s="10"/>
      <c r="M1664" s="10"/>
      <c r="N1664" s="10"/>
      <c r="O1664" s="10"/>
      <c r="P1664" s="10"/>
      <c r="Q1664" s="10"/>
      <c r="R1664" s="10"/>
      <c r="S1664" s="10"/>
      <c r="T1664" s="10"/>
      <c r="U1664" s="10"/>
      <c r="V1664" s="10"/>
      <c r="W1664" s="10"/>
      <c r="X1664" s="10"/>
      <c r="Y1664" s="10"/>
      <c r="Z1664" s="10"/>
      <c r="AA1664" s="10"/>
      <c r="AB1664" s="10"/>
      <c r="AC1664" s="10"/>
      <c r="AD1664" s="10"/>
      <c r="AE1664" s="10"/>
      <c r="AF1664" s="10"/>
      <c r="AG1664" s="10"/>
      <c r="AH1664" s="10"/>
      <c r="AI1664" s="10"/>
      <c r="AJ1664" s="10"/>
      <c r="AK1664" s="10"/>
      <c r="AL1664" s="10"/>
      <c r="AM1664" s="10"/>
      <c r="AN1664" s="10"/>
      <c r="AO1664" s="10"/>
      <c r="AP1664" s="10"/>
      <c r="AQ1664" s="10"/>
      <c r="AR1664" s="10"/>
      <c r="AS1664" s="10"/>
      <c r="AT1664" s="10"/>
      <c r="AU1664" s="10"/>
      <c r="AV1664" s="10"/>
      <c r="AW1664" s="10"/>
      <c r="AX1664" s="10"/>
      <c r="AY1664" s="10"/>
      <c r="AZ1664" s="10"/>
      <c r="BA1664" s="10"/>
      <c r="BB1664" s="10"/>
      <c r="BC1664" s="10"/>
      <c r="BD1664" s="10"/>
      <c r="BE1664" s="10"/>
      <c r="BF1664" s="10"/>
      <c r="BG1664" s="10"/>
      <c r="BH1664" s="10"/>
      <c r="BI1664" s="10"/>
      <c r="BJ1664" s="10"/>
      <c r="BK1664" s="10"/>
      <c r="BL1664" s="10"/>
      <c r="BM1664" s="10"/>
      <c r="BN1664" s="10"/>
      <c r="BO1664" s="10"/>
      <c r="BP1664" s="10"/>
    </row>
    <row r="1665" spans="1:68" s="14" customFormat="1" ht="9" customHeight="1" x14ac:dyDescent="0.2">
      <c r="A1665" s="249"/>
      <c r="B1665" s="249"/>
      <c r="C1665" s="284"/>
      <c r="D1665" s="244" t="s">
        <v>263</v>
      </c>
      <c r="E1665" s="281"/>
      <c r="F1665" s="257"/>
      <c r="G1665" s="249"/>
      <c r="H1665" s="242">
        <v>6779</v>
      </c>
      <c r="I1665" s="251">
        <f>H1665/$H$1673</f>
        <v>0.13693566306433694</v>
      </c>
      <c r="J1665" s="252"/>
      <c r="K1665" s="226"/>
      <c r="L1665" s="10"/>
      <c r="M1665" s="10"/>
      <c r="N1665" s="10"/>
      <c r="O1665" s="10"/>
      <c r="P1665" s="10"/>
      <c r="Q1665" s="10"/>
      <c r="R1665" s="10"/>
      <c r="S1665" s="10"/>
      <c r="T1665" s="10"/>
      <c r="U1665" s="10"/>
      <c r="V1665" s="10"/>
      <c r="W1665" s="10"/>
      <c r="X1665" s="10"/>
      <c r="Y1665" s="10"/>
      <c r="Z1665" s="10"/>
      <c r="AA1665" s="10"/>
      <c r="AB1665" s="10"/>
      <c r="AC1665" s="10"/>
      <c r="AD1665" s="10"/>
      <c r="AE1665" s="10"/>
      <c r="AF1665" s="10"/>
      <c r="AG1665" s="10"/>
      <c r="AH1665" s="10"/>
      <c r="AI1665" s="10"/>
      <c r="AJ1665" s="10"/>
      <c r="AK1665" s="10"/>
      <c r="AL1665" s="10"/>
      <c r="AM1665" s="10"/>
      <c r="AN1665" s="10"/>
      <c r="AO1665" s="10"/>
      <c r="AP1665" s="10"/>
      <c r="AQ1665" s="10"/>
      <c r="AR1665" s="10"/>
      <c r="AS1665" s="10"/>
      <c r="AT1665" s="10"/>
      <c r="AU1665" s="10"/>
      <c r="AV1665" s="10"/>
      <c r="AW1665" s="10"/>
      <c r="AX1665" s="10"/>
      <c r="AY1665" s="10"/>
      <c r="AZ1665" s="10"/>
      <c r="BA1665" s="10"/>
      <c r="BB1665" s="10"/>
      <c r="BC1665" s="10"/>
      <c r="BD1665" s="10"/>
      <c r="BE1665" s="10"/>
      <c r="BF1665" s="10"/>
      <c r="BG1665" s="10"/>
      <c r="BH1665" s="10"/>
      <c r="BI1665" s="10"/>
      <c r="BJ1665" s="10"/>
      <c r="BK1665" s="10"/>
      <c r="BL1665" s="10"/>
      <c r="BM1665" s="10"/>
      <c r="BN1665" s="10"/>
      <c r="BO1665" s="10"/>
      <c r="BP1665" s="10"/>
    </row>
    <row r="1666" spans="1:68" s="14" customFormat="1" ht="9" customHeight="1" x14ac:dyDescent="0.2">
      <c r="A1666" s="249"/>
      <c r="B1666" s="249"/>
      <c r="C1666" s="284"/>
      <c r="D1666" s="244" t="s">
        <v>293</v>
      </c>
      <c r="E1666" s="281"/>
      <c r="F1666" s="257"/>
      <c r="G1666" s="249"/>
      <c r="H1666" s="242">
        <v>3393</v>
      </c>
      <c r="I1666" s="251">
        <f t="shared" ref="I1666:I1672" si="42">H1666/$H$1673</f>
        <v>6.8538531461468544E-2</v>
      </c>
      <c r="J1666" s="252"/>
      <c r="K1666" s="226"/>
      <c r="L1666" s="10"/>
      <c r="M1666" s="10"/>
      <c r="N1666" s="10"/>
      <c r="O1666" s="10"/>
      <c r="P1666" s="10"/>
      <c r="Q1666" s="10"/>
      <c r="R1666" s="10"/>
      <c r="S1666" s="10"/>
      <c r="T1666" s="10"/>
      <c r="U1666" s="10"/>
      <c r="V1666" s="10"/>
      <c r="W1666" s="10"/>
      <c r="X1666" s="10"/>
      <c r="Y1666" s="10"/>
      <c r="Z1666" s="10"/>
      <c r="AA1666" s="10"/>
      <c r="AB1666" s="10"/>
      <c r="AC1666" s="10"/>
      <c r="AD1666" s="10"/>
      <c r="AE1666" s="10"/>
      <c r="AF1666" s="10"/>
      <c r="AG1666" s="10"/>
      <c r="AH1666" s="10"/>
      <c r="AI1666" s="10"/>
      <c r="AJ1666" s="10"/>
      <c r="AK1666" s="10"/>
      <c r="AL1666" s="10"/>
      <c r="AM1666" s="10"/>
      <c r="AN1666" s="10"/>
      <c r="AO1666" s="10"/>
      <c r="AP1666" s="10"/>
      <c r="AQ1666" s="10"/>
      <c r="AR1666" s="10"/>
      <c r="AS1666" s="10"/>
      <c r="AT1666" s="10"/>
      <c r="AU1666" s="10"/>
      <c r="AV1666" s="10"/>
      <c r="AW1666" s="10"/>
      <c r="AX1666" s="10"/>
      <c r="AY1666" s="10"/>
      <c r="AZ1666" s="10"/>
      <c r="BA1666" s="10"/>
      <c r="BB1666" s="10"/>
      <c r="BC1666" s="10"/>
      <c r="BD1666" s="10"/>
      <c r="BE1666" s="10"/>
      <c r="BF1666" s="10"/>
      <c r="BG1666" s="10"/>
      <c r="BH1666" s="10"/>
      <c r="BI1666" s="10"/>
      <c r="BJ1666" s="10"/>
      <c r="BK1666" s="10"/>
      <c r="BL1666" s="10"/>
      <c r="BM1666" s="10"/>
      <c r="BN1666" s="10"/>
      <c r="BO1666" s="10"/>
      <c r="BP1666" s="10"/>
    </row>
    <row r="1667" spans="1:68" s="14" customFormat="1" ht="9" customHeight="1" x14ac:dyDescent="0.2">
      <c r="A1667" s="249"/>
      <c r="B1667" s="249"/>
      <c r="C1667" s="284"/>
      <c r="D1667" s="244" t="s">
        <v>286</v>
      </c>
      <c r="E1667" s="281"/>
      <c r="F1667" s="257"/>
      <c r="G1667" s="249"/>
      <c r="H1667" s="242">
        <v>1314</v>
      </c>
      <c r="I1667" s="251">
        <f t="shared" si="42"/>
        <v>2.6542773457226543E-2</v>
      </c>
      <c r="J1667" s="252"/>
      <c r="K1667" s="226"/>
      <c r="L1667" s="10"/>
      <c r="M1667" s="10"/>
      <c r="N1667" s="10"/>
      <c r="O1667" s="10"/>
      <c r="P1667" s="10"/>
      <c r="Q1667" s="10"/>
      <c r="R1667" s="10"/>
      <c r="S1667" s="10"/>
      <c r="T1667" s="10"/>
      <c r="U1667" s="10"/>
      <c r="V1667" s="10"/>
      <c r="W1667" s="10"/>
      <c r="X1667" s="10"/>
      <c r="Y1667" s="10"/>
      <c r="Z1667" s="10"/>
      <c r="AA1667" s="10"/>
      <c r="AB1667" s="10"/>
      <c r="AC1667" s="10"/>
      <c r="AD1667" s="10"/>
      <c r="AE1667" s="10"/>
      <c r="AF1667" s="10"/>
      <c r="AG1667" s="10"/>
      <c r="AH1667" s="10"/>
      <c r="AI1667" s="10"/>
      <c r="AJ1667" s="10"/>
      <c r="AK1667" s="10"/>
      <c r="AL1667" s="10"/>
      <c r="AM1667" s="10"/>
      <c r="AN1667" s="10"/>
      <c r="AO1667" s="10"/>
      <c r="AP1667" s="10"/>
      <c r="AQ1667" s="10"/>
      <c r="AR1667" s="10"/>
      <c r="AS1667" s="10"/>
      <c r="AT1667" s="10"/>
      <c r="AU1667" s="10"/>
      <c r="AV1667" s="10"/>
      <c r="AW1667" s="10"/>
      <c r="AX1667" s="10"/>
      <c r="AY1667" s="10"/>
      <c r="AZ1667" s="10"/>
      <c r="BA1667" s="10"/>
      <c r="BB1667" s="10"/>
      <c r="BC1667" s="10"/>
      <c r="BD1667" s="10"/>
      <c r="BE1667" s="10"/>
      <c r="BF1667" s="10"/>
      <c r="BG1667" s="10"/>
      <c r="BH1667" s="10"/>
      <c r="BI1667" s="10"/>
      <c r="BJ1667" s="10"/>
      <c r="BK1667" s="10"/>
      <c r="BL1667" s="10"/>
      <c r="BM1667" s="10"/>
      <c r="BN1667" s="10"/>
      <c r="BO1667" s="10"/>
      <c r="BP1667" s="10"/>
    </row>
    <row r="1668" spans="1:68" s="14" customFormat="1" ht="9" customHeight="1" x14ac:dyDescent="0.2">
      <c r="A1668" s="249"/>
      <c r="B1668" s="249"/>
      <c r="C1668" s="284"/>
      <c r="D1668" s="244" t="s">
        <v>244</v>
      </c>
      <c r="E1668" s="281"/>
      <c r="F1668" s="257"/>
      <c r="G1668" s="249"/>
      <c r="H1668" s="242">
        <v>740</v>
      </c>
      <c r="I1668" s="251">
        <f t="shared" si="42"/>
        <v>1.4947985052014948E-2</v>
      </c>
      <c r="J1668" s="252"/>
      <c r="K1668" s="226"/>
      <c r="L1668" s="10"/>
      <c r="M1668" s="10"/>
      <c r="N1668" s="10"/>
      <c r="O1668" s="10"/>
      <c r="P1668" s="10"/>
      <c r="Q1668" s="10"/>
      <c r="R1668" s="10"/>
      <c r="S1668" s="10"/>
      <c r="T1668" s="10"/>
      <c r="U1668" s="10"/>
      <c r="V1668" s="10"/>
      <c r="W1668" s="10"/>
      <c r="X1668" s="10"/>
      <c r="Y1668" s="10"/>
      <c r="Z1668" s="10"/>
      <c r="AA1668" s="10"/>
      <c r="AB1668" s="10"/>
      <c r="AC1668" s="10"/>
      <c r="AD1668" s="10"/>
      <c r="AE1668" s="10"/>
      <c r="AF1668" s="10"/>
      <c r="AG1668" s="10"/>
      <c r="AH1668" s="10"/>
      <c r="AI1668" s="10"/>
      <c r="AJ1668" s="10"/>
      <c r="AK1668" s="10"/>
      <c r="AL1668" s="10"/>
      <c r="AM1668" s="10"/>
      <c r="AN1668" s="10"/>
      <c r="AO1668" s="10"/>
      <c r="AP1668" s="10"/>
      <c r="AQ1668" s="10"/>
      <c r="AR1668" s="10"/>
      <c r="AS1668" s="10"/>
      <c r="AT1668" s="10"/>
      <c r="AU1668" s="10"/>
      <c r="AV1668" s="10"/>
      <c r="AW1668" s="10"/>
      <c r="AX1668" s="10"/>
      <c r="AY1668" s="10"/>
      <c r="AZ1668" s="10"/>
      <c r="BA1668" s="10"/>
      <c r="BB1668" s="10"/>
      <c r="BC1668" s="10"/>
      <c r="BD1668" s="10"/>
      <c r="BE1668" s="10"/>
      <c r="BF1668" s="10"/>
      <c r="BG1668" s="10"/>
      <c r="BH1668" s="10"/>
      <c r="BI1668" s="10"/>
      <c r="BJ1668" s="10"/>
      <c r="BK1668" s="10"/>
      <c r="BL1668" s="10"/>
      <c r="BM1668" s="10"/>
      <c r="BN1668" s="10"/>
      <c r="BO1668" s="10"/>
      <c r="BP1668" s="10"/>
    </row>
    <row r="1669" spans="1:68" s="14" customFormat="1" ht="9" customHeight="1" x14ac:dyDescent="0.2">
      <c r="A1669" s="249"/>
      <c r="B1669" s="249"/>
      <c r="C1669" s="284"/>
      <c r="D1669" s="244" t="s">
        <v>264</v>
      </c>
      <c r="E1669" s="281"/>
      <c r="F1669" s="257"/>
      <c r="G1669" s="249"/>
      <c r="H1669" s="242">
        <v>4306</v>
      </c>
      <c r="I1669" s="251">
        <f t="shared" si="42"/>
        <v>8.6981113018886988E-2</v>
      </c>
      <c r="J1669" s="252"/>
      <c r="K1669" s="226"/>
      <c r="L1669" s="10"/>
      <c r="M1669" s="10"/>
      <c r="N1669" s="10"/>
      <c r="O1669" s="10"/>
      <c r="P1669" s="10"/>
      <c r="Q1669" s="10"/>
      <c r="R1669" s="10"/>
      <c r="S1669" s="10"/>
      <c r="T1669" s="10"/>
      <c r="U1669" s="10"/>
      <c r="V1669" s="10"/>
      <c r="W1669" s="10"/>
      <c r="X1669" s="10"/>
      <c r="Y1669" s="10"/>
      <c r="Z1669" s="10"/>
      <c r="AA1669" s="10"/>
      <c r="AB1669" s="10"/>
      <c r="AC1669" s="10"/>
      <c r="AD1669" s="10"/>
      <c r="AE1669" s="10"/>
      <c r="AF1669" s="10"/>
      <c r="AG1669" s="10"/>
      <c r="AH1669" s="10"/>
      <c r="AI1669" s="10"/>
      <c r="AJ1669" s="10"/>
      <c r="AK1669" s="10"/>
      <c r="AL1669" s="10"/>
      <c r="AM1669" s="10"/>
      <c r="AN1669" s="10"/>
      <c r="AO1669" s="10"/>
      <c r="AP1669" s="10"/>
      <c r="AQ1669" s="10"/>
      <c r="AR1669" s="10"/>
      <c r="AS1669" s="10"/>
      <c r="AT1669" s="10"/>
      <c r="AU1669" s="10"/>
      <c r="AV1669" s="10"/>
      <c r="AW1669" s="10"/>
      <c r="AX1669" s="10"/>
      <c r="AY1669" s="10"/>
      <c r="AZ1669" s="10"/>
      <c r="BA1669" s="10"/>
      <c r="BB1669" s="10"/>
      <c r="BC1669" s="10"/>
      <c r="BD1669" s="10"/>
      <c r="BE1669" s="10"/>
      <c r="BF1669" s="10"/>
      <c r="BG1669" s="10"/>
      <c r="BH1669" s="10"/>
      <c r="BI1669" s="10"/>
      <c r="BJ1669" s="10"/>
      <c r="BK1669" s="10"/>
      <c r="BL1669" s="10"/>
      <c r="BM1669" s="10"/>
      <c r="BN1669" s="10"/>
      <c r="BO1669" s="10"/>
      <c r="BP1669" s="10"/>
    </row>
    <row r="1670" spans="1:68" s="14" customFormat="1" ht="9" customHeight="1" x14ac:dyDescent="0.2">
      <c r="A1670" s="249"/>
      <c r="B1670" s="249"/>
      <c r="C1670" s="284"/>
      <c r="D1670" s="244" t="s">
        <v>290</v>
      </c>
      <c r="E1670" s="281"/>
      <c r="F1670" s="257"/>
      <c r="G1670" s="249"/>
      <c r="H1670" s="242">
        <v>25696</v>
      </c>
      <c r="I1670" s="251">
        <f t="shared" si="42"/>
        <v>0.51905868094131902</v>
      </c>
      <c r="J1670" s="266" t="s">
        <v>290</v>
      </c>
      <c r="K1670" s="226"/>
      <c r="L1670" s="10"/>
      <c r="M1670" s="10"/>
      <c r="N1670" s="10"/>
      <c r="O1670" s="10"/>
      <c r="P1670" s="10"/>
      <c r="Q1670" s="10"/>
      <c r="R1670" s="10"/>
      <c r="S1670" s="10"/>
      <c r="T1670" s="10"/>
      <c r="U1670" s="10"/>
      <c r="V1670" s="10"/>
      <c r="W1670" s="10"/>
      <c r="X1670" s="10"/>
      <c r="Y1670" s="10"/>
      <c r="Z1670" s="10"/>
      <c r="AA1670" s="10"/>
      <c r="AB1670" s="10"/>
      <c r="AC1670" s="10"/>
      <c r="AD1670" s="10"/>
      <c r="AE1670" s="10"/>
      <c r="AF1670" s="10"/>
      <c r="AG1670" s="10"/>
      <c r="AH1670" s="10"/>
      <c r="AI1670" s="10"/>
      <c r="AJ1670" s="10"/>
      <c r="AK1670" s="10"/>
      <c r="AL1670" s="10"/>
      <c r="AM1670" s="10"/>
      <c r="AN1670" s="10"/>
      <c r="AO1670" s="10"/>
      <c r="AP1670" s="10"/>
      <c r="AQ1670" s="10"/>
      <c r="AR1670" s="10"/>
      <c r="AS1670" s="10"/>
      <c r="AT1670" s="10"/>
      <c r="AU1670" s="10"/>
      <c r="AV1670" s="10"/>
      <c r="AW1670" s="10"/>
      <c r="AX1670" s="10"/>
      <c r="AY1670" s="10"/>
      <c r="AZ1670" s="10"/>
      <c r="BA1670" s="10"/>
      <c r="BB1670" s="10"/>
      <c r="BC1670" s="10"/>
      <c r="BD1670" s="10"/>
      <c r="BE1670" s="10"/>
      <c r="BF1670" s="10"/>
      <c r="BG1670" s="10"/>
      <c r="BH1670" s="10"/>
      <c r="BI1670" s="10"/>
      <c r="BJ1670" s="10"/>
      <c r="BK1670" s="10"/>
      <c r="BL1670" s="10"/>
      <c r="BM1670" s="10"/>
      <c r="BN1670" s="10"/>
      <c r="BO1670" s="10"/>
      <c r="BP1670" s="10"/>
    </row>
    <row r="1671" spans="1:68" s="14" customFormat="1" ht="9" customHeight="1" x14ac:dyDescent="0.2">
      <c r="A1671" s="249"/>
      <c r="B1671" s="249"/>
      <c r="C1671" s="284"/>
      <c r="D1671" s="244" t="s">
        <v>294</v>
      </c>
      <c r="E1671" s="281"/>
      <c r="F1671" s="257"/>
      <c r="G1671" s="249"/>
      <c r="H1671" s="242">
        <v>1060</v>
      </c>
      <c r="I1671" s="251">
        <f t="shared" si="42"/>
        <v>2.1411978588021411E-2</v>
      </c>
      <c r="J1671" s="252"/>
      <c r="K1671" s="226"/>
      <c r="L1671" s="10"/>
      <c r="M1671" s="10"/>
      <c r="N1671" s="10"/>
      <c r="O1671" s="10"/>
      <c r="P1671" s="10"/>
      <c r="Q1671" s="10"/>
      <c r="R1671" s="10"/>
      <c r="S1671" s="10"/>
      <c r="T1671" s="10"/>
      <c r="U1671" s="10"/>
      <c r="V1671" s="10"/>
      <c r="W1671" s="10"/>
      <c r="X1671" s="10"/>
      <c r="Y1671" s="10"/>
      <c r="Z1671" s="10"/>
      <c r="AA1671" s="10"/>
      <c r="AB1671" s="10"/>
      <c r="AC1671" s="10"/>
      <c r="AD1671" s="10"/>
      <c r="AE1671" s="10"/>
      <c r="AF1671" s="10"/>
      <c r="AG1671" s="10"/>
      <c r="AH1671" s="10"/>
      <c r="AI1671" s="10"/>
      <c r="AJ1671" s="10"/>
      <c r="AK1671" s="10"/>
      <c r="AL1671" s="10"/>
      <c r="AM1671" s="10"/>
      <c r="AN1671" s="10"/>
      <c r="AO1671" s="10"/>
      <c r="AP1671" s="10"/>
      <c r="AQ1671" s="10"/>
      <c r="AR1671" s="10"/>
      <c r="AS1671" s="10"/>
      <c r="AT1671" s="10"/>
      <c r="AU1671" s="10"/>
      <c r="AV1671" s="10"/>
      <c r="AW1671" s="10"/>
      <c r="AX1671" s="10"/>
      <c r="AY1671" s="10"/>
      <c r="AZ1671" s="10"/>
      <c r="BA1671" s="10"/>
      <c r="BB1671" s="10"/>
      <c r="BC1671" s="10"/>
      <c r="BD1671" s="10"/>
      <c r="BE1671" s="10"/>
      <c r="BF1671" s="10"/>
      <c r="BG1671" s="10"/>
      <c r="BH1671" s="10"/>
      <c r="BI1671" s="10"/>
      <c r="BJ1671" s="10"/>
      <c r="BK1671" s="10"/>
      <c r="BL1671" s="10"/>
      <c r="BM1671" s="10"/>
      <c r="BN1671" s="10"/>
      <c r="BO1671" s="10"/>
      <c r="BP1671" s="10"/>
    </row>
    <row r="1672" spans="1:68" s="14" customFormat="1" ht="9" customHeight="1" x14ac:dyDescent="0.2">
      <c r="A1672" s="249"/>
      <c r="B1672" s="249"/>
      <c r="C1672" s="284"/>
      <c r="D1672" s="244" t="s">
        <v>287</v>
      </c>
      <c r="E1672" s="281"/>
      <c r="F1672" s="257"/>
      <c r="G1672" s="249"/>
      <c r="H1672" s="242">
        <v>6217</v>
      </c>
      <c r="I1672" s="251">
        <f t="shared" si="42"/>
        <v>0.12558327441672559</v>
      </c>
      <c r="J1672" s="252"/>
      <c r="K1672" s="226"/>
      <c r="L1672" s="10"/>
      <c r="M1672" s="10"/>
      <c r="N1672" s="10"/>
      <c r="O1672" s="10"/>
      <c r="P1672" s="10"/>
      <c r="Q1672" s="10"/>
      <c r="R1672" s="10"/>
      <c r="S1672" s="10"/>
      <c r="T1672" s="10"/>
      <c r="U1672" s="10"/>
      <c r="V1672" s="10"/>
      <c r="W1672" s="10"/>
      <c r="X1672" s="10"/>
      <c r="Y1672" s="10"/>
      <c r="Z1672" s="10"/>
      <c r="AA1672" s="10"/>
      <c r="AB1672" s="10"/>
      <c r="AC1672" s="10"/>
      <c r="AD1672" s="10"/>
      <c r="AE1672" s="10"/>
      <c r="AF1672" s="10"/>
      <c r="AG1672" s="10"/>
      <c r="AH1672" s="10"/>
      <c r="AI1672" s="10"/>
      <c r="AJ1672" s="10"/>
      <c r="AK1672" s="10"/>
      <c r="AL1672" s="10"/>
      <c r="AM1672" s="10"/>
      <c r="AN1672" s="10"/>
      <c r="AO1672" s="10"/>
      <c r="AP1672" s="10"/>
      <c r="AQ1672" s="10"/>
      <c r="AR1672" s="10"/>
      <c r="AS1672" s="10"/>
      <c r="AT1672" s="10"/>
      <c r="AU1672" s="10"/>
      <c r="AV1672" s="10"/>
      <c r="AW1672" s="10"/>
      <c r="AX1672" s="10"/>
      <c r="AY1672" s="10"/>
      <c r="AZ1672" s="10"/>
      <c r="BA1672" s="10"/>
      <c r="BB1672" s="10"/>
      <c r="BC1672" s="10"/>
      <c r="BD1672" s="10"/>
      <c r="BE1672" s="10"/>
      <c r="BF1672" s="10"/>
      <c r="BG1672" s="10"/>
      <c r="BH1672" s="10"/>
      <c r="BI1672" s="10"/>
      <c r="BJ1672" s="10"/>
      <c r="BK1672" s="10"/>
      <c r="BL1672" s="10"/>
      <c r="BM1672" s="10"/>
      <c r="BN1672" s="10"/>
      <c r="BO1672" s="10"/>
      <c r="BP1672" s="10"/>
    </row>
    <row r="1673" spans="1:68" s="14" customFormat="1" ht="9" customHeight="1" x14ac:dyDescent="0.2">
      <c r="A1673" s="249"/>
      <c r="B1673" s="249"/>
      <c r="C1673" s="284"/>
      <c r="D1673" s="243" t="s">
        <v>33</v>
      </c>
      <c r="E1673" s="281"/>
      <c r="F1673" s="257"/>
      <c r="G1673" s="249"/>
      <c r="H1673" s="265">
        <f>SUM(H1665:H1672)</f>
        <v>49505</v>
      </c>
      <c r="I1673" s="256">
        <f>SUM(I1665:I1672)</f>
        <v>1</v>
      </c>
      <c r="J1673" s="249"/>
      <c r="K1673" s="226"/>
      <c r="L1673" s="10"/>
      <c r="M1673" s="10"/>
      <c r="N1673" s="10"/>
      <c r="O1673" s="10"/>
      <c r="P1673" s="10"/>
      <c r="Q1673" s="10"/>
      <c r="R1673" s="10"/>
      <c r="S1673" s="10"/>
      <c r="T1673" s="10"/>
      <c r="U1673" s="10"/>
      <c r="V1673" s="10"/>
      <c r="W1673" s="10"/>
      <c r="X1673" s="10"/>
      <c r="Y1673" s="10"/>
      <c r="Z1673" s="10"/>
      <c r="AA1673" s="10"/>
      <c r="AB1673" s="10"/>
      <c r="AC1673" s="10"/>
      <c r="AD1673" s="10"/>
      <c r="AE1673" s="10"/>
      <c r="AF1673" s="10"/>
      <c r="AG1673" s="10"/>
      <c r="AH1673" s="10"/>
      <c r="AI1673" s="10"/>
      <c r="AJ1673" s="10"/>
      <c r="AK1673" s="10"/>
      <c r="AL1673" s="10"/>
      <c r="AM1673" s="10"/>
      <c r="AN1673" s="10"/>
      <c r="AO1673" s="10"/>
      <c r="AP1673" s="10"/>
      <c r="AQ1673" s="10"/>
      <c r="AR1673" s="10"/>
      <c r="AS1673" s="10"/>
      <c r="AT1673" s="10"/>
      <c r="AU1673" s="10"/>
      <c r="AV1673" s="10"/>
      <c r="AW1673" s="10"/>
      <c r="AX1673" s="10"/>
      <c r="AY1673" s="10"/>
      <c r="AZ1673" s="10"/>
      <c r="BA1673" s="10"/>
      <c r="BB1673" s="10"/>
      <c r="BC1673" s="10"/>
      <c r="BD1673" s="10"/>
      <c r="BE1673" s="10"/>
      <c r="BF1673" s="10"/>
      <c r="BG1673" s="10"/>
      <c r="BH1673" s="10"/>
      <c r="BI1673" s="10"/>
      <c r="BJ1673" s="10"/>
      <c r="BK1673" s="10"/>
      <c r="BL1673" s="10"/>
      <c r="BM1673" s="10"/>
      <c r="BN1673" s="10"/>
      <c r="BO1673" s="10"/>
      <c r="BP1673" s="10"/>
    </row>
    <row r="1674" spans="1:68" s="14" customFormat="1" ht="9" customHeight="1" x14ac:dyDescent="0.2">
      <c r="A1674" s="249"/>
      <c r="B1674" s="249"/>
      <c r="C1674" s="284"/>
      <c r="D1674" s="243"/>
      <c r="E1674" s="281"/>
      <c r="F1674" s="257"/>
      <c r="G1674" s="249"/>
      <c r="H1674" s="249"/>
      <c r="I1674" s="262"/>
      <c r="J1674" s="249"/>
      <c r="K1674" s="226"/>
      <c r="L1674" s="10"/>
      <c r="M1674" s="10"/>
      <c r="N1674" s="10"/>
      <c r="O1674" s="10"/>
      <c r="P1674" s="10"/>
      <c r="Q1674" s="10"/>
      <c r="R1674" s="10"/>
      <c r="S1674" s="10"/>
      <c r="T1674" s="10"/>
      <c r="U1674" s="10"/>
      <c r="V1674" s="10"/>
      <c r="W1674" s="10"/>
      <c r="X1674" s="10"/>
      <c r="Y1674" s="10"/>
      <c r="Z1674" s="10"/>
      <c r="AA1674" s="10"/>
      <c r="AB1674" s="10"/>
      <c r="AC1674" s="10"/>
      <c r="AD1674" s="10"/>
      <c r="AE1674" s="10"/>
      <c r="AF1674" s="10"/>
      <c r="AG1674" s="10"/>
      <c r="AH1674" s="10"/>
      <c r="AI1674" s="10"/>
      <c r="AJ1674" s="10"/>
      <c r="AK1674" s="10"/>
      <c r="AL1674" s="10"/>
      <c r="AM1674" s="10"/>
      <c r="AN1674" s="10"/>
      <c r="AO1674" s="10"/>
      <c r="AP1674" s="10"/>
      <c r="AQ1674" s="10"/>
      <c r="AR1674" s="10"/>
      <c r="AS1674" s="10"/>
      <c r="AT1674" s="10"/>
      <c r="AU1674" s="10"/>
      <c r="AV1674" s="10"/>
      <c r="AW1674" s="10"/>
      <c r="AX1674" s="10"/>
      <c r="AY1674" s="10"/>
      <c r="AZ1674" s="10"/>
      <c r="BA1674" s="10"/>
      <c r="BB1674" s="10"/>
      <c r="BC1674" s="10"/>
      <c r="BD1674" s="10"/>
      <c r="BE1674" s="10"/>
      <c r="BF1674" s="10"/>
      <c r="BG1674" s="10"/>
      <c r="BH1674" s="10"/>
      <c r="BI1674" s="10"/>
      <c r="BJ1674" s="10"/>
      <c r="BK1674" s="10"/>
      <c r="BL1674" s="10"/>
      <c r="BM1674" s="10"/>
      <c r="BN1674" s="10"/>
      <c r="BO1674" s="10"/>
      <c r="BP1674" s="10"/>
    </row>
    <row r="1675" spans="1:68" s="14" customFormat="1" ht="9" customHeight="1" x14ac:dyDescent="0.2">
      <c r="A1675" s="261" t="s">
        <v>23</v>
      </c>
      <c r="B1675" s="264">
        <v>673</v>
      </c>
      <c r="C1675" s="243" t="s">
        <v>291</v>
      </c>
      <c r="D1675" s="249" t="s">
        <v>501</v>
      </c>
      <c r="E1675" s="336">
        <v>38322</v>
      </c>
      <c r="F1675" s="257">
        <v>2406475</v>
      </c>
      <c r="G1675" s="249">
        <v>15045</v>
      </c>
      <c r="H1675" s="242"/>
      <c r="I1675" s="251"/>
      <c r="J1675" s="242"/>
      <c r="K1675" s="226"/>
      <c r="L1675" s="10"/>
      <c r="M1675" s="10"/>
      <c r="N1675" s="10"/>
      <c r="O1675" s="10"/>
      <c r="P1675" s="10"/>
      <c r="Q1675" s="10"/>
      <c r="R1675" s="10"/>
      <c r="S1675" s="10"/>
      <c r="T1675" s="10"/>
      <c r="U1675" s="10"/>
      <c r="V1675" s="10"/>
      <c r="W1675" s="10"/>
      <c r="X1675" s="10"/>
      <c r="Y1675" s="10"/>
      <c r="Z1675" s="10"/>
      <c r="AA1675" s="10"/>
      <c r="AB1675" s="10"/>
      <c r="AC1675" s="10"/>
      <c r="AD1675" s="10"/>
      <c r="AE1675" s="10"/>
      <c r="AF1675" s="10"/>
      <c r="AG1675" s="10"/>
      <c r="AH1675" s="10"/>
      <c r="AI1675" s="10"/>
      <c r="AJ1675" s="10"/>
      <c r="AK1675" s="10"/>
      <c r="AL1675" s="10"/>
      <c r="AM1675" s="10"/>
      <c r="AN1675" s="10"/>
      <c r="AO1675" s="10"/>
      <c r="AP1675" s="10"/>
      <c r="AQ1675" s="10"/>
      <c r="AR1675" s="10"/>
      <c r="AS1675" s="10"/>
      <c r="AT1675" s="10"/>
      <c r="AU1675" s="10"/>
      <c r="AV1675" s="10"/>
      <c r="AW1675" s="10"/>
      <c r="AX1675" s="10"/>
      <c r="AY1675" s="10"/>
      <c r="AZ1675" s="10"/>
      <c r="BA1675" s="10"/>
      <c r="BB1675" s="10"/>
      <c r="BC1675" s="10"/>
      <c r="BD1675" s="10"/>
      <c r="BE1675" s="10"/>
      <c r="BF1675" s="10"/>
      <c r="BG1675" s="10"/>
      <c r="BH1675" s="10"/>
      <c r="BI1675" s="10"/>
      <c r="BJ1675" s="10"/>
      <c r="BK1675" s="10"/>
      <c r="BL1675" s="10"/>
      <c r="BM1675" s="10"/>
      <c r="BN1675" s="10"/>
      <c r="BO1675" s="10"/>
      <c r="BP1675" s="10"/>
    </row>
    <row r="1676" spans="1:68" s="14" customFormat="1" ht="9" customHeight="1" x14ac:dyDescent="0.2">
      <c r="A1676" s="249"/>
      <c r="B1676" s="249"/>
      <c r="C1676" s="284"/>
      <c r="D1676" s="244" t="s">
        <v>263</v>
      </c>
      <c r="E1676" s="281"/>
      <c r="F1676" s="257"/>
      <c r="G1676" s="249"/>
      <c r="H1676" s="242">
        <v>3560</v>
      </c>
      <c r="I1676" s="251">
        <f>H1676/$H$1680</f>
        <v>0.29339047305093124</v>
      </c>
      <c r="J1676" s="266" t="s">
        <v>263</v>
      </c>
      <c r="K1676" s="226"/>
      <c r="L1676" s="10"/>
      <c r="M1676" s="10"/>
      <c r="N1676" s="10"/>
      <c r="O1676" s="10"/>
      <c r="P1676" s="10"/>
      <c r="Q1676" s="10"/>
      <c r="R1676" s="10"/>
      <c r="S1676" s="10"/>
      <c r="T1676" s="10"/>
      <c r="U1676" s="10"/>
      <c r="V1676" s="10"/>
      <c r="W1676" s="10"/>
      <c r="X1676" s="10"/>
      <c r="Y1676" s="10"/>
      <c r="Z1676" s="10"/>
      <c r="AA1676" s="10"/>
      <c r="AB1676" s="10"/>
      <c r="AC1676" s="10"/>
      <c r="AD1676" s="10"/>
      <c r="AE1676" s="10"/>
      <c r="AF1676" s="10"/>
      <c r="AG1676" s="10"/>
      <c r="AH1676" s="10"/>
      <c r="AI1676" s="10"/>
      <c r="AJ1676" s="10"/>
      <c r="AK1676" s="10"/>
      <c r="AL1676" s="10"/>
      <c r="AM1676" s="10"/>
      <c r="AN1676" s="10"/>
      <c r="AO1676" s="10"/>
      <c r="AP1676" s="10"/>
      <c r="AQ1676" s="10"/>
      <c r="AR1676" s="10"/>
      <c r="AS1676" s="10"/>
      <c r="AT1676" s="10"/>
      <c r="AU1676" s="10"/>
      <c r="AV1676" s="10"/>
      <c r="AW1676" s="10"/>
      <c r="AX1676" s="10"/>
      <c r="AY1676" s="10"/>
      <c r="AZ1676" s="10"/>
      <c r="BA1676" s="10"/>
      <c r="BB1676" s="10"/>
      <c r="BC1676" s="10"/>
      <c r="BD1676" s="10"/>
      <c r="BE1676" s="10"/>
      <c r="BF1676" s="10"/>
      <c r="BG1676" s="10"/>
      <c r="BH1676" s="10"/>
      <c r="BI1676" s="10"/>
      <c r="BJ1676" s="10"/>
      <c r="BK1676" s="10"/>
      <c r="BL1676" s="10"/>
      <c r="BM1676" s="10"/>
      <c r="BN1676" s="10"/>
      <c r="BO1676" s="10"/>
      <c r="BP1676" s="10"/>
    </row>
    <row r="1677" spans="1:68" s="14" customFormat="1" ht="9" customHeight="1" x14ac:dyDescent="0.2">
      <c r="A1677" s="249"/>
      <c r="B1677" s="249"/>
      <c r="C1677" s="284"/>
      <c r="D1677" s="244" t="s">
        <v>292</v>
      </c>
      <c r="E1677" s="281"/>
      <c r="F1677" s="257"/>
      <c r="G1677" s="249"/>
      <c r="H1677" s="242">
        <v>3710</v>
      </c>
      <c r="I1677" s="251">
        <f>H1677/$H$1680</f>
        <v>0.3057524311850997</v>
      </c>
      <c r="J1677" s="266" t="s">
        <v>292</v>
      </c>
      <c r="K1677" s="226"/>
      <c r="L1677" s="10"/>
      <c r="M1677" s="10"/>
      <c r="N1677" s="10"/>
      <c r="O1677" s="10"/>
      <c r="P1677" s="10"/>
      <c r="Q1677" s="10"/>
      <c r="R1677" s="10"/>
      <c r="S1677" s="10"/>
      <c r="T1677" s="10"/>
      <c r="U1677" s="10"/>
      <c r="V1677" s="10"/>
      <c r="W1677" s="10"/>
      <c r="X1677" s="10"/>
      <c r="Y1677" s="10"/>
      <c r="Z1677" s="10"/>
      <c r="AA1677" s="10"/>
      <c r="AB1677" s="10"/>
      <c r="AC1677" s="10"/>
      <c r="AD1677" s="10"/>
      <c r="AE1677" s="10"/>
      <c r="AF1677" s="10"/>
      <c r="AG1677" s="10"/>
      <c r="AH1677" s="10"/>
      <c r="AI1677" s="10"/>
      <c r="AJ1677" s="10"/>
      <c r="AK1677" s="10"/>
      <c r="AL1677" s="10"/>
      <c r="AM1677" s="10"/>
      <c r="AN1677" s="10"/>
      <c r="AO1677" s="10"/>
      <c r="AP1677" s="10"/>
      <c r="AQ1677" s="10"/>
      <c r="AR1677" s="10"/>
      <c r="AS1677" s="10"/>
      <c r="AT1677" s="10"/>
      <c r="AU1677" s="10"/>
      <c r="AV1677" s="10"/>
      <c r="AW1677" s="10"/>
      <c r="AX1677" s="10"/>
      <c r="AY1677" s="10"/>
      <c r="AZ1677" s="10"/>
      <c r="BA1677" s="10"/>
      <c r="BB1677" s="10"/>
      <c r="BC1677" s="10"/>
      <c r="BD1677" s="10"/>
      <c r="BE1677" s="10"/>
      <c r="BF1677" s="10"/>
      <c r="BG1677" s="10"/>
      <c r="BH1677" s="10"/>
      <c r="BI1677" s="10"/>
      <c r="BJ1677" s="10"/>
      <c r="BK1677" s="10"/>
      <c r="BL1677" s="10"/>
      <c r="BM1677" s="10"/>
      <c r="BN1677" s="10"/>
      <c r="BO1677" s="10"/>
      <c r="BP1677" s="10"/>
    </row>
    <row r="1678" spans="1:68" s="14" customFormat="1" ht="9" customHeight="1" x14ac:dyDescent="0.2">
      <c r="A1678" s="249"/>
      <c r="B1678" s="249"/>
      <c r="C1678" s="284"/>
      <c r="D1678" s="244" t="s">
        <v>286</v>
      </c>
      <c r="E1678" s="281"/>
      <c r="F1678" s="257"/>
      <c r="G1678" s="249"/>
      <c r="H1678" s="242">
        <v>1100</v>
      </c>
      <c r="I1678" s="251">
        <f>H1678/$H$1680</f>
        <v>9.0654359650568644E-2</v>
      </c>
      <c r="J1678" s="266"/>
      <c r="K1678" s="226"/>
      <c r="L1678" s="10"/>
      <c r="M1678" s="10"/>
      <c r="N1678" s="10"/>
      <c r="O1678" s="10"/>
      <c r="P1678" s="10"/>
      <c r="Q1678" s="10"/>
      <c r="R1678" s="10"/>
      <c r="S1678" s="10"/>
      <c r="T1678" s="10"/>
      <c r="U1678" s="10"/>
      <c r="V1678" s="10"/>
      <c r="W1678" s="10"/>
      <c r="X1678" s="10"/>
      <c r="Y1678" s="10"/>
      <c r="Z1678" s="10"/>
      <c r="AA1678" s="10"/>
      <c r="AB1678" s="10"/>
      <c r="AC1678" s="10"/>
      <c r="AD1678" s="10"/>
      <c r="AE1678" s="10"/>
      <c r="AF1678" s="10"/>
      <c r="AG1678" s="10"/>
      <c r="AH1678" s="10"/>
      <c r="AI1678" s="10"/>
      <c r="AJ1678" s="10"/>
      <c r="AK1678" s="10"/>
      <c r="AL1678" s="10"/>
      <c r="AM1678" s="10"/>
      <c r="AN1678" s="10"/>
      <c r="AO1678" s="10"/>
      <c r="AP1678" s="10"/>
      <c r="AQ1678" s="10"/>
      <c r="AR1678" s="10"/>
      <c r="AS1678" s="10"/>
      <c r="AT1678" s="10"/>
      <c r="AU1678" s="10"/>
      <c r="AV1678" s="10"/>
      <c r="AW1678" s="10"/>
      <c r="AX1678" s="10"/>
      <c r="AY1678" s="10"/>
      <c r="AZ1678" s="10"/>
      <c r="BA1678" s="10"/>
      <c r="BB1678" s="10"/>
      <c r="BC1678" s="10"/>
      <c r="BD1678" s="10"/>
      <c r="BE1678" s="10"/>
      <c r="BF1678" s="10"/>
      <c r="BG1678" s="10"/>
      <c r="BH1678" s="10"/>
      <c r="BI1678" s="10"/>
      <c r="BJ1678" s="10"/>
      <c r="BK1678" s="10"/>
      <c r="BL1678" s="10"/>
      <c r="BM1678" s="10"/>
      <c r="BN1678" s="10"/>
      <c r="BO1678" s="10"/>
      <c r="BP1678" s="10"/>
    </row>
    <row r="1679" spans="1:68" s="14" customFormat="1" ht="9" customHeight="1" x14ac:dyDescent="0.2">
      <c r="A1679" s="249"/>
      <c r="B1679" s="249"/>
      <c r="C1679" s="284"/>
      <c r="D1679" s="244" t="s">
        <v>290</v>
      </c>
      <c r="E1679" s="281"/>
      <c r="F1679" s="257"/>
      <c r="G1679" s="249"/>
      <c r="H1679" s="242">
        <v>3764</v>
      </c>
      <c r="I1679" s="251">
        <f>H1679/$H$1680</f>
        <v>0.31020273611340038</v>
      </c>
      <c r="J1679" s="266" t="s">
        <v>290</v>
      </c>
      <c r="K1679" s="226"/>
      <c r="L1679" s="10"/>
      <c r="M1679" s="10"/>
      <c r="N1679" s="10"/>
      <c r="O1679" s="10"/>
      <c r="P1679" s="10"/>
      <c r="Q1679" s="10"/>
      <c r="R1679" s="10"/>
      <c r="S1679" s="10"/>
      <c r="T1679" s="10"/>
      <c r="U1679" s="10"/>
      <c r="V1679" s="10"/>
      <c r="W1679" s="10"/>
      <c r="X1679" s="10"/>
      <c r="Y1679" s="10"/>
      <c r="Z1679" s="10"/>
      <c r="AA1679" s="10"/>
      <c r="AB1679" s="10"/>
      <c r="AC1679" s="10"/>
      <c r="AD1679" s="10"/>
      <c r="AE1679" s="10"/>
      <c r="AF1679" s="10"/>
      <c r="AG1679" s="10"/>
      <c r="AH1679" s="10"/>
      <c r="AI1679" s="10"/>
      <c r="AJ1679" s="10"/>
      <c r="AK1679" s="10"/>
      <c r="AL1679" s="10"/>
      <c r="AM1679" s="10"/>
      <c r="AN1679" s="10"/>
      <c r="AO1679" s="10"/>
      <c r="AP1679" s="10"/>
      <c r="AQ1679" s="10"/>
      <c r="AR1679" s="10"/>
      <c r="AS1679" s="10"/>
      <c r="AT1679" s="10"/>
      <c r="AU1679" s="10"/>
      <c r="AV1679" s="10"/>
      <c r="AW1679" s="10"/>
      <c r="AX1679" s="10"/>
      <c r="AY1679" s="10"/>
      <c r="AZ1679" s="10"/>
      <c r="BA1679" s="10"/>
      <c r="BB1679" s="10"/>
      <c r="BC1679" s="10"/>
      <c r="BD1679" s="10"/>
      <c r="BE1679" s="10"/>
      <c r="BF1679" s="10"/>
      <c r="BG1679" s="10"/>
      <c r="BH1679" s="10"/>
      <c r="BI1679" s="10"/>
      <c r="BJ1679" s="10"/>
      <c r="BK1679" s="10"/>
      <c r="BL1679" s="10"/>
      <c r="BM1679" s="10"/>
      <c r="BN1679" s="10"/>
      <c r="BO1679" s="10"/>
      <c r="BP1679" s="10"/>
    </row>
    <row r="1680" spans="1:68" s="14" customFormat="1" ht="9" customHeight="1" x14ac:dyDescent="0.2">
      <c r="A1680" s="249"/>
      <c r="B1680" s="249"/>
      <c r="C1680" s="284"/>
      <c r="D1680" s="243" t="s">
        <v>33</v>
      </c>
      <c r="E1680" s="281"/>
      <c r="F1680" s="257"/>
      <c r="G1680" s="249"/>
      <c r="H1680" s="265">
        <f>SUM(H1676:H1679)</f>
        <v>12134</v>
      </c>
      <c r="I1680" s="256">
        <f>SUM(I1676:I1679)</f>
        <v>1</v>
      </c>
      <c r="J1680" s="249"/>
      <c r="K1680" s="226"/>
      <c r="L1680" s="10"/>
      <c r="M1680" s="10"/>
      <c r="N1680" s="10"/>
      <c r="O1680" s="10"/>
      <c r="P1680" s="10"/>
      <c r="Q1680" s="10"/>
      <c r="R1680" s="10"/>
      <c r="S1680" s="10"/>
      <c r="T1680" s="10"/>
      <c r="U1680" s="10"/>
      <c r="V1680" s="10"/>
      <c r="W1680" s="10"/>
      <c r="X1680" s="10"/>
      <c r="Y1680" s="10"/>
      <c r="Z1680" s="10"/>
      <c r="AA1680" s="10"/>
      <c r="AB1680" s="10"/>
      <c r="AC1680" s="10"/>
      <c r="AD1680" s="10"/>
      <c r="AE1680" s="10"/>
      <c r="AF1680" s="10"/>
      <c r="AG1680" s="10"/>
      <c r="AH1680" s="10"/>
      <c r="AI1680" s="10"/>
      <c r="AJ1680" s="10"/>
      <c r="AK1680" s="10"/>
      <c r="AL1680" s="10"/>
      <c r="AM1680" s="10"/>
      <c r="AN1680" s="10"/>
      <c r="AO1680" s="10"/>
      <c r="AP1680" s="10"/>
      <c r="AQ1680" s="10"/>
      <c r="AR1680" s="10"/>
      <c r="AS1680" s="10"/>
      <c r="AT1680" s="10"/>
      <c r="AU1680" s="10"/>
      <c r="AV1680" s="10"/>
      <c r="AW1680" s="10"/>
      <c r="AX1680" s="10"/>
      <c r="AY1680" s="10"/>
      <c r="AZ1680" s="10"/>
      <c r="BA1680" s="10"/>
      <c r="BB1680" s="10"/>
      <c r="BC1680" s="10"/>
      <c r="BD1680" s="10"/>
      <c r="BE1680" s="10"/>
      <c r="BF1680" s="10"/>
      <c r="BG1680" s="10"/>
      <c r="BH1680" s="10"/>
      <c r="BI1680" s="10"/>
      <c r="BJ1680" s="10"/>
      <c r="BK1680" s="10"/>
      <c r="BL1680" s="10"/>
      <c r="BM1680" s="10"/>
      <c r="BN1680" s="10"/>
      <c r="BO1680" s="10"/>
      <c r="BP1680" s="10"/>
    </row>
    <row r="1681" spans="1:68" s="14" customFormat="1" ht="9" customHeight="1" x14ac:dyDescent="0.2">
      <c r="A1681" s="249"/>
      <c r="B1681" s="249"/>
      <c r="C1681" s="284"/>
      <c r="D1681" s="243"/>
      <c r="E1681" s="281"/>
      <c r="F1681" s="257"/>
      <c r="G1681" s="249"/>
      <c r="H1681" s="249"/>
      <c r="I1681" s="262"/>
      <c r="J1681" s="249"/>
      <c r="K1681" s="226"/>
      <c r="L1681" s="10"/>
      <c r="M1681" s="10"/>
      <c r="N1681" s="10"/>
      <c r="O1681" s="10"/>
      <c r="P1681" s="10"/>
      <c r="Q1681" s="10"/>
      <c r="R1681" s="10"/>
      <c r="S1681" s="10"/>
      <c r="T1681" s="10"/>
      <c r="U1681" s="10"/>
      <c r="V1681" s="10"/>
      <c r="W1681" s="10"/>
      <c r="X1681" s="10"/>
      <c r="Y1681" s="10"/>
      <c r="Z1681" s="10"/>
      <c r="AA1681" s="10"/>
      <c r="AB1681" s="10"/>
      <c r="AC1681" s="10"/>
      <c r="AD1681" s="10"/>
      <c r="AE1681" s="10"/>
      <c r="AF1681" s="10"/>
      <c r="AG1681" s="10"/>
      <c r="AH1681" s="10"/>
      <c r="AI1681" s="10"/>
      <c r="AJ1681" s="10"/>
      <c r="AK1681" s="10"/>
      <c r="AL1681" s="10"/>
      <c r="AM1681" s="10"/>
      <c r="AN1681" s="10"/>
      <c r="AO1681" s="10"/>
      <c r="AP1681" s="10"/>
      <c r="AQ1681" s="10"/>
      <c r="AR1681" s="10"/>
      <c r="AS1681" s="10"/>
      <c r="AT1681" s="10"/>
      <c r="AU1681" s="10"/>
      <c r="AV1681" s="10"/>
      <c r="AW1681" s="10"/>
      <c r="AX1681" s="10"/>
      <c r="AY1681" s="10"/>
      <c r="AZ1681" s="10"/>
      <c r="BA1681" s="10"/>
      <c r="BB1681" s="10"/>
      <c r="BC1681" s="10"/>
      <c r="BD1681" s="10"/>
      <c r="BE1681" s="10"/>
      <c r="BF1681" s="10"/>
      <c r="BG1681" s="10"/>
      <c r="BH1681" s="10"/>
      <c r="BI1681" s="10"/>
      <c r="BJ1681" s="10"/>
      <c r="BK1681" s="10"/>
      <c r="BL1681" s="10"/>
      <c r="BM1681" s="10"/>
      <c r="BN1681" s="10"/>
      <c r="BO1681" s="10"/>
      <c r="BP1681" s="10"/>
    </row>
    <row r="1682" spans="1:68" s="14" customFormat="1" ht="9" customHeight="1" x14ac:dyDescent="0.2">
      <c r="A1682" s="243" t="s">
        <v>23</v>
      </c>
      <c r="B1682" s="243">
        <v>603</v>
      </c>
      <c r="C1682" s="243" t="s">
        <v>291</v>
      </c>
      <c r="D1682" s="254" t="s">
        <v>518</v>
      </c>
      <c r="E1682" s="277">
        <v>38376</v>
      </c>
      <c r="F1682" s="245">
        <v>8477188</v>
      </c>
      <c r="G1682" s="246">
        <v>40919</v>
      </c>
      <c r="H1682" s="242"/>
      <c r="I1682" s="251"/>
      <c r="J1682" s="253"/>
      <c r="K1682" s="226"/>
      <c r="L1682" s="10"/>
      <c r="M1682" s="10"/>
      <c r="N1682" s="10"/>
      <c r="O1682" s="10"/>
      <c r="P1682" s="10"/>
      <c r="Q1682" s="10"/>
      <c r="R1682" s="10"/>
      <c r="S1682" s="10"/>
      <c r="T1682" s="10"/>
      <c r="U1682" s="10"/>
      <c r="V1682" s="10"/>
      <c r="W1682" s="10"/>
      <c r="X1682" s="10"/>
      <c r="Y1682" s="10"/>
      <c r="Z1682" s="10"/>
      <c r="AA1682" s="10"/>
      <c r="AB1682" s="10"/>
      <c r="AC1682" s="10"/>
      <c r="AD1682" s="10"/>
      <c r="AE1682" s="10"/>
      <c r="AF1682" s="10"/>
      <c r="AG1682" s="10"/>
      <c r="AH1682" s="10"/>
      <c r="AI1682" s="10"/>
      <c r="AJ1682" s="10"/>
      <c r="AK1682" s="10"/>
      <c r="AL1682" s="10"/>
      <c r="AM1682" s="10"/>
      <c r="AN1682" s="10"/>
      <c r="AO1682" s="10"/>
      <c r="AP1682" s="10"/>
      <c r="AQ1682" s="10"/>
      <c r="AR1682" s="10"/>
      <c r="AS1682" s="10"/>
      <c r="AT1682" s="10"/>
      <c r="AU1682" s="10"/>
      <c r="AV1682" s="10"/>
      <c r="AW1682" s="10"/>
      <c r="AX1682" s="10"/>
      <c r="AY1682" s="10"/>
      <c r="AZ1682" s="10"/>
      <c r="BA1682" s="10"/>
      <c r="BB1682" s="10"/>
      <c r="BC1682" s="10"/>
      <c r="BD1682" s="10"/>
      <c r="BE1682" s="10"/>
      <c r="BF1682" s="10"/>
      <c r="BG1682" s="10"/>
      <c r="BH1682" s="10"/>
      <c r="BI1682" s="10"/>
      <c r="BJ1682" s="10"/>
      <c r="BK1682" s="10"/>
      <c r="BL1682" s="10"/>
      <c r="BM1682" s="10"/>
      <c r="BN1682" s="10"/>
      <c r="BO1682" s="10"/>
      <c r="BP1682" s="10"/>
    </row>
    <row r="1683" spans="1:68" s="14" customFormat="1" ht="9" customHeight="1" x14ac:dyDescent="0.2">
      <c r="A1683" s="248"/>
      <c r="B1683" s="248"/>
      <c r="C1683" s="261"/>
      <c r="D1683" s="244" t="s">
        <v>241</v>
      </c>
      <c r="E1683" s="281"/>
      <c r="F1683" s="257"/>
      <c r="G1683" s="249"/>
      <c r="H1683" s="250">
        <v>16422</v>
      </c>
      <c r="I1683" s="251">
        <f>ROUND(H1683/$H$1685,4)</f>
        <v>0.6</v>
      </c>
      <c r="J1683" s="252" t="s">
        <v>293</v>
      </c>
      <c r="K1683" s="226"/>
      <c r="L1683" s="10"/>
      <c r="M1683" s="10"/>
      <c r="N1683" s="10"/>
      <c r="O1683" s="10"/>
      <c r="P1683" s="10"/>
      <c r="Q1683" s="10"/>
      <c r="R1683" s="10"/>
      <c r="S1683" s="10"/>
      <c r="T1683" s="10"/>
      <c r="U1683" s="10"/>
      <c r="V1683" s="10"/>
      <c r="W1683" s="10"/>
      <c r="X1683" s="10"/>
      <c r="Y1683" s="10"/>
      <c r="Z1683" s="10"/>
      <c r="AA1683" s="10"/>
      <c r="AB1683" s="10"/>
      <c r="AC1683" s="10"/>
      <c r="AD1683" s="10"/>
      <c r="AE1683" s="10"/>
      <c r="AF1683" s="10"/>
      <c r="AG1683" s="10"/>
      <c r="AH1683" s="10"/>
      <c r="AI1683" s="10"/>
      <c r="AJ1683" s="10"/>
      <c r="AK1683" s="10"/>
      <c r="AL1683" s="10"/>
      <c r="AM1683" s="10"/>
      <c r="AN1683" s="10"/>
      <c r="AO1683" s="10"/>
      <c r="AP1683" s="10"/>
      <c r="AQ1683" s="10"/>
      <c r="AR1683" s="10"/>
      <c r="AS1683" s="10"/>
      <c r="AT1683" s="10"/>
      <c r="AU1683" s="10"/>
      <c r="AV1683" s="10"/>
      <c r="AW1683" s="10"/>
      <c r="AX1683" s="10"/>
      <c r="AY1683" s="10"/>
      <c r="AZ1683" s="10"/>
      <c r="BA1683" s="10"/>
      <c r="BB1683" s="10"/>
      <c r="BC1683" s="10"/>
      <c r="BD1683" s="10"/>
      <c r="BE1683" s="10"/>
      <c r="BF1683" s="10"/>
      <c r="BG1683" s="10"/>
      <c r="BH1683" s="10"/>
      <c r="BI1683" s="10"/>
      <c r="BJ1683" s="10"/>
      <c r="BK1683" s="10"/>
      <c r="BL1683" s="10"/>
      <c r="BM1683" s="10"/>
      <c r="BN1683" s="10"/>
      <c r="BO1683" s="10"/>
      <c r="BP1683" s="10"/>
    </row>
    <row r="1684" spans="1:68" s="14" customFormat="1" ht="9" customHeight="1" x14ac:dyDescent="0.2">
      <c r="A1684" s="248"/>
      <c r="B1684" s="248"/>
      <c r="C1684" s="261"/>
      <c r="D1684" s="244" t="s">
        <v>242</v>
      </c>
      <c r="E1684" s="281"/>
      <c r="F1684" s="257"/>
      <c r="G1684" s="249"/>
      <c r="H1684" s="250">
        <v>10950</v>
      </c>
      <c r="I1684" s="251">
        <f>ROUND(H1684/$H$1685,4)</f>
        <v>0.4</v>
      </c>
      <c r="J1684" s="252"/>
      <c r="K1684" s="226"/>
      <c r="L1684" s="10"/>
      <c r="M1684" s="10"/>
      <c r="N1684" s="10"/>
      <c r="O1684" s="10"/>
      <c r="P1684" s="10"/>
      <c r="Q1684" s="10"/>
      <c r="R1684" s="10"/>
      <c r="S1684" s="10"/>
      <c r="T1684" s="10"/>
      <c r="U1684" s="10"/>
      <c r="V1684" s="10"/>
      <c r="W1684" s="10"/>
      <c r="X1684" s="10"/>
      <c r="Y1684" s="10"/>
      <c r="Z1684" s="10"/>
      <c r="AA1684" s="10"/>
      <c r="AB1684" s="10"/>
      <c r="AC1684" s="10"/>
      <c r="AD1684" s="10"/>
      <c r="AE1684" s="10"/>
      <c r="AF1684" s="10"/>
      <c r="AG1684" s="10"/>
      <c r="AH1684" s="10"/>
      <c r="AI1684" s="10"/>
      <c r="AJ1684" s="10"/>
      <c r="AK1684" s="10"/>
      <c r="AL1684" s="10"/>
      <c r="AM1684" s="10"/>
      <c r="AN1684" s="10"/>
      <c r="AO1684" s="10"/>
      <c r="AP1684" s="10"/>
      <c r="AQ1684" s="10"/>
      <c r="AR1684" s="10"/>
      <c r="AS1684" s="10"/>
      <c r="AT1684" s="10"/>
      <c r="AU1684" s="10"/>
      <c r="AV1684" s="10"/>
      <c r="AW1684" s="10"/>
      <c r="AX1684" s="10"/>
      <c r="AY1684" s="10"/>
      <c r="AZ1684" s="10"/>
      <c r="BA1684" s="10"/>
      <c r="BB1684" s="10"/>
      <c r="BC1684" s="10"/>
      <c r="BD1684" s="10"/>
      <c r="BE1684" s="10"/>
      <c r="BF1684" s="10"/>
      <c r="BG1684" s="10"/>
      <c r="BH1684" s="10"/>
      <c r="BI1684" s="10"/>
      <c r="BJ1684" s="10"/>
      <c r="BK1684" s="10"/>
      <c r="BL1684" s="10"/>
      <c r="BM1684" s="10"/>
      <c r="BN1684" s="10"/>
      <c r="BO1684" s="10"/>
      <c r="BP1684" s="10"/>
    </row>
    <row r="1685" spans="1:68" s="14" customFormat="1" ht="9" customHeight="1" x14ac:dyDescent="0.2">
      <c r="A1685" s="248"/>
      <c r="B1685" s="248"/>
      <c r="C1685" s="261"/>
      <c r="D1685" s="243" t="s">
        <v>33</v>
      </c>
      <c r="E1685" s="281"/>
      <c r="F1685" s="257"/>
      <c r="G1685" s="249"/>
      <c r="H1685" s="255">
        <f>SUM(H1683:H1684)</f>
        <v>27372</v>
      </c>
      <c r="I1685" s="256">
        <f>SUM(I1683:I1684)</f>
        <v>1</v>
      </c>
      <c r="J1685" s="253"/>
      <c r="K1685" s="226"/>
      <c r="L1685" s="10"/>
      <c r="M1685" s="10"/>
      <c r="N1685" s="10"/>
      <c r="O1685" s="10"/>
      <c r="P1685" s="10"/>
      <c r="Q1685" s="10"/>
      <c r="R1685" s="10"/>
      <c r="S1685" s="10"/>
      <c r="T1685" s="10"/>
      <c r="U1685" s="10"/>
      <c r="V1685" s="10"/>
      <c r="W1685" s="10"/>
      <c r="X1685" s="10"/>
      <c r="Y1685" s="10"/>
      <c r="Z1685" s="10"/>
      <c r="AA1685" s="10"/>
      <c r="AB1685" s="10"/>
      <c r="AC1685" s="10"/>
      <c r="AD1685" s="10"/>
      <c r="AE1685" s="10"/>
      <c r="AF1685" s="10"/>
      <c r="AG1685" s="10"/>
      <c r="AH1685" s="10"/>
      <c r="AI1685" s="10"/>
      <c r="AJ1685" s="10"/>
      <c r="AK1685" s="10"/>
      <c r="AL1685" s="10"/>
      <c r="AM1685" s="10"/>
      <c r="AN1685" s="10"/>
      <c r="AO1685" s="10"/>
      <c r="AP1685" s="10"/>
      <c r="AQ1685" s="10"/>
      <c r="AR1685" s="10"/>
      <c r="AS1685" s="10"/>
      <c r="AT1685" s="10"/>
      <c r="AU1685" s="10"/>
      <c r="AV1685" s="10"/>
      <c r="AW1685" s="10"/>
      <c r="AX1685" s="10"/>
      <c r="AY1685" s="10"/>
      <c r="AZ1685" s="10"/>
      <c r="BA1685" s="10"/>
      <c r="BB1685" s="10"/>
      <c r="BC1685" s="10"/>
      <c r="BD1685" s="10"/>
      <c r="BE1685" s="10"/>
      <c r="BF1685" s="10"/>
      <c r="BG1685" s="10"/>
      <c r="BH1685" s="10"/>
      <c r="BI1685" s="10"/>
      <c r="BJ1685" s="10"/>
      <c r="BK1685" s="10"/>
      <c r="BL1685" s="10"/>
      <c r="BM1685" s="10"/>
      <c r="BN1685" s="10"/>
      <c r="BO1685" s="10"/>
      <c r="BP1685" s="10"/>
    </row>
    <row r="1686" spans="1:68" s="14" customFormat="1" ht="9" customHeight="1" x14ac:dyDescent="0.2">
      <c r="A1686" s="249"/>
      <c r="B1686" s="249"/>
      <c r="C1686" s="284"/>
      <c r="D1686" s="243"/>
      <c r="E1686" s="281"/>
      <c r="F1686" s="257"/>
      <c r="G1686" s="249"/>
      <c r="H1686" s="249"/>
      <c r="I1686" s="262"/>
      <c r="J1686" s="249"/>
      <c r="K1686" s="226"/>
      <c r="L1686" s="10"/>
      <c r="M1686" s="10"/>
      <c r="N1686" s="10"/>
      <c r="O1686" s="10"/>
      <c r="P1686" s="10"/>
      <c r="Q1686" s="10"/>
      <c r="R1686" s="10"/>
      <c r="S1686" s="10"/>
      <c r="T1686" s="10"/>
      <c r="U1686" s="10"/>
      <c r="V1686" s="10"/>
      <c r="W1686" s="10"/>
      <c r="X1686" s="10"/>
      <c r="Y1686" s="10"/>
      <c r="Z1686" s="10"/>
      <c r="AA1686" s="10"/>
      <c r="AB1686" s="10"/>
      <c r="AC1686" s="10"/>
      <c r="AD1686" s="10"/>
      <c r="AE1686" s="10"/>
      <c r="AF1686" s="10"/>
      <c r="AG1686" s="10"/>
      <c r="AH1686" s="10"/>
      <c r="AI1686" s="10"/>
      <c r="AJ1686" s="10"/>
      <c r="AK1686" s="10"/>
      <c r="AL1686" s="10"/>
      <c r="AM1686" s="10"/>
      <c r="AN1686" s="10"/>
      <c r="AO1686" s="10"/>
      <c r="AP1686" s="10"/>
      <c r="AQ1686" s="10"/>
      <c r="AR1686" s="10"/>
      <c r="AS1686" s="10"/>
      <c r="AT1686" s="10"/>
      <c r="AU1686" s="10"/>
      <c r="AV1686" s="10"/>
      <c r="AW1686" s="10"/>
      <c r="AX1686" s="10"/>
      <c r="AY1686" s="10"/>
      <c r="AZ1686" s="10"/>
      <c r="BA1686" s="10"/>
      <c r="BB1686" s="10"/>
      <c r="BC1686" s="10"/>
      <c r="BD1686" s="10"/>
      <c r="BE1686" s="10"/>
      <c r="BF1686" s="10"/>
      <c r="BG1686" s="10"/>
      <c r="BH1686" s="10"/>
      <c r="BI1686" s="10"/>
      <c r="BJ1686" s="10"/>
      <c r="BK1686" s="10"/>
      <c r="BL1686" s="10"/>
      <c r="BM1686" s="10"/>
      <c r="BN1686" s="10"/>
      <c r="BO1686" s="10"/>
      <c r="BP1686" s="10"/>
    </row>
    <row r="1687" spans="1:68" s="14" customFormat="1" ht="9" customHeight="1" x14ac:dyDescent="0.2">
      <c r="A1687" s="243" t="s">
        <v>23</v>
      </c>
      <c r="B1687" s="243">
        <v>649</v>
      </c>
      <c r="C1687" s="243" t="s">
        <v>291</v>
      </c>
      <c r="D1687" s="244" t="s">
        <v>520</v>
      </c>
      <c r="E1687" s="277">
        <v>38534</v>
      </c>
      <c r="F1687" s="245">
        <v>4352453</v>
      </c>
      <c r="G1687" s="246">
        <v>21771</v>
      </c>
      <c r="H1687" s="249"/>
      <c r="I1687" s="262"/>
      <c r="J1687" s="249"/>
      <c r="K1687" s="226"/>
      <c r="L1687" s="10"/>
      <c r="M1687" s="10"/>
      <c r="N1687" s="10"/>
      <c r="O1687" s="10"/>
      <c r="P1687" s="10"/>
      <c r="Q1687" s="10"/>
      <c r="R1687" s="10"/>
      <c r="S1687" s="10"/>
      <c r="T1687" s="10"/>
      <c r="U1687" s="10"/>
      <c r="V1687" s="10"/>
      <c r="W1687" s="10"/>
      <c r="X1687" s="10"/>
      <c r="Y1687" s="10"/>
      <c r="Z1687" s="10"/>
      <c r="AA1687" s="10"/>
      <c r="AB1687" s="10"/>
      <c r="AC1687" s="10"/>
      <c r="AD1687" s="10"/>
      <c r="AE1687" s="10"/>
      <c r="AF1687" s="10"/>
      <c r="AG1687" s="10"/>
      <c r="AH1687" s="10"/>
      <c r="AI1687" s="10"/>
      <c r="AJ1687" s="10"/>
      <c r="AK1687" s="10"/>
      <c r="AL1687" s="10"/>
      <c r="AM1687" s="10"/>
      <c r="AN1687" s="10"/>
      <c r="AO1687" s="10"/>
      <c r="AP1687" s="10"/>
      <c r="AQ1687" s="10"/>
      <c r="AR1687" s="10"/>
      <c r="AS1687" s="10"/>
      <c r="AT1687" s="10"/>
      <c r="AU1687" s="10"/>
      <c r="AV1687" s="10"/>
      <c r="AW1687" s="10"/>
      <c r="AX1687" s="10"/>
      <c r="AY1687" s="10"/>
      <c r="AZ1687" s="10"/>
      <c r="BA1687" s="10"/>
      <c r="BB1687" s="10"/>
      <c r="BC1687" s="10"/>
      <c r="BD1687" s="10"/>
      <c r="BE1687" s="10"/>
      <c r="BF1687" s="10"/>
      <c r="BG1687" s="10"/>
      <c r="BH1687" s="10"/>
      <c r="BI1687" s="10"/>
      <c r="BJ1687" s="10"/>
      <c r="BK1687" s="10"/>
      <c r="BL1687" s="10"/>
      <c r="BM1687" s="10"/>
      <c r="BN1687" s="10"/>
      <c r="BO1687" s="10"/>
      <c r="BP1687" s="10"/>
    </row>
    <row r="1688" spans="1:68" s="14" customFormat="1" ht="9" customHeight="1" x14ac:dyDescent="0.2">
      <c r="A1688" s="249"/>
      <c r="B1688" s="249"/>
      <c r="C1688" s="284"/>
      <c r="D1688" s="244" t="s">
        <v>286</v>
      </c>
      <c r="E1688" s="281"/>
      <c r="F1688" s="257"/>
      <c r="G1688" s="249"/>
      <c r="H1688" s="242">
        <v>3391</v>
      </c>
      <c r="I1688" s="251">
        <f>H1688/$H$1693</f>
        <v>0.18578785886478194</v>
      </c>
      <c r="J1688" s="252"/>
      <c r="K1688" s="226"/>
      <c r="L1688" s="10"/>
      <c r="M1688" s="10"/>
      <c r="N1688" s="10"/>
      <c r="O1688" s="10"/>
      <c r="P1688" s="10"/>
      <c r="Q1688" s="10"/>
      <c r="R1688" s="10"/>
      <c r="S1688" s="10"/>
      <c r="T1688" s="10"/>
      <c r="U1688" s="10"/>
      <c r="V1688" s="10"/>
      <c r="W1688" s="10"/>
      <c r="X1688" s="10"/>
      <c r="Y1688" s="10"/>
      <c r="Z1688" s="10"/>
      <c r="AA1688" s="10"/>
      <c r="AB1688" s="10"/>
      <c r="AC1688" s="10"/>
      <c r="AD1688" s="10"/>
      <c r="AE1688" s="10"/>
      <c r="AF1688" s="10"/>
      <c r="AG1688" s="10"/>
      <c r="AH1688" s="10"/>
      <c r="AI1688" s="10"/>
      <c r="AJ1688" s="10"/>
      <c r="AK1688" s="10"/>
      <c r="AL1688" s="10"/>
      <c r="AM1688" s="10"/>
      <c r="AN1688" s="10"/>
      <c r="AO1688" s="10"/>
      <c r="AP1688" s="10"/>
      <c r="AQ1688" s="10"/>
      <c r="AR1688" s="10"/>
      <c r="AS1688" s="10"/>
      <c r="AT1688" s="10"/>
      <c r="AU1688" s="10"/>
      <c r="AV1688" s="10"/>
      <c r="AW1688" s="10"/>
      <c r="AX1688" s="10"/>
      <c r="AY1688" s="10"/>
      <c r="AZ1688" s="10"/>
      <c r="BA1688" s="10"/>
      <c r="BB1688" s="10"/>
      <c r="BC1688" s="10"/>
      <c r="BD1688" s="10"/>
      <c r="BE1688" s="10"/>
      <c r="BF1688" s="10"/>
      <c r="BG1688" s="10"/>
      <c r="BH1688" s="10"/>
      <c r="BI1688" s="10"/>
      <c r="BJ1688" s="10"/>
      <c r="BK1688" s="10"/>
      <c r="BL1688" s="10"/>
      <c r="BM1688" s="10"/>
      <c r="BN1688" s="10"/>
      <c r="BO1688" s="10"/>
      <c r="BP1688" s="10"/>
    </row>
    <row r="1689" spans="1:68" s="14" customFormat="1" ht="9" customHeight="1" x14ac:dyDescent="0.2">
      <c r="A1689" s="249"/>
      <c r="B1689" s="249"/>
      <c r="C1689" s="284"/>
      <c r="D1689" s="244" t="s">
        <v>264</v>
      </c>
      <c r="E1689" s="281"/>
      <c r="F1689" s="257"/>
      <c r="G1689" s="249"/>
      <c r="H1689" s="242">
        <v>2827</v>
      </c>
      <c r="I1689" s="251">
        <f>H1689/$H$1693</f>
        <v>0.15488713565636641</v>
      </c>
      <c r="J1689" s="252"/>
      <c r="K1689" s="226"/>
      <c r="L1689" s="10"/>
      <c r="M1689" s="10"/>
      <c r="N1689" s="10"/>
      <c r="O1689" s="10"/>
      <c r="P1689" s="10"/>
      <c r="Q1689" s="10"/>
      <c r="R1689" s="10"/>
      <c r="S1689" s="10"/>
      <c r="T1689" s="10"/>
      <c r="U1689" s="10"/>
      <c r="V1689" s="10"/>
      <c r="W1689" s="10"/>
      <c r="X1689" s="10"/>
      <c r="Y1689" s="10"/>
      <c r="Z1689" s="10"/>
      <c r="AA1689" s="10"/>
      <c r="AB1689" s="10"/>
      <c r="AC1689" s="10"/>
      <c r="AD1689" s="10"/>
      <c r="AE1689" s="10"/>
      <c r="AF1689" s="10"/>
      <c r="AG1689" s="10"/>
      <c r="AH1689" s="10"/>
      <c r="AI1689" s="10"/>
      <c r="AJ1689" s="10"/>
      <c r="AK1689" s="10"/>
      <c r="AL1689" s="10"/>
      <c r="AM1689" s="10"/>
      <c r="AN1689" s="10"/>
      <c r="AO1689" s="10"/>
      <c r="AP1689" s="10"/>
      <c r="AQ1689" s="10"/>
      <c r="AR1689" s="10"/>
      <c r="AS1689" s="10"/>
      <c r="AT1689" s="10"/>
      <c r="AU1689" s="10"/>
      <c r="AV1689" s="10"/>
      <c r="AW1689" s="10"/>
      <c r="AX1689" s="10"/>
      <c r="AY1689" s="10"/>
      <c r="AZ1689" s="10"/>
      <c r="BA1689" s="10"/>
      <c r="BB1689" s="10"/>
      <c r="BC1689" s="10"/>
      <c r="BD1689" s="10"/>
      <c r="BE1689" s="10"/>
      <c r="BF1689" s="10"/>
      <c r="BG1689" s="10"/>
      <c r="BH1689" s="10"/>
      <c r="BI1689" s="10"/>
      <c r="BJ1689" s="10"/>
      <c r="BK1689" s="10"/>
      <c r="BL1689" s="10"/>
      <c r="BM1689" s="10"/>
      <c r="BN1689" s="10"/>
      <c r="BO1689" s="10"/>
      <c r="BP1689" s="10"/>
    </row>
    <row r="1690" spans="1:68" s="14" customFormat="1" ht="9" customHeight="1" x14ac:dyDescent="0.2">
      <c r="A1690" s="249"/>
      <c r="B1690" s="249"/>
      <c r="C1690" s="284"/>
      <c r="D1690" s="244" t="s">
        <v>245</v>
      </c>
      <c r="E1690" s="281"/>
      <c r="F1690" s="257"/>
      <c r="G1690" s="249"/>
      <c r="H1690" s="242">
        <v>2849</v>
      </c>
      <c r="I1690" s="251">
        <f>H1690/$H$1693</f>
        <v>0.15609248301555995</v>
      </c>
      <c r="J1690" s="252"/>
      <c r="K1690" s="226"/>
      <c r="L1690" s="10"/>
      <c r="M1690" s="10"/>
      <c r="N1690" s="10"/>
      <c r="O1690" s="10"/>
      <c r="P1690" s="10"/>
      <c r="Q1690" s="10"/>
      <c r="R1690" s="10"/>
      <c r="S1690" s="10"/>
      <c r="T1690" s="10"/>
      <c r="U1690" s="10"/>
      <c r="V1690" s="10"/>
      <c r="W1690" s="10"/>
      <c r="X1690" s="10"/>
      <c r="Y1690" s="10"/>
      <c r="Z1690" s="10"/>
      <c r="AA1690" s="10"/>
      <c r="AB1690" s="10"/>
      <c r="AC1690" s="10"/>
      <c r="AD1690" s="10"/>
      <c r="AE1690" s="10"/>
      <c r="AF1690" s="10"/>
      <c r="AG1690" s="10"/>
      <c r="AH1690" s="10"/>
      <c r="AI1690" s="10"/>
      <c r="AJ1690" s="10"/>
      <c r="AK1690" s="10"/>
      <c r="AL1690" s="10"/>
      <c r="AM1690" s="10"/>
      <c r="AN1690" s="10"/>
      <c r="AO1690" s="10"/>
      <c r="AP1690" s="10"/>
      <c r="AQ1690" s="10"/>
      <c r="AR1690" s="10"/>
      <c r="AS1690" s="10"/>
      <c r="AT1690" s="10"/>
      <c r="AU1690" s="10"/>
      <c r="AV1690" s="10"/>
      <c r="AW1690" s="10"/>
      <c r="AX1690" s="10"/>
      <c r="AY1690" s="10"/>
      <c r="AZ1690" s="10"/>
      <c r="BA1690" s="10"/>
      <c r="BB1690" s="10"/>
      <c r="BC1690" s="10"/>
      <c r="BD1690" s="10"/>
      <c r="BE1690" s="10"/>
      <c r="BF1690" s="10"/>
      <c r="BG1690" s="10"/>
      <c r="BH1690" s="10"/>
      <c r="BI1690" s="10"/>
      <c r="BJ1690" s="10"/>
      <c r="BK1690" s="10"/>
      <c r="BL1690" s="10"/>
      <c r="BM1690" s="10"/>
      <c r="BN1690" s="10"/>
      <c r="BO1690" s="10"/>
      <c r="BP1690" s="10"/>
    </row>
    <row r="1691" spans="1:68" s="14" customFormat="1" ht="9" customHeight="1" x14ac:dyDescent="0.2">
      <c r="A1691" s="249"/>
      <c r="B1691" s="249"/>
      <c r="C1691" s="284"/>
      <c r="D1691" s="244" t="s">
        <v>290</v>
      </c>
      <c r="E1691" s="281"/>
      <c r="F1691" s="257"/>
      <c r="G1691" s="249"/>
      <c r="H1691" s="242">
        <v>8400</v>
      </c>
      <c r="I1691" s="251">
        <f>H1691/$H$1693</f>
        <v>0.46022353714661407</v>
      </c>
      <c r="J1691" s="266" t="s">
        <v>290</v>
      </c>
      <c r="K1691" s="226"/>
      <c r="L1691" s="10"/>
      <c r="M1691" s="10"/>
      <c r="N1691" s="10"/>
      <c r="O1691" s="10"/>
      <c r="P1691" s="10"/>
      <c r="Q1691" s="10"/>
      <c r="R1691" s="10"/>
      <c r="S1691" s="10"/>
      <c r="T1691" s="10"/>
      <c r="U1691" s="10"/>
      <c r="V1691" s="10"/>
      <c r="W1691" s="10"/>
      <c r="X1691" s="10"/>
      <c r="Y1691" s="10"/>
      <c r="Z1691" s="10"/>
      <c r="AA1691" s="10"/>
      <c r="AB1691" s="10"/>
      <c r="AC1691" s="10"/>
      <c r="AD1691" s="10"/>
      <c r="AE1691" s="10"/>
      <c r="AF1691" s="10"/>
      <c r="AG1691" s="10"/>
      <c r="AH1691" s="10"/>
      <c r="AI1691" s="10"/>
      <c r="AJ1691" s="10"/>
      <c r="AK1691" s="10"/>
      <c r="AL1691" s="10"/>
      <c r="AM1691" s="10"/>
      <c r="AN1691" s="10"/>
      <c r="AO1691" s="10"/>
      <c r="AP1691" s="10"/>
      <c r="AQ1691" s="10"/>
      <c r="AR1691" s="10"/>
      <c r="AS1691" s="10"/>
      <c r="AT1691" s="10"/>
      <c r="AU1691" s="10"/>
      <c r="AV1691" s="10"/>
      <c r="AW1691" s="10"/>
      <c r="AX1691" s="10"/>
      <c r="AY1691" s="10"/>
      <c r="AZ1691" s="10"/>
      <c r="BA1691" s="10"/>
      <c r="BB1691" s="10"/>
      <c r="BC1691" s="10"/>
      <c r="BD1691" s="10"/>
      <c r="BE1691" s="10"/>
      <c r="BF1691" s="10"/>
      <c r="BG1691" s="10"/>
      <c r="BH1691" s="10"/>
      <c r="BI1691" s="10"/>
      <c r="BJ1691" s="10"/>
      <c r="BK1691" s="10"/>
      <c r="BL1691" s="10"/>
      <c r="BM1691" s="10"/>
      <c r="BN1691" s="10"/>
      <c r="BO1691" s="10"/>
      <c r="BP1691" s="10"/>
    </row>
    <row r="1692" spans="1:68" s="14" customFormat="1" ht="9" customHeight="1" x14ac:dyDescent="0.2">
      <c r="A1692" s="249"/>
      <c r="B1692" s="249"/>
      <c r="C1692" s="284"/>
      <c r="D1692" s="244" t="s">
        <v>294</v>
      </c>
      <c r="E1692" s="281"/>
      <c r="F1692" s="257"/>
      <c r="G1692" s="249"/>
      <c r="H1692" s="242">
        <v>785</v>
      </c>
      <c r="I1692" s="251">
        <f>H1692/$H$1693</f>
        <v>4.3008985316677621E-2</v>
      </c>
      <c r="J1692" s="252"/>
      <c r="K1692" s="226"/>
      <c r="L1692" s="10"/>
      <c r="M1692" s="10"/>
      <c r="N1692" s="10"/>
      <c r="O1692" s="10"/>
      <c r="P1692" s="10"/>
      <c r="Q1692" s="10"/>
      <c r="R1692" s="10"/>
      <c r="S1692" s="10"/>
      <c r="T1692" s="10"/>
      <c r="U1692" s="10"/>
      <c r="V1692" s="10"/>
      <c r="W1692" s="10"/>
      <c r="X1692" s="10"/>
      <c r="Y1692" s="10"/>
      <c r="Z1692" s="10"/>
      <c r="AA1692" s="10"/>
      <c r="AB1692" s="10"/>
      <c r="AC1692" s="10"/>
      <c r="AD1692" s="10"/>
      <c r="AE1692" s="10"/>
      <c r="AF1692" s="10"/>
      <c r="AG1692" s="10"/>
      <c r="AH1692" s="10"/>
      <c r="AI1692" s="10"/>
      <c r="AJ1692" s="10"/>
      <c r="AK1692" s="10"/>
      <c r="AL1692" s="10"/>
      <c r="AM1692" s="10"/>
      <c r="AN1692" s="10"/>
      <c r="AO1692" s="10"/>
      <c r="AP1692" s="10"/>
      <c r="AQ1692" s="10"/>
      <c r="AR1692" s="10"/>
      <c r="AS1692" s="10"/>
      <c r="AT1692" s="10"/>
      <c r="AU1692" s="10"/>
      <c r="AV1692" s="10"/>
      <c r="AW1692" s="10"/>
      <c r="AX1692" s="10"/>
      <c r="AY1692" s="10"/>
      <c r="AZ1692" s="10"/>
      <c r="BA1692" s="10"/>
      <c r="BB1692" s="10"/>
      <c r="BC1692" s="10"/>
      <c r="BD1692" s="10"/>
      <c r="BE1692" s="10"/>
      <c r="BF1692" s="10"/>
      <c r="BG1692" s="10"/>
      <c r="BH1692" s="10"/>
      <c r="BI1692" s="10"/>
      <c r="BJ1692" s="10"/>
      <c r="BK1692" s="10"/>
      <c r="BL1692" s="10"/>
      <c r="BM1692" s="10"/>
      <c r="BN1692" s="10"/>
      <c r="BO1692" s="10"/>
      <c r="BP1692" s="10"/>
    </row>
    <row r="1693" spans="1:68" s="14" customFormat="1" ht="9" customHeight="1" x14ac:dyDescent="0.2">
      <c r="A1693" s="249"/>
      <c r="B1693" s="249"/>
      <c r="C1693" s="284"/>
      <c r="D1693" s="243"/>
      <c r="E1693" s="281"/>
      <c r="F1693" s="257"/>
      <c r="G1693" s="249"/>
      <c r="H1693" s="265">
        <f>SUM(H1688:H1692)</f>
        <v>18252</v>
      </c>
      <c r="I1693" s="256">
        <f>SUM(I1688:I1692)</f>
        <v>1</v>
      </c>
      <c r="J1693" s="249"/>
      <c r="K1693" s="226"/>
      <c r="L1693" s="10"/>
      <c r="M1693" s="10"/>
      <c r="N1693" s="10"/>
      <c r="O1693" s="10"/>
      <c r="P1693" s="10"/>
      <c r="Q1693" s="10"/>
      <c r="R1693" s="10"/>
      <c r="S1693" s="10"/>
      <c r="T1693" s="10"/>
      <c r="U1693" s="10"/>
      <c r="V1693" s="10"/>
      <c r="W1693" s="10"/>
      <c r="X1693" s="10"/>
      <c r="Y1693" s="10"/>
      <c r="Z1693" s="10"/>
      <c r="AA1693" s="10"/>
      <c r="AB1693" s="10"/>
      <c r="AC1693" s="10"/>
      <c r="AD1693" s="10"/>
      <c r="AE1693" s="10"/>
      <c r="AF1693" s="10"/>
      <c r="AG1693" s="10"/>
      <c r="AH1693" s="10"/>
      <c r="AI1693" s="10"/>
      <c r="AJ1693" s="10"/>
      <c r="AK1693" s="10"/>
      <c r="AL1693" s="10"/>
      <c r="AM1693" s="10"/>
      <c r="AN1693" s="10"/>
      <c r="AO1693" s="10"/>
      <c r="AP1693" s="10"/>
      <c r="AQ1693" s="10"/>
      <c r="AR1693" s="10"/>
      <c r="AS1693" s="10"/>
      <c r="AT1693" s="10"/>
      <c r="AU1693" s="10"/>
      <c r="AV1693" s="10"/>
      <c r="AW1693" s="10"/>
      <c r="AX1693" s="10"/>
      <c r="AY1693" s="10"/>
      <c r="AZ1693" s="10"/>
      <c r="BA1693" s="10"/>
      <c r="BB1693" s="10"/>
      <c r="BC1693" s="10"/>
      <c r="BD1693" s="10"/>
      <c r="BE1693" s="10"/>
      <c r="BF1693" s="10"/>
      <c r="BG1693" s="10"/>
      <c r="BH1693" s="10"/>
      <c r="BI1693" s="10"/>
      <c r="BJ1693" s="10"/>
      <c r="BK1693" s="10"/>
      <c r="BL1693" s="10"/>
      <c r="BM1693" s="10"/>
      <c r="BN1693" s="10"/>
      <c r="BO1693" s="10"/>
      <c r="BP1693" s="10"/>
    </row>
    <row r="1694" spans="1:68" s="14" customFormat="1" ht="9" customHeight="1" x14ac:dyDescent="0.2">
      <c r="A1694" s="249"/>
      <c r="B1694" s="249"/>
      <c r="C1694" s="284"/>
      <c r="D1694" s="243"/>
      <c r="E1694" s="281"/>
      <c r="F1694" s="257"/>
      <c r="G1694" s="249"/>
      <c r="H1694" s="249"/>
      <c r="I1694" s="262"/>
      <c r="J1694" s="249"/>
      <c r="K1694" s="226"/>
      <c r="L1694" s="10"/>
      <c r="M1694" s="10"/>
      <c r="N1694" s="10"/>
      <c r="O1694" s="10"/>
      <c r="P1694" s="10"/>
      <c r="Q1694" s="10"/>
      <c r="R1694" s="10"/>
      <c r="S1694" s="10"/>
      <c r="T1694" s="10"/>
      <c r="U1694" s="10"/>
      <c r="V1694" s="10"/>
      <c r="W1694" s="10"/>
      <c r="X1694" s="10"/>
      <c r="Y1694" s="10"/>
      <c r="Z1694" s="10"/>
      <c r="AA1694" s="10"/>
      <c r="AB1694" s="10"/>
      <c r="AC1694" s="10"/>
      <c r="AD1694" s="10"/>
      <c r="AE1694" s="10"/>
      <c r="AF1694" s="10"/>
      <c r="AG1694" s="10"/>
      <c r="AH1694" s="10"/>
      <c r="AI1694" s="10"/>
      <c r="AJ1694" s="10"/>
      <c r="AK1694" s="10"/>
      <c r="AL1694" s="10"/>
      <c r="AM1694" s="10"/>
      <c r="AN1694" s="10"/>
      <c r="AO1694" s="10"/>
      <c r="AP1694" s="10"/>
      <c r="AQ1694" s="10"/>
      <c r="AR1694" s="10"/>
      <c r="AS1694" s="10"/>
      <c r="AT1694" s="10"/>
      <c r="AU1694" s="10"/>
      <c r="AV1694" s="10"/>
      <c r="AW1694" s="10"/>
      <c r="AX1694" s="10"/>
      <c r="AY1694" s="10"/>
      <c r="AZ1694" s="10"/>
      <c r="BA1694" s="10"/>
      <c r="BB1694" s="10"/>
      <c r="BC1694" s="10"/>
      <c r="BD1694" s="10"/>
      <c r="BE1694" s="10"/>
      <c r="BF1694" s="10"/>
      <c r="BG1694" s="10"/>
      <c r="BH1694" s="10"/>
      <c r="BI1694" s="10"/>
      <c r="BJ1694" s="10"/>
      <c r="BK1694" s="10"/>
      <c r="BL1694" s="10"/>
      <c r="BM1694" s="10"/>
      <c r="BN1694" s="10"/>
      <c r="BO1694" s="10"/>
      <c r="BP1694" s="10"/>
    </row>
    <row r="1695" spans="1:68" s="14" customFormat="1" ht="9" customHeight="1" x14ac:dyDescent="0.2">
      <c r="A1695" s="243" t="s">
        <v>23</v>
      </c>
      <c r="B1695" s="243">
        <v>669</v>
      </c>
      <c r="C1695" s="243" t="s">
        <v>291</v>
      </c>
      <c r="D1695" s="244" t="s">
        <v>544</v>
      </c>
      <c r="E1695" s="277">
        <v>38991</v>
      </c>
      <c r="F1695" s="245">
        <v>5846056</v>
      </c>
      <c r="G1695" s="246">
        <v>30630</v>
      </c>
      <c r="H1695" s="249"/>
      <c r="I1695" s="262"/>
      <c r="J1695" s="249"/>
      <c r="K1695" s="226"/>
      <c r="L1695" s="10"/>
      <c r="M1695" s="10"/>
      <c r="N1695" s="10"/>
      <c r="O1695" s="10"/>
      <c r="P1695" s="10"/>
      <c r="Q1695" s="10"/>
      <c r="R1695" s="10"/>
      <c r="S1695" s="10"/>
      <c r="T1695" s="10"/>
      <c r="U1695" s="10"/>
      <c r="V1695" s="10"/>
      <c r="W1695" s="10"/>
      <c r="X1695" s="10"/>
      <c r="Y1695" s="10"/>
      <c r="Z1695" s="10"/>
      <c r="AA1695" s="10"/>
      <c r="AB1695" s="10"/>
      <c r="AC1695" s="10"/>
      <c r="AD1695" s="10"/>
      <c r="AE1695" s="10"/>
      <c r="AF1695" s="10"/>
      <c r="AG1695" s="10"/>
      <c r="AH1695" s="10"/>
      <c r="AI1695" s="10"/>
      <c r="AJ1695" s="10"/>
      <c r="AK1695" s="10"/>
      <c r="AL1695" s="10"/>
      <c r="AM1695" s="10"/>
      <c r="AN1695" s="10"/>
      <c r="AO1695" s="10"/>
      <c r="AP1695" s="10"/>
      <c r="AQ1695" s="10"/>
      <c r="AR1695" s="10"/>
      <c r="AS1695" s="10"/>
      <c r="AT1695" s="10"/>
      <c r="AU1695" s="10"/>
      <c r="AV1695" s="10"/>
      <c r="AW1695" s="10"/>
      <c r="AX1695" s="10"/>
      <c r="AY1695" s="10"/>
      <c r="AZ1695" s="10"/>
      <c r="BA1695" s="10"/>
      <c r="BB1695" s="10"/>
      <c r="BC1695" s="10"/>
      <c r="BD1695" s="10"/>
      <c r="BE1695" s="10"/>
      <c r="BF1695" s="10"/>
      <c r="BG1695" s="10"/>
      <c r="BH1695" s="10"/>
      <c r="BI1695" s="10"/>
      <c r="BJ1695" s="10"/>
      <c r="BK1695" s="10"/>
      <c r="BL1695" s="10"/>
      <c r="BM1695" s="10"/>
      <c r="BN1695" s="10"/>
      <c r="BO1695" s="10"/>
      <c r="BP1695" s="10"/>
    </row>
    <row r="1696" spans="1:68" s="14" customFormat="1" ht="9" customHeight="1" x14ac:dyDescent="0.2">
      <c r="A1696" s="249"/>
      <c r="B1696" s="249"/>
      <c r="C1696" s="284"/>
      <c r="D1696" s="244" t="s">
        <v>264</v>
      </c>
      <c r="E1696" s="281"/>
      <c r="F1696" s="257"/>
      <c r="G1696" s="249"/>
      <c r="H1696" s="242">
        <v>3583</v>
      </c>
      <c r="I1696" s="251">
        <f>H1696/$H$1699</f>
        <v>0.17870324189526185</v>
      </c>
      <c r="J1696" s="252"/>
      <c r="K1696" s="226"/>
      <c r="L1696" s="10"/>
      <c r="M1696" s="10"/>
      <c r="N1696" s="10"/>
      <c r="O1696" s="10"/>
      <c r="P1696" s="10"/>
      <c r="Q1696" s="10"/>
      <c r="R1696" s="10"/>
      <c r="S1696" s="10"/>
      <c r="T1696" s="10"/>
      <c r="U1696" s="10"/>
      <c r="V1696" s="10"/>
      <c r="W1696" s="10"/>
      <c r="X1696" s="10"/>
      <c r="Y1696" s="10"/>
      <c r="Z1696" s="10"/>
      <c r="AA1696" s="10"/>
      <c r="AB1696" s="10"/>
      <c r="AC1696" s="10"/>
      <c r="AD1696" s="10"/>
      <c r="AE1696" s="10"/>
      <c r="AF1696" s="10"/>
      <c r="AG1696" s="10"/>
      <c r="AH1696" s="10"/>
      <c r="AI1696" s="10"/>
      <c r="AJ1696" s="10"/>
      <c r="AK1696" s="10"/>
      <c r="AL1696" s="10"/>
      <c r="AM1696" s="10"/>
      <c r="AN1696" s="10"/>
      <c r="AO1696" s="10"/>
      <c r="AP1696" s="10"/>
      <c r="AQ1696" s="10"/>
      <c r="AR1696" s="10"/>
      <c r="AS1696" s="10"/>
      <c r="AT1696" s="10"/>
      <c r="AU1696" s="10"/>
      <c r="AV1696" s="10"/>
      <c r="AW1696" s="10"/>
      <c r="AX1696" s="10"/>
      <c r="AY1696" s="10"/>
      <c r="AZ1696" s="10"/>
      <c r="BA1696" s="10"/>
      <c r="BB1696" s="10"/>
      <c r="BC1696" s="10"/>
      <c r="BD1696" s="10"/>
      <c r="BE1696" s="10"/>
      <c r="BF1696" s="10"/>
      <c r="BG1696" s="10"/>
      <c r="BH1696" s="10"/>
      <c r="BI1696" s="10"/>
      <c r="BJ1696" s="10"/>
      <c r="BK1696" s="10"/>
      <c r="BL1696" s="10"/>
      <c r="BM1696" s="10"/>
      <c r="BN1696" s="10"/>
      <c r="BO1696" s="10"/>
      <c r="BP1696" s="10"/>
    </row>
    <row r="1697" spans="1:68" s="14" customFormat="1" ht="9" customHeight="1" x14ac:dyDescent="0.2">
      <c r="A1697" s="249"/>
      <c r="B1697" s="249"/>
      <c r="C1697" s="284"/>
      <c r="D1697" s="244" t="s">
        <v>290</v>
      </c>
      <c r="E1697" s="281"/>
      <c r="F1697" s="257"/>
      <c r="G1697" s="249"/>
      <c r="H1697" s="242">
        <v>5468</v>
      </c>
      <c r="I1697" s="251">
        <f>H1697/$H$1699</f>
        <v>0.27271820448877804</v>
      </c>
      <c r="J1697" s="266"/>
      <c r="K1697" s="226"/>
      <c r="L1697" s="10"/>
      <c r="M1697" s="10"/>
      <c r="N1697" s="10"/>
      <c r="O1697" s="10"/>
      <c r="P1697" s="10"/>
      <c r="Q1697" s="10"/>
      <c r="R1697" s="10"/>
      <c r="S1697" s="10"/>
      <c r="T1697" s="10"/>
      <c r="U1697" s="10"/>
      <c r="V1697" s="10"/>
      <c r="W1697" s="10"/>
      <c r="X1697" s="10"/>
      <c r="Y1697" s="10"/>
      <c r="Z1697" s="10"/>
      <c r="AA1697" s="10"/>
      <c r="AB1697" s="10"/>
      <c r="AC1697" s="10"/>
      <c r="AD1697" s="10"/>
      <c r="AE1697" s="10"/>
      <c r="AF1697" s="10"/>
      <c r="AG1697" s="10"/>
      <c r="AH1697" s="10"/>
      <c r="AI1697" s="10"/>
      <c r="AJ1697" s="10"/>
      <c r="AK1697" s="10"/>
      <c r="AL1697" s="10"/>
      <c r="AM1697" s="10"/>
      <c r="AN1697" s="10"/>
      <c r="AO1697" s="10"/>
      <c r="AP1697" s="10"/>
      <c r="AQ1697" s="10"/>
      <c r="AR1697" s="10"/>
      <c r="AS1697" s="10"/>
      <c r="AT1697" s="10"/>
      <c r="AU1697" s="10"/>
      <c r="AV1697" s="10"/>
      <c r="AW1697" s="10"/>
      <c r="AX1697" s="10"/>
      <c r="AY1697" s="10"/>
      <c r="AZ1697" s="10"/>
      <c r="BA1697" s="10"/>
      <c r="BB1697" s="10"/>
      <c r="BC1697" s="10"/>
      <c r="BD1697" s="10"/>
      <c r="BE1697" s="10"/>
      <c r="BF1697" s="10"/>
      <c r="BG1697" s="10"/>
      <c r="BH1697" s="10"/>
      <c r="BI1697" s="10"/>
      <c r="BJ1697" s="10"/>
      <c r="BK1697" s="10"/>
      <c r="BL1697" s="10"/>
      <c r="BM1697" s="10"/>
      <c r="BN1697" s="10"/>
      <c r="BO1697" s="10"/>
      <c r="BP1697" s="10"/>
    </row>
    <row r="1698" spans="1:68" s="14" customFormat="1" ht="9" customHeight="1" x14ac:dyDescent="0.2">
      <c r="A1698" s="249"/>
      <c r="B1698" s="249"/>
      <c r="C1698" s="284"/>
      <c r="D1698" s="244" t="s">
        <v>294</v>
      </c>
      <c r="E1698" s="281"/>
      <c r="F1698" s="257"/>
      <c r="G1698" s="249"/>
      <c r="H1698" s="242">
        <v>10999</v>
      </c>
      <c r="I1698" s="251">
        <f>H1698/$H$1699</f>
        <v>0.54857855361596009</v>
      </c>
      <c r="J1698" s="266" t="s">
        <v>294</v>
      </c>
      <c r="K1698" s="226"/>
      <c r="L1698" s="10"/>
      <c r="M1698" s="10"/>
      <c r="N1698" s="10"/>
      <c r="O1698" s="10"/>
      <c r="P1698" s="10"/>
      <c r="Q1698" s="10"/>
      <c r="R1698" s="10"/>
      <c r="S1698" s="10"/>
      <c r="T1698" s="10"/>
      <c r="U1698" s="10"/>
      <c r="V1698" s="10"/>
      <c r="W1698" s="10"/>
      <c r="X1698" s="10"/>
      <c r="Y1698" s="10"/>
      <c r="Z1698" s="10"/>
      <c r="AA1698" s="10"/>
      <c r="AB1698" s="10"/>
      <c r="AC1698" s="10"/>
      <c r="AD1698" s="10"/>
      <c r="AE1698" s="10"/>
      <c r="AF1698" s="10"/>
      <c r="AG1698" s="10"/>
      <c r="AH1698" s="10"/>
      <c r="AI1698" s="10"/>
      <c r="AJ1698" s="10"/>
      <c r="AK1698" s="10"/>
      <c r="AL1698" s="10"/>
      <c r="AM1698" s="10"/>
      <c r="AN1698" s="10"/>
      <c r="AO1698" s="10"/>
      <c r="AP1698" s="10"/>
      <c r="AQ1698" s="10"/>
      <c r="AR1698" s="10"/>
      <c r="AS1698" s="10"/>
      <c r="AT1698" s="10"/>
      <c r="AU1698" s="10"/>
      <c r="AV1698" s="10"/>
      <c r="AW1698" s="10"/>
      <c r="AX1698" s="10"/>
      <c r="AY1698" s="10"/>
      <c r="AZ1698" s="10"/>
      <c r="BA1698" s="10"/>
      <c r="BB1698" s="10"/>
      <c r="BC1698" s="10"/>
      <c r="BD1698" s="10"/>
      <c r="BE1698" s="10"/>
      <c r="BF1698" s="10"/>
      <c r="BG1698" s="10"/>
      <c r="BH1698" s="10"/>
      <c r="BI1698" s="10"/>
      <c r="BJ1698" s="10"/>
      <c r="BK1698" s="10"/>
      <c r="BL1698" s="10"/>
      <c r="BM1698" s="10"/>
      <c r="BN1698" s="10"/>
      <c r="BO1698" s="10"/>
      <c r="BP1698" s="10"/>
    </row>
    <row r="1699" spans="1:68" s="14" customFormat="1" ht="9" customHeight="1" x14ac:dyDescent="0.2">
      <c r="A1699" s="249"/>
      <c r="B1699" s="249"/>
      <c r="C1699" s="284"/>
      <c r="D1699" s="243"/>
      <c r="E1699" s="281"/>
      <c r="F1699" s="257"/>
      <c r="G1699" s="249"/>
      <c r="H1699" s="265">
        <f>SUM(H1696:H1698)</f>
        <v>20050</v>
      </c>
      <c r="I1699" s="256">
        <f>SUM(I1696:I1698)</f>
        <v>1</v>
      </c>
      <c r="J1699" s="249"/>
      <c r="K1699" s="226"/>
      <c r="L1699" s="10"/>
      <c r="M1699" s="10"/>
      <c r="N1699" s="10"/>
      <c r="O1699" s="10"/>
      <c r="P1699" s="10"/>
      <c r="Q1699" s="10"/>
      <c r="R1699" s="10"/>
      <c r="S1699" s="10"/>
      <c r="T1699" s="10"/>
      <c r="U1699" s="10"/>
      <c r="V1699" s="10"/>
      <c r="W1699" s="10"/>
      <c r="X1699" s="10"/>
      <c r="Y1699" s="10"/>
      <c r="Z1699" s="10"/>
      <c r="AA1699" s="10"/>
      <c r="AB1699" s="10"/>
      <c r="AC1699" s="10"/>
      <c r="AD1699" s="10"/>
      <c r="AE1699" s="10"/>
      <c r="AF1699" s="10"/>
      <c r="AG1699" s="10"/>
      <c r="AH1699" s="10"/>
      <c r="AI1699" s="10"/>
      <c r="AJ1699" s="10"/>
      <c r="AK1699" s="10"/>
      <c r="AL1699" s="10"/>
      <c r="AM1699" s="10"/>
      <c r="AN1699" s="10"/>
      <c r="AO1699" s="10"/>
      <c r="AP1699" s="10"/>
      <c r="AQ1699" s="10"/>
      <c r="AR1699" s="10"/>
      <c r="AS1699" s="10"/>
      <c r="AT1699" s="10"/>
      <c r="AU1699" s="10"/>
      <c r="AV1699" s="10"/>
      <c r="AW1699" s="10"/>
      <c r="AX1699" s="10"/>
      <c r="AY1699" s="10"/>
      <c r="AZ1699" s="10"/>
      <c r="BA1699" s="10"/>
      <c r="BB1699" s="10"/>
      <c r="BC1699" s="10"/>
      <c r="BD1699" s="10"/>
      <c r="BE1699" s="10"/>
      <c r="BF1699" s="10"/>
      <c r="BG1699" s="10"/>
      <c r="BH1699" s="10"/>
      <c r="BI1699" s="10"/>
      <c r="BJ1699" s="10"/>
      <c r="BK1699" s="10"/>
      <c r="BL1699" s="10"/>
      <c r="BM1699" s="10"/>
      <c r="BN1699" s="10"/>
      <c r="BO1699" s="10"/>
      <c r="BP1699" s="10"/>
    </row>
    <row r="1700" spans="1:68" s="14" customFormat="1" ht="9" customHeight="1" x14ac:dyDescent="0.2">
      <c r="A1700" s="249"/>
      <c r="B1700" s="249"/>
      <c r="C1700" s="284"/>
      <c r="D1700" s="243"/>
      <c r="E1700" s="281"/>
      <c r="F1700" s="257"/>
      <c r="G1700" s="249"/>
      <c r="H1700" s="249"/>
      <c r="I1700" s="262"/>
      <c r="J1700" s="249"/>
      <c r="K1700" s="226"/>
      <c r="L1700" s="10"/>
      <c r="M1700" s="10"/>
      <c r="N1700" s="10"/>
      <c r="O1700" s="10"/>
      <c r="P1700" s="10"/>
      <c r="Q1700" s="10"/>
      <c r="R1700" s="10"/>
      <c r="S1700" s="10"/>
      <c r="T1700" s="10"/>
      <c r="U1700" s="10"/>
      <c r="V1700" s="10"/>
      <c r="W1700" s="10"/>
      <c r="X1700" s="10"/>
      <c r="Y1700" s="10"/>
      <c r="Z1700" s="10"/>
      <c r="AA1700" s="10"/>
      <c r="AB1700" s="10"/>
      <c r="AC1700" s="10"/>
      <c r="AD1700" s="10"/>
      <c r="AE1700" s="10"/>
      <c r="AF1700" s="10"/>
      <c r="AG1700" s="10"/>
      <c r="AH1700" s="10"/>
      <c r="AI1700" s="10"/>
      <c r="AJ1700" s="10"/>
      <c r="AK1700" s="10"/>
      <c r="AL1700" s="10"/>
      <c r="AM1700" s="10"/>
      <c r="AN1700" s="10"/>
      <c r="AO1700" s="10"/>
      <c r="AP1700" s="10"/>
      <c r="AQ1700" s="10"/>
      <c r="AR1700" s="10"/>
      <c r="AS1700" s="10"/>
      <c r="AT1700" s="10"/>
      <c r="AU1700" s="10"/>
      <c r="AV1700" s="10"/>
      <c r="AW1700" s="10"/>
      <c r="AX1700" s="10"/>
      <c r="AY1700" s="10"/>
      <c r="AZ1700" s="10"/>
      <c r="BA1700" s="10"/>
      <c r="BB1700" s="10"/>
      <c r="BC1700" s="10"/>
      <c r="BD1700" s="10"/>
      <c r="BE1700" s="10"/>
      <c r="BF1700" s="10"/>
      <c r="BG1700" s="10"/>
      <c r="BH1700" s="10"/>
      <c r="BI1700" s="10"/>
      <c r="BJ1700" s="10"/>
      <c r="BK1700" s="10"/>
      <c r="BL1700" s="10"/>
      <c r="BM1700" s="10"/>
      <c r="BN1700" s="10"/>
      <c r="BO1700" s="10"/>
      <c r="BP1700" s="10"/>
    </row>
    <row r="1701" spans="1:68" s="14" customFormat="1" ht="9" customHeight="1" x14ac:dyDescent="0.2">
      <c r="A1701" s="261" t="s">
        <v>23</v>
      </c>
      <c r="B1701" s="264">
        <v>621</v>
      </c>
      <c r="C1701" s="243" t="s">
        <v>291</v>
      </c>
      <c r="D1701" s="249" t="s">
        <v>545</v>
      </c>
      <c r="E1701" s="336">
        <v>39052</v>
      </c>
      <c r="F1701" s="257">
        <v>8900000</v>
      </c>
      <c r="G1701" s="249">
        <v>50000</v>
      </c>
      <c r="H1701" s="242"/>
      <c r="I1701" s="251"/>
      <c r="J1701" s="242"/>
      <c r="K1701" s="226"/>
      <c r="L1701" s="10"/>
      <c r="M1701" s="10"/>
      <c r="N1701" s="10"/>
      <c r="O1701" s="10"/>
      <c r="P1701" s="10"/>
      <c r="Q1701" s="10"/>
      <c r="R1701" s="10"/>
      <c r="S1701" s="10"/>
      <c r="T1701" s="10"/>
      <c r="U1701" s="10"/>
      <c r="V1701" s="10"/>
      <c r="W1701" s="10"/>
      <c r="X1701" s="10"/>
      <c r="Y1701" s="10"/>
      <c r="Z1701" s="10"/>
      <c r="AA1701" s="10"/>
      <c r="AB1701" s="10"/>
      <c r="AC1701" s="10"/>
      <c r="AD1701" s="10"/>
      <c r="AE1701" s="10"/>
      <c r="AF1701" s="10"/>
      <c r="AG1701" s="10"/>
      <c r="AH1701" s="10"/>
      <c r="AI1701" s="10"/>
      <c r="AJ1701" s="10"/>
      <c r="AK1701" s="10"/>
      <c r="AL1701" s="10"/>
      <c r="AM1701" s="10"/>
      <c r="AN1701" s="10"/>
      <c r="AO1701" s="10"/>
      <c r="AP1701" s="10"/>
      <c r="AQ1701" s="10"/>
      <c r="AR1701" s="10"/>
      <c r="AS1701" s="10"/>
      <c r="AT1701" s="10"/>
      <c r="AU1701" s="10"/>
      <c r="AV1701" s="10"/>
      <c r="AW1701" s="10"/>
      <c r="AX1701" s="10"/>
      <c r="AY1701" s="10"/>
      <c r="AZ1701" s="10"/>
      <c r="BA1701" s="10"/>
      <c r="BB1701" s="10"/>
      <c r="BC1701" s="10"/>
      <c r="BD1701" s="10"/>
      <c r="BE1701" s="10"/>
      <c r="BF1701" s="10"/>
      <c r="BG1701" s="10"/>
      <c r="BH1701" s="10"/>
      <c r="BI1701" s="10"/>
      <c r="BJ1701" s="10"/>
      <c r="BK1701" s="10"/>
      <c r="BL1701" s="10"/>
      <c r="BM1701" s="10"/>
      <c r="BN1701" s="10"/>
      <c r="BO1701" s="10"/>
      <c r="BP1701" s="10"/>
    </row>
    <row r="1702" spans="1:68" s="14" customFormat="1" ht="9" customHeight="1" x14ac:dyDescent="0.2">
      <c r="A1702" s="249"/>
      <c r="B1702" s="249"/>
      <c r="C1702" s="284"/>
      <c r="D1702" s="244" t="s">
        <v>263</v>
      </c>
      <c r="E1702" s="281"/>
      <c r="F1702" s="257"/>
      <c r="G1702" s="249"/>
      <c r="H1702" s="242">
        <v>2657</v>
      </c>
      <c r="I1702" s="251">
        <f>H1702/$H$1707</f>
        <v>9.3355820245247884E-2</v>
      </c>
      <c r="J1702" s="252"/>
      <c r="K1702" s="226"/>
      <c r="L1702" s="10"/>
      <c r="M1702" s="10"/>
      <c r="N1702" s="10"/>
      <c r="O1702" s="10"/>
      <c r="P1702" s="10"/>
      <c r="Q1702" s="10"/>
      <c r="R1702" s="10"/>
      <c r="S1702" s="10"/>
      <c r="T1702" s="10"/>
      <c r="U1702" s="10"/>
      <c r="V1702" s="10"/>
      <c r="W1702" s="10"/>
      <c r="X1702" s="10"/>
      <c r="Y1702" s="10"/>
      <c r="Z1702" s="10"/>
      <c r="AA1702" s="10"/>
      <c r="AB1702" s="10"/>
      <c r="AC1702" s="10"/>
      <c r="AD1702" s="10"/>
      <c r="AE1702" s="10"/>
      <c r="AF1702" s="10"/>
      <c r="AG1702" s="10"/>
      <c r="AH1702" s="10"/>
      <c r="AI1702" s="10"/>
      <c r="AJ1702" s="10"/>
      <c r="AK1702" s="10"/>
      <c r="AL1702" s="10"/>
      <c r="AM1702" s="10"/>
      <c r="AN1702" s="10"/>
      <c r="AO1702" s="10"/>
      <c r="AP1702" s="10"/>
      <c r="AQ1702" s="10"/>
      <c r="AR1702" s="10"/>
      <c r="AS1702" s="10"/>
      <c r="AT1702" s="10"/>
      <c r="AU1702" s="10"/>
      <c r="AV1702" s="10"/>
      <c r="AW1702" s="10"/>
      <c r="AX1702" s="10"/>
      <c r="AY1702" s="10"/>
      <c r="AZ1702" s="10"/>
      <c r="BA1702" s="10"/>
      <c r="BB1702" s="10"/>
      <c r="BC1702" s="10"/>
      <c r="BD1702" s="10"/>
      <c r="BE1702" s="10"/>
      <c r="BF1702" s="10"/>
      <c r="BG1702" s="10"/>
      <c r="BH1702" s="10"/>
      <c r="BI1702" s="10"/>
      <c r="BJ1702" s="10"/>
      <c r="BK1702" s="10"/>
      <c r="BL1702" s="10"/>
      <c r="BM1702" s="10"/>
      <c r="BN1702" s="10"/>
      <c r="BO1702" s="10"/>
      <c r="BP1702" s="10"/>
    </row>
    <row r="1703" spans="1:68" s="14" customFormat="1" ht="9" customHeight="1" x14ac:dyDescent="0.2">
      <c r="A1703" s="249"/>
      <c r="B1703" s="249"/>
      <c r="C1703" s="284"/>
      <c r="D1703" s="244" t="s">
        <v>244</v>
      </c>
      <c r="E1703" s="281"/>
      <c r="F1703" s="257"/>
      <c r="G1703" s="249"/>
      <c r="H1703" s="242">
        <v>1673</v>
      </c>
      <c r="I1703" s="251">
        <f>H1703/$H$1707</f>
        <v>5.8782193176627667E-2</v>
      </c>
      <c r="J1703" s="252"/>
      <c r="K1703" s="226"/>
      <c r="L1703" s="10"/>
      <c r="M1703" s="10"/>
      <c r="N1703" s="10"/>
      <c r="O1703" s="10"/>
      <c r="P1703" s="10"/>
      <c r="Q1703" s="10"/>
      <c r="R1703" s="10"/>
      <c r="S1703" s="10"/>
      <c r="T1703" s="10"/>
      <c r="U1703" s="10"/>
      <c r="V1703" s="10"/>
      <c r="W1703" s="10"/>
      <c r="X1703" s="10"/>
      <c r="Y1703" s="10"/>
      <c r="Z1703" s="10"/>
      <c r="AA1703" s="10"/>
      <c r="AB1703" s="10"/>
      <c r="AC1703" s="10"/>
      <c r="AD1703" s="10"/>
      <c r="AE1703" s="10"/>
      <c r="AF1703" s="10"/>
      <c r="AG1703" s="10"/>
      <c r="AH1703" s="10"/>
      <c r="AI1703" s="10"/>
      <c r="AJ1703" s="10"/>
      <c r="AK1703" s="10"/>
      <c r="AL1703" s="10"/>
      <c r="AM1703" s="10"/>
      <c r="AN1703" s="10"/>
      <c r="AO1703" s="10"/>
      <c r="AP1703" s="10"/>
      <c r="AQ1703" s="10"/>
      <c r="AR1703" s="10"/>
      <c r="AS1703" s="10"/>
      <c r="AT1703" s="10"/>
      <c r="AU1703" s="10"/>
      <c r="AV1703" s="10"/>
      <c r="AW1703" s="10"/>
      <c r="AX1703" s="10"/>
      <c r="AY1703" s="10"/>
      <c r="AZ1703" s="10"/>
      <c r="BA1703" s="10"/>
      <c r="BB1703" s="10"/>
      <c r="BC1703" s="10"/>
      <c r="BD1703" s="10"/>
      <c r="BE1703" s="10"/>
      <c r="BF1703" s="10"/>
      <c r="BG1703" s="10"/>
      <c r="BH1703" s="10"/>
      <c r="BI1703" s="10"/>
      <c r="BJ1703" s="10"/>
      <c r="BK1703" s="10"/>
      <c r="BL1703" s="10"/>
      <c r="BM1703" s="10"/>
      <c r="BN1703" s="10"/>
      <c r="BO1703" s="10"/>
      <c r="BP1703" s="10"/>
    </row>
    <row r="1704" spans="1:68" s="14" customFormat="1" ht="9" customHeight="1" x14ac:dyDescent="0.2">
      <c r="A1704" s="249"/>
      <c r="B1704" s="249"/>
      <c r="C1704" s="284"/>
      <c r="D1704" s="244" t="s">
        <v>290</v>
      </c>
      <c r="E1704" s="281"/>
      <c r="F1704" s="257"/>
      <c r="G1704" s="249"/>
      <c r="H1704" s="242">
        <v>16498</v>
      </c>
      <c r="I1704" s="251">
        <f>H1704/$H$1707</f>
        <v>0.5796704261972524</v>
      </c>
      <c r="J1704" s="266" t="s">
        <v>290</v>
      </c>
      <c r="K1704" s="226"/>
      <c r="L1704" s="10"/>
      <c r="M1704" s="10"/>
      <c r="N1704" s="10"/>
      <c r="O1704" s="10"/>
      <c r="P1704" s="10"/>
      <c r="Q1704" s="10"/>
      <c r="R1704" s="10"/>
      <c r="S1704" s="10"/>
      <c r="T1704" s="10"/>
      <c r="U1704" s="10"/>
      <c r="V1704" s="10"/>
      <c r="W1704" s="10"/>
      <c r="X1704" s="10"/>
      <c r="Y1704" s="10"/>
      <c r="Z1704" s="10"/>
      <c r="AA1704" s="10"/>
      <c r="AB1704" s="10"/>
      <c r="AC1704" s="10"/>
      <c r="AD1704" s="10"/>
      <c r="AE1704" s="10"/>
      <c r="AF1704" s="10"/>
      <c r="AG1704" s="10"/>
      <c r="AH1704" s="10"/>
      <c r="AI1704" s="10"/>
      <c r="AJ1704" s="10"/>
      <c r="AK1704" s="10"/>
      <c r="AL1704" s="10"/>
      <c r="AM1704" s="10"/>
      <c r="AN1704" s="10"/>
      <c r="AO1704" s="10"/>
      <c r="AP1704" s="10"/>
      <c r="AQ1704" s="10"/>
      <c r="AR1704" s="10"/>
      <c r="AS1704" s="10"/>
      <c r="AT1704" s="10"/>
      <c r="AU1704" s="10"/>
      <c r="AV1704" s="10"/>
      <c r="AW1704" s="10"/>
      <c r="AX1704" s="10"/>
      <c r="AY1704" s="10"/>
      <c r="AZ1704" s="10"/>
      <c r="BA1704" s="10"/>
      <c r="BB1704" s="10"/>
      <c r="BC1704" s="10"/>
      <c r="BD1704" s="10"/>
      <c r="BE1704" s="10"/>
      <c r="BF1704" s="10"/>
      <c r="BG1704" s="10"/>
      <c r="BH1704" s="10"/>
      <c r="BI1704" s="10"/>
      <c r="BJ1704" s="10"/>
      <c r="BK1704" s="10"/>
      <c r="BL1704" s="10"/>
      <c r="BM1704" s="10"/>
      <c r="BN1704" s="10"/>
      <c r="BO1704" s="10"/>
      <c r="BP1704" s="10"/>
    </row>
    <row r="1705" spans="1:68" s="14" customFormat="1" ht="9" customHeight="1" x14ac:dyDescent="0.2">
      <c r="A1705" s="249"/>
      <c r="B1705" s="249"/>
      <c r="C1705" s="284"/>
      <c r="D1705" s="244" t="s">
        <v>294</v>
      </c>
      <c r="E1705" s="281"/>
      <c r="F1705" s="257"/>
      <c r="G1705" s="249"/>
      <c r="H1705" s="242">
        <v>6282</v>
      </c>
      <c r="I1705" s="251">
        <f>H1705/$H$1707</f>
        <v>0.22072309476125224</v>
      </c>
      <c r="J1705" s="252"/>
      <c r="K1705" s="226"/>
      <c r="L1705" s="10"/>
      <c r="M1705" s="10"/>
      <c r="N1705" s="10"/>
      <c r="O1705" s="10"/>
      <c r="P1705" s="10"/>
      <c r="Q1705" s="10"/>
      <c r="R1705" s="10"/>
      <c r="S1705" s="10"/>
      <c r="T1705" s="10"/>
      <c r="U1705" s="10"/>
      <c r="V1705" s="10"/>
      <c r="W1705" s="10"/>
      <c r="X1705" s="10"/>
      <c r="Y1705" s="10"/>
      <c r="Z1705" s="10"/>
      <c r="AA1705" s="10"/>
      <c r="AB1705" s="10"/>
      <c r="AC1705" s="10"/>
      <c r="AD1705" s="10"/>
      <c r="AE1705" s="10"/>
      <c r="AF1705" s="10"/>
      <c r="AG1705" s="10"/>
      <c r="AH1705" s="10"/>
      <c r="AI1705" s="10"/>
      <c r="AJ1705" s="10"/>
      <c r="AK1705" s="10"/>
      <c r="AL1705" s="10"/>
      <c r="AM1705" s="10"/>
      <c r="AN1705" s="10"/>
      <c r="AO1705" s="10"/>
      <c r="AP1705" s="10"/>
      <c r="AQ1705" s="10"/>
      <c r="AR1705" s="10"/>
      <c r="AS1705" s="10"/>
      <c r="AT1705" s="10"/>
      <c r="AU1705" s="10"/>
      <c r="AV1705" s="10"/>
      <c r="AW1705" s="10"/>
      <c r="AX1705" s="10"/>
      <c r="AY1705" s="10"/>
      <c r="AZ1705" s="10"/>
      <c r="BA1705" s="10"/>
      <c r="BB1705" s="10"/>
      <c r="BC1705" s="10"/>
      <c r="BD1705" s="10"/>
      <c r="BE1705" s="10"/>
      <c r="BF1705" s="10"/>
      <c r="BG1705" s="10"/>
      <c r="BH1705" s="10"/>
      <c r="BI1705" s="10"/>
      <c r="BJ1705" s="10"/>
      <c r="BK1705" s="10"/>
      <c r="BL1705" s="10"/>
      <c r="BM1705" s="10"/>
      <c r="BN1705" s="10"/>
      <c r="BO1705" s="10"/>
      <c r="BP1705" s="10"/>
    </row>
    <row r="1706" spans="1:68" s="14" customFormat="1" ht="9" customHeight="1" x14ac:dyDescent="0.2">
      <c r="A1706" s="249"/>
      <c r="B1706" s="249"/>
      <c r="C1706" s="284"/>
      <c r="D1706" s="244" t="s">
        <v>287</v>
      </c>
      <c r="E1706" s="281"/>
      <c r="F1706" s="257"/>
      <c r="G1706" s="249"/>
      <c r="H1706" s="242">
        <v>1351</v>
      </c>
      <c r="I1706" s="251">
        <f>H1706/$H$1707</f>
        <v>4.7468465619619829E-2</v>
      </c>
      <c r="J1706" s="252"/>
      <c r="K1706" s="226"/>
      <c r="L1706" s="10"/>
      <c r="M1706" s="10"/>
      <c r="N1706" s="10"/>
      <c r="O1706" s="10"/>
      <c r="P1706" s="10"/>
      <c r="Q1706" s="10"/>
      <c r="R1706" s="10"/>
      <c r="S1706" s="10"/>
      <c r="T1706" s="10"/>
      <c r="U1706" s="10"/>
      <c r="V1706" s="10"/>
      <c r="W1706" s="10"/>
      <c r="X1706" s="10"/>
      <c r="Y1706" s="10"/>
      <c r="Z1706" s="10"/>
      <c r="AA1706" s="10"/>
      <c r="AB1706" s="10"/>
      <c r="AC1706" s="10"/>
      <c r="AD1706" s="10"/>
      <c r="AE1706" s="10"/>
      <c r="AF1706" s="10"/>
      <c r="AG1706" s="10"/>
      <c r="AH1706" s="10"/>
      <c r="AI1706" s="10"/>
      <c r="AJ1706" s="10"/>
      <c r="AK1706" s="10"/>
      <c r="AL1706" s="10"/>
      <c r="AM1706" s="10"/>
      <c r="AN1706" s="10"/>
      <c r="AO1706" s="10"/>
      <c r="AP1706" s="10"/>
      <c r="AQ1706" s="10"/>
      <c r="AR1706" s="10"/>
      <c r="AS1706" s="10"/>
      <c r="AT1706" s="10"/>
      <c r="AU1706" s="10"/>
      <c r="AV1706" s="10"/>
      <c r="AW1706" s="10"/>
      <c r="AX1706" s="10"/>
      <c r="AY1706" s="10"/>
      <c r="AZ1706" s="10"/>
      <c r="BA1706" s="10"/>
      <c r="BB1706" s="10"/>
      <c r="BC1706" s="10"/>
      <c r="BD1706" s="10"/>
      <c r="BE1706" s="10"/>
      <c r="BF1706" s="10"/>
      <c r="BG1706" s="10"/>
      <c r="BH1706" s="10"/>
      <c r="BI1706" s="10"/>
      <c r="BJ1706" s="10"/>
      <c r="BK1706" s="10"/>
      <c r="BL1706" s="10"/>
      <c r="BM1706" s="10"/>
      <c r="BN1706" s="10"/>
      <c r="BO1706" s="10"/>
      <c r="BP1706" s="10"/>
    </row>
    <row r="1707" spans="1:68" s="14" customFormat="1" ht="9" customHeight="1" x14ac:dyDescent="0.2">
      <c r="A1707" s="249"/>
      <c r="B1707" s="249"/>
      <c r="C1707" s="284"/>
      <c r="D1707" s="243" t="s">
        <v>33</v>
      </c>
      <c r="E1707" s="281"/>
      <c r="F1707" s="257"/>
      <c r="G1707" s="249"/>
      <c r="H1707" s="265">
        <f>SUM(H1702:H1706)</f>
        <v>28461</v>
      </c>
      <c r="I1707" s="256">
        <f>SUM(I1702:I1706)</f>
        <v>1</v>
      </c>
      <c r="J1707" s="249"/>
      <c r="K1707" s="226"/>
      <c r="L1707" s="10"/>
      <c r="M1707" s="10"/>
      <c r="N1707" s="10"/>
      <c r="O1707" s="10"/>
      <c r="P1707" s="10"/>
      <c r="Q1707" s="10"/>
      <c r="R1707" s="10"/>
      <c r="S1707" s="10"/>
      <c r="T1707" s="10"/>
      <c r="U1707" s="10"/>
      <c r="V1707" s="10"/>
      <c r="W1707" s="10"/>
      <c r="X1707" s="10"/>
      <c r="Y1707" s="10"/>
      <c r="Z1707" s="10"/>
      <c r="AA1707" s="10"/>
      <c r="AB1707" s="10"/>
      <c r="AC1707" s="10"/>
      <c r="AD1707" s="10"/>
      <c r="AE1707" s="10"/>
      <c r="AF1707" s="10"/>
      <c r="AG1707" s="10"/>
      <c r="AH1707" s="10"/>
      <c r="AI1707" s="10"/>
      <c r="AJ1707" s="10"/>
      <c r="AK1707" s="10"/>
      <c r="AL1707" s="10"/>
      <c r="AM1707" s="10"/>
      <c r="AN1707" s="10"/>
      <c r="AO1707" s="10"/>
      <c r="AP1707" s="10"/>
      <c r="AQ1707" s="10"/>
      <c r="AR1707" s="10"/>
      <c r="AS1707" s="10"/>
      <c r="AT1707" s="10"/>
      <c r="AU1707" s="10"/>
      <c r="AV1707" s="10"/>
      <c r="AW1707" s="10"/>
      <c r="AX1707" s="10"/>
      <c r="AY1707" s="10"/>
      <c r="AZ1707" s="10"/>
      <c r="BA1707" s="10"/>
      <c r="BB1707" s="10"/>
      <c r="BC1707" s="10"/>
      <c r="BD1707" s="10"/>
      <c r="BE1707" s="10"/>
      <c r="BF1707" s="10"/>
      <c r="BG1707" s="10"/>
      <c r="BH1707" s="10"/>
      <c r="BI1707" s="10"/>
      <c r="BJ1707" s="10"/>
      <c r="BK1707" s="10"/>
      <c r="BL1707" s="10"/>
      <c r="BM1707" s="10"/>
      <c r="BN1707" s="10"/>
      <c r="BO1707" s="10"/>
      <c r="BP1707" s="10"/>
    </row>
    <row r="1708" spans="1:68" s="10" customFormat="1" ht="9" customHeight="1" x14ac:dyDescent="0.2">
      <c r="A1708" s="249"/>
      <c r="B1708" s="249"/>
      <c r="C1708" s="284"/>
      <c r="D1708" s="243"/>
      <c r="E1708" s="281"/>
      <c r="F1708" s="257"/>
      <c r="G1708" s="249"/>
      <c r="H1708" s="249"/>
      <c r="I1708" s="262"/>
      <c r="J1708" s="249"/>
      <c r="K1708" s="226"/>
    </row>
    <row r="1709" spans="1:68" s="10" customFormat="1" ht="9" customHeight="1" x14ac:dyDescent="0.2">
      <c r="A1709" s="261" t="s">
        <v>23</v>
      </c>
      <c r="B1709" s="264">
        <v>623</v>
      </c>
      <c r="C1709" s="243" t="s">
        <v>291</v>
      </c>
      <c r="D1709" s="249" t="s">
        <v>550</v>
      </c>
      <c r="E1709" s="336">
        <v>39391</v>
      </c>
      <c r="F1709" s="257">
        <v>7776600</v>
      </c>
      <c r="G1709" s="249">
        <v>31077</v>
      </c>
      <c r="H1709" s="242"/>
      <c r="I1709" s="251"/>
      <c r="J1709" s="242"/>
      <c r="K1709" s="226"/>
    </row>
    <row r="1710" spans="1:68" s="10" customFormat="1" ht="9" customHeight="1" x14ac:dyDescent="0.2">
      <c r="A1710" s="249"/>
      <c r="B1710" s="249"/>
      <c r="C1710" s="284"/>
      <c r="D1710" s="244" t="s">
        <v>263</v>
      </c>
      <c r="E1710" s="281"/>
      <c r="F1710" s="257"/>
      <c r="G1710" s="249"/>
      <c r="H1710" s="242">
        <v>10382</v>
      </c>
      <c r="I1710" s="251">
        <f>H1710/$H$1714</f>
        <v>0.49978337264718625</v>
      </c>
      <c r="J1710" s="266" t="s">
        <v>263</v>
      </c>
      <c r="K1710" s="226"/>
    </row>
    <row r="1711" spans="1:68" s="10" customFormat="1" ht="9" customHeight="1" x14ac:dyDescent="0.2">
      <c r="A1711" s="249"/>
      <c r="B1711" s="249"/>
      <c r="C1711" s="284"/>
      <c r="D1711" s="244" t="s">
        <v>295</v>
      </c>
      <c r="E1711" s="281"/>
      <c r="F1711" s="257"/>
      <c r="G1711" s="249"/>
      <c r="H1711" s="242">
        <v>1739</v>
      </c>
      <c r="I1711" s="251">
        <f>H1711/$H$1714</f>
        <v>8.3714437009579742E-2</v>
      </c>
      <c r="J1711" s="252"/>
      <c r="K1711" s="226"/>
    </row>
    <row r="1712" spans="1:68" s="10" customFormat="1" ht="9" customHeight="1" x14ac:dyDescent="0.2">
      <c r="A1712" s="249"/>
      <c r="B1712" s="249"/>
      <c r="C1712" s="284"/>
      <c r="D1712" s="244" t="s">
        <v>290</v>
      </c>
      <c r="E1712" s="281"/>
      <c r="F1712" s="257"/>
      <c r="G1712" s="249"/>
      <c r="H1712" s="242">
        <v>7823</v>
      </c>
      <c r="I1712" s="251">
        <f>H1712/$H$1714</f>
        <v>0.37659461801376787</v>
      </c>
      <c r="J1712" s="252"/>
      <c r="K1712" s="226"/>
    </row>
    <row r="1713" spans="1:68" s="10" customFormat="1" ht="9" customHeight="1" x14ac:dyDescent="0.2">
      <c r="A1713" s="249"/>
      <c r="B1713" s="249"/>
      <c r="C1713" s="284"/>
      <c r="D1713" s="244" t="s">
        <v>294</v>
      </c>
      <c r="E1713" s="281"/>
      <c r="F1713" s="257"/>
      <c r="G1713" s="249"/>
      <c r="H1713" s="242">
        <v>829</v>
      </c>
      <c r="I1713" s="251">
        <f>H1713/$H$1714</f>
        <v>3.9907572329466137E-2</v>
      </c>
      <c r="J1713" s="252"/>
      <c r="K1713" s="226"/>
    </row>
    <row r="1714" spans="1:68" s="10" customFormat="1" ht="9" customHeight="1" x14ac:dyDescent="0.2">
      <c r="A1714" s="249"/>
      <c r="B1714" s="249"/>
      <c r="C1714" s="284"/>
      <c r="D1714" s="243" t="s">
        <v>33</v>
      </c>
      <c r="E1714" s="281"/>
      <c r="F1714" s="257"/>
      <c r="G1714" s="249"/>
      <c r="H1714" s="265">
        <f>SUM(H1710:H1713)</f>
        <v>20773</v>
      </c>
      <c r="I1714" s="256">
        <f>SUM(I1710:I1713)</f>
        <v>1</v>
      </c>
      <c r="J1714" s="249"/>
      <c r="K1714" s="226"/>
    </row>
    <row r="1715" spans="1:68" s="10" customFormat="1" ht="9" customHeight="1" x14ac:dyDescent="0.2">
      <c r="A1715" s="249"/>
      <c r="B1715" s="249"/>
      <c r="C1715" s="284"/>
      <c r="D1715" s="243"/>
      <c r="E1715" s="281"/>
      <c r="F1715" s="257"/>
      <c r="G1715" s="249"/>
      <c r="H1715" s="249"/>
      <c r="I1715" s="262"/>
      <c r="J1715" s="249"/>
      <c r="K1715" s="226"/>
    </row>
    <row r="1716" spans="1:68" s="10" customFormat="1" ht="9" customHeight="1" x14ac:dyDescent="0.2">
      <c r="A1716" s="261" t="s">
        <v>23</v>
      </c>
      <c r="B1716" s="264">
        <v>672</v>
      </c>
      <c r="C1716" s="243" t="s">
        <v>291</v>
      </c>
      <c r="D1716" s="249" t="s">
        <v>551</v>
      </c>
      <c r="E1716" s="336">
        <v>39234</v>
      </c>
      <c r="F1716" s="257">
        <v>4146322</v>
      </c>
      <c r="G1716" s="249">
        <v>15282</v>
      </c>
      <c r="H1716" s="249"/>
      <c r="I1716" s="262"/>
      <c r="J1716" s="249"/>
      <c r="K1716" s="226"/>
    </row>
    <row r="1717" spans="1:68" s="14" customFormat="1" ht="9" customHeight="1" x14ac:dyDescent="0.2">
      <c r="A1717" s="249"/>
      <c r="B1717" s="249"/>
      <c r="C1717" s="284"/>
      <c r="D1717" s="244" t="s">
        <v>263</v>
      </c>
      <c r="E1717" s="281"/>
      <c r="F1717" s="257"/>
      <c r="G1717" s="249"/>
      <c r="H1717" s="249">
        <v>3196</v>
      </c>
      <c r="I1717" s="262">
        <f>H1717/$H$1722</f>
        <v>0.35237045203969131</v>
      </c>
      <c r="J1717" s="266" t="s">
        <v>263</v>
      </c>
      <c r="K1717" s="226"/>
      <c r="L1717" s="10"/>
      <c r="M1717" s="10"/>
      <c r="N1717" s="10"/>
      <c r="O1717" s="10"/>
      <c r="P1717" s="10"/>
      <c r="Q1717" s="10"/>
      <c r="R1717" s="10"/>
      <c r="S1717" s="10"/>
      <c r="T1717" s="10"/>
      <c r="U1717" s="10"/>
      <c r="V1717" s="10"/>
      <c r="W1717" s="10"/>
      <c r="X1717" s="10"/>
      <c r="Y1717" s="10"/>
      <c r="Z1717" s="10"/>
      <c r="AA1717" s="10"/>
      <c r="AB1717" s="10"/>
      <c r="AC1717" s="10"/>
      <c r="AD1717" s="10"/>
      <c r="AE1717" s="10"/>
      <c r="AF1717" s="10"/>
      <c r="AG1717" s="10"/>
      <c r="AH1717" s="10"/>
      <c r="AI1717" s="10"/>
      <c r="AJ1717" s="10"/>
      <c r="AK1717" s="10"/>
      <c r="AL1717" s="10"/>
      <c r="AM1717" s="10"/>
      <c r="AN1717" s="10"/>
      <c r="AO1717" s="10"/>
      <c r="AP1717" s="10"/>
      <c r="AQ1717" s="10"/>
      <c r="AR1717" s="10"/>
      <c r="AS1717" s="10"/>
      <c r="AT1717" s="10"/>
      <c r="AU1717" s="10"/>
      <c r="AV1717" s="10"/>
      <c r="AW1717" s="10"/>
      <c r="AX1717" s="10"/>
      <c r="AY1717" s="10"/>
      <c r="AZ1717" s="10"/>
      <c r="BA1717" s="10"/>
      <c r="BB1717" s="10"/>
      <c r="BC1717" s="10"/>
      <c r="BD1717" s="10"/>
      <c r="BE1717" s="10"/>
      <c r="BF1717" s="10"/>
      <c r="BG1717" s="10"/>
      <c r="BH1717" s="10"/>
      <c r="BI1717" s="10"/>
      <c r="BJ1717" s="10"/>
      <c r="BK1717" s="10"/>
      <c r="BL1717" s="10"/>
      <c r="BM1717" s="10"/>
      <c r="BN1717" s="10"/>
      <c r="BO1717" s="10"/>
      <c r="BP1717" s="10"/>
    </row>
    <row r="1718" spans="1:68" s="14" customFormat="1" ht="9" customHeight="1" x14ac:dyDescent="0.2">
      <c r="A1718" s="249"/>
      <c r="B1718" s="249"/>
      <c r="C1718" s="284"/>
      <c r="D1718" s="244" t="s">
        <v>286</v>
      </c>
      <c r="E1718" s="281"/>
      <c r="F1718" s="257"/>
      <c r="G1718" s="249"/>
      <c r="H1718" s="249">
        <v>1753</v>
      </c>
      <c r="I1718" s="262">
        <f>H1718/$H$1722</f>
        <v>0.19327453142227122</v>
      </c>
      <c r="J1718" s="266"/>
      <c r="K1718" s="226"/>
      <c r="L1718" s="10"/>
      <c r="M1718" s="10"/>
      <c r="N1718" s="10"/>
      <c r="O1718" s="10"/>
      <c r="P1718" s="10"/>
      <c r="Q1718" s="10"/>
      <c r="R1718" s="10"/>
      <c r="S1718" s="10"/>
      <c r="T1718" s="10"/>
      <c r="U1718" s="10"/>
      <c r="V1718" s="10"/>
      <c r="W1718" s="10"/>
      <c r="X1718" s="10"/>
      <c r="Y1718" s="10"/>
      <c r="Z1718" s="10"/>
      <c r="AA1718" s="10"/>
      <c r="AB1718" s="10"/>
      <c r="AC1718" s="10"/>
      <c r="AD1718" s="10"/>
      <c r="AE1718" s="10"/>
      <c r="AF1718" s="10"/>
      <c r="AG1718" s="10"/>
      <c r="AH1718" s="10"/>
      <c r="AI1718" s="10"/>
      <c r="AJ1718" s="10"/>
      <c r="AK1718" s="10"/>
      <c r="AL1718" s="10"/>
      <c r="AM1718" s="10"/>
      <c r="AN1718" s="10"/>
      <c r="AO1718" s="10"/>
      <c r="AP1718" s="10"/>
      <c r="AQ1718" s="10"/>
      <c r="AR1718" s="10"/>
      <c r="AS1718" s="10"/>
      <c r="AT1718" s="10"/>
      <c r="AU1718" s="10"/>
      <c r="AV1718" s="10"/>
      <c r="AW1718" s="10"/>
      <c r="AX1718" s="10"/>
      <c r="AY1718" s="10"/>
      <c r="AZ1718" s="10"/>
      <c r="BA1718" s="10"/>
      <c r="BB1718" s="10"/>
      <c r="BC1718" s="10"/>
      <c r="BD1718" s="10"/>
      <c r="BE1718" s="10"/>
      <c r="BF1718" s="10"/>
      <c r="BG1718" s="10"/>
      <c r="BH1718" s="10"/>
      <c r="BI1718" s="10"/>
      <c r="BJ1718" s="10"/>
      <c r="BK1718" s="10"/>
      <c r="BL1718" s="10"/>
      <c r="BM1718" s="10"/>
      <c r="BN1718" s="10"/>
      <c r="BO1718" s="10"/>
      <c r="BP1718" s="10"/>
    </row>
    <row r="1719" spans="1:68" s="14" customFormat="1" ht="9" customHeight="1" x14ac:dyDescent="0.2">
      <c r="A1719" s="249"/>
      <c r="B1719" s="249"/>
      <c r="C1719" s="284"/>
      <c r="D1719" s="244" t="s">
        <v>264</v>
      </c>
      <c r="E1719" s="281"/>
      <c r="F1719" s="257"/>
      <c r="G1719" s="249"/>
      <c r="H1719" s="249">
        <v>1719</v>
      </c>
      <c r="I1719" s="262">
        <f>H1719/$H$1722</f>
        <v>0.18952590959206175</v>
      </c>
      <c r="J1719" s="266"/>
      <c r="K1719" s="226"/>
      <c r="L1719" s="10"/>
      <c r="M1719" s="10"/>
      <c r="N1719" s="10"/>
      <c r="O1719" s="10"/>
      <c r="P1719" s="10"/>
      <c r="Q1719" s="10"/>
      <c r="R1719" s="10"/>
      <c r="S1719" s="10"/>
      <c r="T1719" s="10"/>
      <c r="U1719" s="10"/>
      <c r="V1719" s="10"/>
      <c r="W1719" s="10"/>
      <c r="X1719" s="10"/>
      <c r="Y1719" s="10"/>
      <c r="Z1719" s="10"/>
      <c r="AA1719" s="10"/>
      <c r="AB1719" s="10"/>
      <c r="AC1719" s="10"/>
      <c r="AD1719" s="10"/>
      <c r="AE1719" s="10"/>
      <c r="AF1719" s="10"/>
      <c r="AG1719" s="10"/>
      <c r="AH1719" s="10"/>
      <c r="AI1719" s="10"/>
      <c r="AJ1719" s="10"/>
      <c r="AK1719" s="10"/>
      <c r="AL1719" s="10"/>
      <c r="AM1719" s="10"/>
      <c r="AN1719" s="10"/>
      <c r="AO1719" s="10"/>
      <c r="AP1719" s="10"/>
      <c r="AQ1719" s="10"/>
      <c r="AR1719" s="10"/>
      <c r="AS1719" s="10"/>
      <c r="AT1719" s="10"/>
      <c r="AU1719" s="10"/>
      <c r="AV1719" s="10"/>
      <c r="AW1719" s="10"/>
      <c r="AX1719" s="10"/>
      <c r="AY1719" s="10"/>
      <c r="AZ1719" s="10"/>
      <c r="BA1719" s="10"/>
      <c r="BB1719" s="10"/>
      <c r="BC1719" s="10"/>
      <c r="BD1719" s="10"/>
      <c r="BE1719" s="10"/>
      <c r="BF1719" s="10"/>
      <c r="BG1719" s="10"/>
      <c r="BH1719" s="10"/>
      <c r="BI1719" s="10"/>
      <c r="BJ1719" s="10"/>
      <c r="BK1719" s="10"/>
      <c r="BL1719" s="10"/>
      <c r="BM1719" s="10"/>
      <c r="BN1719" s="10"/>
      <c r="BO1719" s="10"/>
      <c r="BP1719" s="10"/>
    </row>
    <row r="1720" spans="1:68" s="14" customFormat="1" ht="9" customHeight="1" x14ac:dyDescent="0.2">
      <c r="A1720" s="249"/>
      <c r="B1720" s="249"/>
      <c r="C1720" s="284"/>
      <c r="D1720" s="244" t="s">
        <v>245</v>
      </c>
      <c r="E1720" s="281"/>
      <c r="F1720" s="257"/>
      <c r="G1720" s="249"/>
      <c r="H1720" s="249">
        <v>853</v>
      </c>
      <c r="I1720" s="262">
        <f>H1720/$H$1722</f>
        <v>9.4046306504961416E-2</v>
      </c>
      <c r="J1720" s="266"/>
      <c r="K1720" s="226"/>
      <c r="L1720" s="10"/>
      <c r="M1720" s="10"/>
      <c r="N1720" s="10"/>
      <c r="O1720" s="10"/>
      <c r="P1720" s="10"/>
      <c r="Q1720" s="10"/>
      <c r="R1720" s="10"/>
      <c r="S1720" s="10"/>
      <c r="T1720" s="10"/>
      <c r="U1720" s="10"/>
      <c r="V1720" s="10"/>
      <c r="W1720" s="10"/>
      <c r="X1720" s="10"/>
      <c r="Y1720" s="10"/>
      <c r="Z1720" s="10"/>
      <c r="AA1720" s="10"/>
      <c r="AB1720" s="10"/>
      <c r="AC1720" s="10"/>
      <c r="AD1720" s="10"/>
      <c r="AE1720" s="10"/>
      <c r="AF1720" s="10"/>
      <c r="AG1720" s="10"/>
      <c r="AH1720" s="10"/>
      <c r="AI1720" s="10"/>
      <c r="AJ1720" s="10"/>
      <c r="AK1720" s="10"/>
      <c r="AL1720" s="10"/>
      <c r="AM1720" s="10"/>
      <c r="AN1720" s="10"/>
      <c r="AO1720" s="10"/>
      <c r="AP1720" s="10"/>
      <c r="AQ1720" s="10"/>
      <c r="AR1720" s="10"/>
      <c r="AS1720" s="10"/>
      <c r="AT1720" s="10"/>
      <c r="AU1720" s="10"/>
      <c r="AV1720" s="10"/>
      <c r="AW1720" s="10"/>
      <c r="AX1720" s="10"/>
      <c r="AY1720" s="10"/>
      <c r="AZ1720" s="10"/>
      <c r="BA1720" s="10"/>
      <c r="BB1720" s="10"/>
      <c r="BC1720" s="10"/>
      <c r="BD1720" s="10"/>
      <c r="BE1720" s="10"/>
      <c r="BF1720" s="10"/>
      <c r="BG1720" s="10"/>
      <c r="BH1720" s="10"/>
      <c r="BI1720" s="10"/>
      <c r="BJ1720" s="10"/>
      <c r="BK1720" s="10"/>
      <c r="BL1720" s="10"/>
      <c r="BM1720" s="10"/>
      <c r="BN1720" s="10"/>
      <c r="BO1720" s="10"/>
      <c r="BP1720" s="10"/>
    </row>
    <row r="1721" spans="1:68" s="14" customFormat="1" ht="9" customHeight="1" x14ac:dyDescent="0.2">
      <c r="A1721" s="249"/>
      <c r="B1721" s="249"/>
      <c r="C1721" s="284"/>
      <c r="D1721" s="244" t="s">
        <v>290</v>
      </c>
      <c r="E1721" s="281"/>
      <c r="F1721" s="257"/>
      <c r="G1721" s="249"/>
      <c r="H1721" s="249">
        <v>1549</v>
      </c>
      <c r="I1721" s="262">
        <f>H1721/$H$1722</f>
        <v>0.17078280044101432</v>
      </c>
      <c r="J1721" s="266"/>
      <c r="K1721" s="226"/>
      <c r="L1721" s="10"/>
      <c r="M1721" s="10"/>
      <c r="N1721" s="10"/>
      <c r="O1721" s="10"/>
      <c r="P1721" s="10"/>
      <c r="Q1721" s="10"/>
      <c r="R1721" s="10"/>
      <c r="S1721" s="10"/>
      <c r="T1721" s="10"/>
      <c r="U1721" s="10"/>
      <c r="V1721" s="10"/>
      <c r="W1721" s="10"/>
      <c r="X1721" s="10"/>
      <c r="Y1721" s="10"/>
      <c r="Z1721" s="10"/>
      <c r="AA1721" s="10"/>
      <c r="AB1721" s="10"/>
      <c r="AC1721" s="10"/>
      <c r="AD1721" s="10"/>
      <c r="AE1721" s="10"/>
      <c r="AF1721" s="10"/>
      <c r="AG1721" s="10"/>
      <c r="AH1721" s="10"/>
      <c r="AI1721" s="10"/>
      <c r="AJ1721" s="10"/>
      <c r="AK1721" s="10"/>
      <c r="AL1721" s="10"/>
      <c r="AM1721" s="10"/>
      <c r="AN1721" s="10"/>
      <c r="AO1721" s="10"/>
      <c r="AP1721" s="10"/>
      <c r="AQ1721" s="10"/>
      <c r="AR1721" s="10"/>
      <c r="AS1721" s="10"/>
      <c r="AT1721" s="10"/>
      <c r="AU1721" s="10"/>
      <c r="AV1721" s="10"/>
      <c r="AW1721" s="10"/>
      <c r="AX1721" s="10"/>
      <c r="AY1721" s="10"/>
      <c r="AZ1721" s="10"/>
      <c r="BA1721" s="10"/>
      <c r="BB1721" s="10"/>
      <c r="BC1721" s="10"/>
      <c r="BD1721" s="10"/>
      <c r="BE1721" s="10"/>
      <c r="BF1721" s="10"/>
      <c r="BG1721" s="10"/>
      <c r="BH1721" s="10"/>
      <c r="BI1721" s="10"/>
      <c r="BJ1721" s="10"/>
      <c r="BK1721" s="10"/>
      <c r="BL1721" s="10"/>
      <c r="BM1721" s="10"/>
      <c r="BN1721" s="10"/>
      <c r="BO1721" s="10"/>
      <c r="BP1721" s="10"/>
    </row>
    <row r="1722" spans="1:68" s="14" customFormat="1" ht="9" customHeight="1" x14ac:dyDescent="0.2">
      <c r="A1722" s="249"/>
      <c r="B1722" s="249"/>
      <c r="C1722" s="284"/>
      <c r="D1722" s="243" t="s">
        <v>33</v>
      </c>
      <c r="E1722" s="281"/>
      <c r="F1722" s="257"/>
      <c r="G1722" s="249"/>
      <c r="H1722" s="265">
        <f>SUM(H1717:H1721)</f>
        <v>9070</v>
      </c>
      <c r="I1722" s="256">
        <f>SUM(I1717:I1721)</f>
        <v>1</v>
      </c>
      <c r="J1722" s="249"/>
      <c r="K1722" s="226"/>
      <c r="L1722" s="10"/>
      <c r="M1722" s="10"/>
      <c r="N1722" s="10"/>
      <c r="O1722" s="10"/>
      <c r="P1722" s="10"/>
      <c r="Q1722" s="10"/>
      <c r="R1722" s="10"/>
      <c r="S1722" s="10"/>
      <c r="T1722" s="10"/>
      <c r="U1722" s="10"/>
      <c r="V1722" s="10"/>
      <c r="W1722" s="10"/>
      <c r="X1722" s="10"/>
      <c r="Y1722" s="10"/>
      <c r="Z1722" s="10"/>
      <c r="AA1722" s="10"/>
      <c r="AB1722" s="10"/>
      <c r="AC1722" s="10"/>
      <c r="AD1722" s="10"/>
      <c r="AE1722" s="10"/>
      <c r="AF1722" s="10"/>
      <c r="AG1722" s="10"/>
      <c r="AH1722" s="10"/>
      <c r="AI1722" s="10"/>
      <c r="AJ1722" s="10"/>
      <c r="AK1722" s="10"/>
      <c r="AL1722" s="10"/>
      <c r="AM1722" s="10"/>
      <c r="AN1722" s="10"/>
      <c r="AO1722" s="10"/>
      <c r="AP1722" s="10"/>
      <c r="AQ1722" s="10"/>
      <c r="AR1722" s="10"/>
      <c r="AS1722" s="10"/>
      <c r="AT1722" s="10"/>
      <c r="AU1722" s="10"/>
      <c r="AV1722" s="10"/>
      <c r="AW1722" s="10"/>
      <c r="AX1722" s="10"/>
      <c r="AY1722" s="10"/>
      <c r="AZ1722" s="10"/>
      <c r="BA1722" s="10"/>
      <c r="BB1722" s="10"/>
      <c r="BC1722" s="10"/>
      <c r="BD1722" s="10"/>
      <c r="BE1722" s="10"/>
      <c r="BF1722" s="10"/>
      <c r="BG1722" s="10"/>
      <c r="BH1722" s="10"/>
      <c r="BI1722" s="10"/>
      <c r="BJ1722" s="10"/>
      <c r="BK1722" s="10"/>
      <c r="BL1722" s="10"/>
      <c r="BM1722" s="10"/>
      <c r="BN1722" s="10"/>
      <c r="BO1722" s="10"/>
      <c r="BP1722" s="10"/>
    </row>
    <row r="1723" spans="1:68" s="14" customFormat="1" ht="9" customHeight="1" x14ac:dyDescent="0.2">
      <c r="A1723" s="249"/>
      <c r="B1723" s="249"/>
      <c r="C1723" s="284"/>
      <c r="D1723" s="243"/>
      <c r="E1723" s="281"/>
      <c r="F1723" s="257"/>
      <c r="G1723" s="249"/>
      <c r="H1723" s="249"/>
      <c r="I1723" s="262"/>
      <c r="J1723" s="249"/>
      <c r="K1723" s="226"/>
      <c r="L1723" s="10"/>
      <c r="M1723" s="10"/>
      <c r="N1723" s="10"/>
      <c r="O1723" s="10"/>
      <c r="P1723" s="10"/>
      <c r="Q1723" s="10"/>
      <c r="R1723" s="10"/>
      <c r="S1723" s="10"/>
      <c r="T1723" s="10"/>
      <c r="U1723" s="10"/>
      <c r="V1723" s="10"/>
      <c r="W1723" s="10"/>
      <c r="X1723" s="10"/>
      <c r="Y1723" s="10"/>
      <c r="Z1723" s="10"/>
      <c r="AA1723" s="10"/>
      <c r="AB1723" s="10"/>
      <c r="AC1723" s="10"/>
      <c r="AD1723" s="10"/>
      <c r="AE1723" s="10"/>
      <c r="AF1723" s="10"/>
      <c r="AG1723" s="10"/>
      <c r="AH1723" s="10"/>
      <c r="AI1723" s="10"/>
      <c r="AJ1723" s="10"/>
      <c r="AK1723" s="10"/>
      <c r="AL1723" s="10"/>
      <c r="AM1723" s="10"/>
      <c r="AN1723" s="10"/>
      <c r="AO1723" s="10"/>
      <c r="AP1723" s="10"/>
      <c r="AQ1723" s="10"/>
      <c r="AR1723" s="10"/>
      <c r="AS1723" s="10"/>
      <c r="AT1723" s="10"/>
      <c r="AU1723" s="10"/>
      <c r="AV1723" s="10"/>
      <c r="AW1723" s="10"/>
      <c r="AX1723" s="10"/>
      <c r="AY1723" s="10"/>
      <c r="AZ1723" s="10"/>
      <c r="BA1723" s="10"/>
      <c r="BB1723" s="10"/>
      <c r="BC1723" s="10"/>
      <c r="BD1723" s="10"/>
      <c r="BE1723" s="10"/>
      <c r="BF1723" s="10"/>
      <c r="BG1723" s="10"/>
      <c r="BH1723" s="10"/>
      <c r="BI1723" s="10"/>
      <c r="BJ1723" s="10"/>
      <c r="BK1723" s="10"/>
      <c r="BL1723" s="10"/>
      <c r="BM1723" s="10"/>
      <c r="BN1723" s="10"/>
      <c r="BO1723" s="10"/>
      <c r="BP1723" s="10"/>
    </row>
    <row r="1724" spans="1:68" s="10" customFormat="1" ht="9" customHeight="1" x14ac:dyDescent="0.2">
      <c r="A1724" s="261" t="s">
        <v>23</v>
      </c>
      <c r="B1724" s="264">
        <v>679</v>
      </c>
      <c r="C1724" s="243" t="s">
        <v>291</v>
      </c>
      <c r="D1724" s="249" t="s">
        <v>552</v>
      </c>
      <c r="E1724" s="336">
        <v>39387</v>
      </c>
      <c r="F1724" s="257">
        <v>3578737</v>
      </c>
      <c r="G1724" s="249">
        <v>13161</v>
      </c>
      <c r="H1724" s="242"/>
      <c r="I1724" s="251"/>
      <c r="J1724" s="242"/>
      <c r="K1724" s="226"/>
    </row>
    <row r="1725" spans="1:68" s="10" customFormat="1" ht="9" customHeight="1" x14ac:dyDescent="0.2">
      <c r="A1725" s="249"/>
      <c r="B1725" s="249"/>
      <c r="C1725" s="284"/>
      <c r="D1725" s="244" t="s">
        <v>263</v>
      </c>
      <c r="E1725" s="281"/>
      <c r="F1725" s="257"/>
      <c r="G1725" s="249"/>
      <c r="H1725" s="242">
        <v>2240</v>
      </c>
      <c r="I1725" s="251">
        <f>H1725/$H$1730</f>
        <v>0.26211092908963257</v>
      </c>
      <c r="J1725" s="266"/>
      <c r="K1725" s="226"/>
    </row>
    <row r="1726" spans="1:68" ht="9" customHeight="1" x14ac:dyDescent="0.2">
      <c r="A1726" s="249"/>
      <c r="B1726" s="249"/>
      <c r="C1726" s="284"/>
      <c r="D1726" s="244" t="s">
        <v>286</v>
      </c>
      <c r="E1726" s="281"/>
      <c r="F1726" s="257"/>
      <c r="G1726" s="249"/>
      <c r="H1726" s="242">
        <v>414</v>
      </c>
      <c r="I1726" s="251">
        <f>H1726/$H$1730</f>
        <v>4.8443716358530307E-2</v>
      </c>
      <c r="J1726" s="252"/>
      <c r="K1726" s="226"/>
    </row>
    <row r="1727" spans="1:68" ht="9" customHeight="1" x14ac:dyDescent="0.2">
      <c r="A1727" s="249"/>
      <c r="B1727" s="249"/>
      <c r="C1727" s="284"/>
      <c r="D1727" s="244" t="s">
        <v>264</v>
      </c>
      <c r="E1727" s="281"/>
      <c r="F1727" s="257"/>
      <c r="G1727" s="249"/>
      <c r="H1727" s="242">
        <v>1605</v>
      </c>
      <c r="I1727" s="251">
        <f>H1727/$H$1730</f>
        <v>0.18780716124502692</v>
      </c>
      <c r="J1727" s="266"/>
      <c r="K1727" s="226"/>
    </row>
    <row r="1728" spans="1:68" ht="9" customHeight="1" x14ac:dyDescent="0.2">
      <c r="A1728" s="249"/>
      <c r="B1728" s="249"/>
      <c r="C1728" s="284"/>
      <c r="D1728" s="244" t="s">
        <v>245</v>
      </c>
      <c r="E1728" s="281"/>
      <c r="F1728" s="257"/>
      <c r="G1728" s="249"/>
      <c r="H1728" s="242">
        <v>348</v>
      </c>
      <c r="I1728" s="251">
        <f>H1728/$H$1730</f>
        <v>4.0720805054996492E-2</v>
      </c>
      <c r="J1728" s="252"/>
      <c r="K1728" s="226"/>
    </row>
    <row r="1729" spans="1:11" ht="9" customHeight="1" x14ac:dyDescent="0.2">
      <c r="A1729" s="249"/>
      <c r="B1729" s="249"/>
      <c r="C1729" s="284"/>
      <c r="D1729" s="244" t="s">
        <v>290</v>
      </c>
      <c r="E1729" s="281"/>
      <c r="F1729" s="257"/>
      <c r="G1729" s="249"/>
      <c r="H1729" s="242">
        <v>3939</v>
      </c>
      <c r="I1729" s="251">
        <f>H1729/$H$1730</f>
        <v>0.46091738825181372</v>
      </c>
      <c r="J1729" s="253" t="s">
        <v>242</v>
      </c>
      <c r="K1729" s="226"/>
    </row>
    <row r="1730" spans="1:11" ht="9" customHeight="1" x14ac:dyDescent="0.2">
      <c r="A1730" s="249"/>
      <c r="B1730" s="249"/>
      <c r="C1730" s="284"/>
      <c r="D1730" s="243" t="s">
        <v>33</v>
      </c>
      <c r="E1730" s="281"/>
      <c r="F1730" s="257"/>
      <c r="G1730" s="249"/>
      <c r="H1730" s="265">
        <f>SUM(H1725:H1729)</f>
        <v>8546</v>
      </c>
      <c r="I1730" s="256">
        <f>SUM(I1725:I1729)</f>
        <v>1</v>
      </c>
      <c r="J1730" s="249"/>
      <c r="K1730" s="226"/>
    </row>
    <row r="1731" spans="1:11" ht="9" customHeight="1" x14ac:dyDescent="0.2">
      <c r="A1731" s="249"/>
      <c r="B1731" s="249"/>
      <c r="C1731" s="284"/>
      <c r="D1731" s="243"/>
      <c r="E1731" s="281"/>
      <c r="F1731" s="257"/>
      <c r="G1731" s="249"/>
      <c r="H1731" s="249"/>
      <c r="I1731" s="262"/>
      <c r="J1731" s="249"/>
      <c r="K1731" s="226"/>
    </row>
    <row r="1732" spans="1:11" ht="9" customHeight="1" x14ac:dyDescent="0.2">
      <c r="A1732" s="261" t="s">
        <v>23</v>
      </c>
      <c r="B1732" s="264">
        <v>668</v>
      </c>
      <c r="C1732" s="243" t="s">
        <v>291</v>
      </c>
      <c r="D1732" s="249" t="s">
        <v>481</v>
      </c>
      <c r="E1732" s="336">
        <v>39448</v>
      </c>
      <c r="F1732" s="257">
        <v>8173658</v>
      </c>
      <c r="G1732" s="249">
        <v>39026</v>
      </c>
      <c r="H1732" s="249"/>
      <c r="I1732" s="262"/>
      <c r="J1732" s="249"/>
      <c r="K1732" s="226"/>
    </row>
    <row r="1733" spans="1:11" ht="9" customHeight="1" x14ac:dyDescent="0.2">
      <c r="A1733" s="261"/>
      <c r="B1733" s="264"/>
      <c r="C1733" s="243"/>
      <c r="D1733" s="244" t="s">
        <v>316</v>
      </c>
      <c r="E1733" s="336"/>
      <c r="F1733" s="257"/>
      <c r="G1733" s="249"/>
      <c r="H1733" s="249">
        <v>19729</v>
      </c>
      <c r="I1733" s="262">
        <f>H1733/$H$1736</f>
        <v>0.69814926218195972</v>
      </c>
      <c r="J1733" s="266" t="s">
        <v>316</v>
      </c>
      <c r="K1733" s="226"/>
    </row>
    <row r="1734" spans="1:11" ht="9" customHeight="1" x14ac:dyDescent="0.2">
      <c r="A1734" s="261"/>
      <c r="B1734" s="264"/>
      <c r="C1734" s="243"/>
      <c r="D1734" s="244" t="s">
        <v>290</v>
      </c>
      <c r="E1734" s="336"/>
      <c r="F1734" s="257"/>
      <c r="G1734" s="249"/>
      <c r="H1734" s="249">
        <v>2118</v>
      </c>
      <c r="I1734" s="262">
        <f>H1734/$H$1736</f>
        <v>7.4949573587175772E-2</v>
      </c>
      <c r="J1734" s="249"/>
      <c r="K1734" s="226"/>
    </row>
    <row r="1735" spans="1:11" ht="9" customHeight="1" x14ac:dyDescent="0.2">
      <c r="A1735" s="249"/>
      <c r="B1735" s="249"/>
      <c r="C1735" s="284"/>
      <c r="D1735" s="244" t="s">
        <v>294</v>
      </c>
      <c r="E1735" s="281"/>
      <c r="F1735" s="257"/>
      <c r="G1735" s="249"/>
      <c r="H1735" s="249">
        <v>6412</v>
      </c>
      <c r="I1735" s="262">
        <f>H1735/$H$1736</f>
        <v>0.22690116423086451</v>
      </c>
      <c r="J1735" s="266" t="s">
        <v>294</v>
      </c>
      <c r="K1735" s="226"/>
    </row>
    <row r="1736" spans="1:11" ht="9" customHeight="1" x14ac:dyDescent="0.2">
      <c r="A1736" s="249"/>
      <c r="B1736" s="249"/>
      <c r="C1736" s="284"/>
      <c r="D1736" s="243" t="s">
        <v>33</v>
      </c>
      <c r="E1736" s="281"/>
      <c r="F1736" s="257"/>
      <c r="G1736" s="249"/>
      <c r="H1736" s="265">
        <f>SUM(H1733:H1735)</f>
        <v>28259</v>
      </c>
      <c r="I1736" s="256">
        <f>SUM(I1733:I1735)</f>
        <v>1</v>
      </c>
      <c r="J1736" s="249"/>
      <c r="K1736" s="226"/>
    </row>
    <row r="1737" spans="1:11" ht="9" customHeight="1" x14ac:dyDescent="0.2">
      <c r="A1737" s="249"/>
      <c r="B1737" s="249"/>
      <c r="C1737" s="284"/>
      <c r="D1737" s="243"/>
      <c r="E1737" s="281"/>
      <c r="F1737" s="257"/>
      <c r="G1737" s="249"/>
      <c r="H1737" s="249"/>
      <c r="I1737" s="262"/>
      <c r="J1737" s="249"/>
      <c r="K1737" s="226"/>
    </row>
    <row r="1738" spans="1:11" ht="9" customHeight="1" x14ac:dyDescent="0.2">
      <c r="A1738" s="249"/>
      <c r="B1738" s="249"/>
      <c r="C1738" s="284"/>
      <c r="D1738" s="243"/>
      <c r="E1738" s="281"/>
      <c r="F1738" s="257"/>
      <c r="G1738" s="249"/>
      <c r="H1738" s="249"/>
      <c r="I1738" s="262"/>
      <c r="J1738" s="249"/>
      <c r="K1738" s="226"/>
    </row>
    <row r="1739" spans="1:11" ht="9" customHeight="1" x14ac:dyDescent="0.2">
      <c r="A1739" s="261" t="s">
        <v>23</v>
      </c>
      <c r="B1739" s="264">
        <v>624</v>
      </c>
      <c r="C1739" s="243" t="s">
        <v>291</v>
      </c>
      <c r="D1739" s="249" t="s">
        <v>582</v>
      </c>
      <c r="E1739" s="336">
        <v>39904</v>
      </c>
      <c r="F1739" s="257">
        <v>26204519</v>
      </c>
      <c r="G1739" s="249"/>
      <c r="H1739" s="249"/>
      <c r="I1739" s="262"/>
      <c r="J1739" s="249"/>
      <c r="K1739" s="226"/>
    </row>
    <row r="1740" spans="1:11" ht="9" customHeight="1" x14ac:dyDescent="0.2">
      <c r="A1740" s="261"/>
      <c r="B1740" s="264"/>
      <c r="C1740" s="243"/>
      <c r="D1740" s="244" t="s">
        <v>263</v>
      </c>
      <c r="E1740" s="336"/>
      <c r="F1740" s="257"/>
      <c r="G1740" s="249"/>
      <c r="H1740" s="249">
        <v>8982</v>
      </c>
      <c r="I1740" s="262">
        <f>H1740/$H$1743</f>
        <v>0.20569308631231822</v>
      </c>
      <c r="J1740" s="248" t="s">
        <v>16</v>
      </c>
      <c r="K1740" s="226"/>
    </row>
    <row r="1741" spans="1:11" s="10" customFormat="1" ht="9" customHeight="1" x14ac:dyDescent="0.2">
      <c r="A1741" s="261"/>
      <c r="B1741" s="264"/>
      <c r="C1741" s="243"/>
      <c r="D1741" s="244" t="s">
        <v>293</v>
      </c>
      <c r="E1741" s="336"/>
      <c r="F1741" s="257"/>
      <c r="G1741" s="249"/>
      <c r="H1741" s="249">
        <f>18208+3891</f>
        <v>22099</v>
      </c>
      <c r="I1741" s="262">
        <f>H1741/$H$1743</f>
        <v>0.5060801062587309</v>
      </c>
      <c r="J1741" s="266" t="s">
        <v>109</v>
      </c>
      <c r="K1741" s="226"/>
    </row>
    <row r="1742" spans="1:11" s="10" customFormat="1" ht="9" customHeight="1" x14ac:dyDescent="0.2">
      <c r="A1742" s="249"/>
      <c r="B1742" s="249"/>
      <c r="C1742" s="284"/>
      <c r="D1742" s="244" t="s">
        <v>242</v>
      </c>
      <c r="E1742" s="281"/>
      <c r="F1742" s="257"/>
      <c r="G1742" s="249"/>
      <c r="H1742" s="249">
        <f>11703+883</f>
        <v>12586</v>
      </c>
      <c r="I1742" s="262">
        <f>H1742/$H$1743</f>
        <v>0.2882268074289509</v>
      </c>
      <c r="J1742" s="266" t="s">
        <v>63</v>
      </c>
      <c r="K1742" s="226"/>
    </row>
    <row r="1743" spans="1:11" s="10" customFormat="1" ht="9" customHeight="1" x14ac:dyDescent="0.2">
      <c r="A1743" s="249"/>
      <c r="B1743" s="249"/>
      <c r="C1743" s="284"/>
      <c r="D1743" s="243" t="s">
        <v>33</v>
      </c>
      <c r="E1743" s="281"/>
      <c r="F1743" s="257"/>
      <c r="G1743" s="249"/>
      <c r="H1743" s="265">
        <f>SUM(H1740:H1742)</f>
        <v>43667</v>
      </c>
      <c r="I1743" s="256">
        <f>SUM(I1740:I1742)</f>
        <v>1</v>
      </c>
      <c r="J1743" s="249"/>
      <c r="K1743" s="226"/>
    </row>
    <row r="1744" spans="1:11" s="10" customFormat="1" ht="9" customHeight="1" x14ac:dyDescent="0.2">
      <c r="A1744" s="249"/>
      <c r="B1744" s="249"/>
      <c r="C1744" s="284"/>
      <c r="D1744" s="243"/>
      <c r="E1744" s="281"/>
      <c r="F1744" s="257"/>
      <c r="G1744" s="249"/>
      <c r="H1744" s="249"/>
      <c r="I1744" s="262"/>
      <c r="J1744" s="249"/>
      <c r="K1744" s="226"/>
    </row>
    <row r="1745" spans="1:17" s="10" customFormat="1" ht="9" customHeight="1" x14ac:dyDescent="0.2">
      <c r="A1745" s="261" t="s">
        <v>23</v>
      </c>
      <c r="B1745" s="264">
        <v>678</v>
      </c>
      <c r="C1745" s="243" t="s">
        <v>291</v>
      </c>
      <c r="D1745" s="249" t="s">
        <v>583</v>
      </c>
      <c r="E1745" s="336">
        <v>39934</v>
      </c>
      <c r="F1745" s="257">
        <v>18825512</v>
      </c>
      <c r="G1745" s="249">
        <v>73208</v>
      </c>
      <c r="H1745" s="249"/>
      <c r="I1745" s="262"/>
      <c r="J1745" s="249"/>
      <c r="K1745" s="226"/>
    </row>
    <row r="1746" spans="1:17" s="10" customFormat="1" ht="9" customHeight="1" x14ac:dyDescent="0.2">
      <c r="A1746" s="261"/>
      <c r="B1746" s="264"/>
      <c r="C1746" s="243"/>
      <c r="D1746" s="244" t="s">
        <v>263</v>
      </c>
      <c r="E1746" s="336"/>
      <c r="F1746" s="257"/>
      <c r="G1746" s="249"/>
      <c r="H1746" s="249">
        <v>7604</v>
      </c>
      <c r="I1746" s="262">
        <f>H1746/$H$1749</f>
        <v>0.17074594691696232</v>
      </c>
      <c r="J1746" s="249"/>
      <c r="K1746" s="226"/>
    </row>
    <row r="1747" spans="1:17" s="10" customFormat="1" ht="9" customHeight="1" x14ac:dyDescent="0.2">
      <c r="A1747" s="261"/>
      <c r="B1747" s="264"/>
      <c r="C1747" s="243"/>
      <c r="D1747" s="244" t="s">
        <v>264</v>
      </c>
      <c r="E1747" s="336"/>
      <c r="F1747" s="257"/>
      <c r="G1747" s="249"/>
      <c r="H1747" s="249">
        <v>8010</v>
      </c>
      <c r="I1747" s="262">
        <f>H1747/$H$1749</f>
        <v>0.17986257690753132</v>
      </c>
      <c r="J1747" s="249"/>
      <c r="K1747" s="226"/>
    </row>
    <row r="1748" spans="1:17" s="31" customFormat="1" ht="9" customHeight="1" x14ac:dyDescent="0.2">
      <c r="A1748" s="249"/>
      <c r="B1748" s="249"/>
      <c r="C1748" s="284"/>
      <c r="D1748" s="244" t="s">
        <v>242</v>
      </c>
      <c r="E1748" s="281"/>
      <c r="F1748" s="257"/>
      <c r="G1748" s="249"/>
      <c r="H1748" s="249">
        <v>28920</v>
      </c>
      <c r="I1748" s="262">
        <f>H1748/$H$1749</f>
        <v>0.64939147617550641</v>
      </c>
      <c r="J1748" s="248" t="s">
        <v>584</v>
      </c>
      <c r="K1748" s="226"/>
      <c r="L1748" s="10"/>
      <c r="M1748" s="10"/>
      <c r="N1748" s="10"/>
      <c r="O1748" s="10"/>
      <c r="P1748" s="10"/>
      <c r="Q1748" s="10"/>
    </row>
    <row r="1749" spans="1:17" s="10" customFormat="1" ht="9" customHeight="1" x14ac:dyDescent="0.2">
      <c r="A1749" s="249"/>
      <c r="B1749" s="249"/>
      <c r="C1749" s="284"/>
      <c r="D1749" s="243" t="s">
        <v>33</v>
      </c>
      <c r="E1749" s="281"/>
      <c r="F1749" s="257"/>
      <c r="G1749" s="249"/>
      <c r="H1749" s="265">
        <f>SUM(H1746:H1748)</f>
        <v>44534</v>
      </c>
      <c r="I1749" s="256">
        <f>SUM(I1746:I1748)</f>
        <v>1</v>
      </c>
      <c r="J1749" s="249"/>
      <c r="K1749" s="226"/>
    </row>
    <row r="1750" spans="1:17" s="10" customFormat="1" ht="9" customHeight="1" x14ac:dyDescent="0.2">
      <c r="A1750" s="249"/>
      <c r="B1750" s="249"/>
      <c r="C1750" s="284"/>
      <c r="D1750" s="243"/>
      <c r="E1750" s="281"/>
      <c r="F1750" s="257"/>
      <c r="G1750" s="249"/>
      <c r="H1750" s="249"/>
      <c r="I1750" s="262"/>
      <c r="J1750" s="249"/>
      <c r="K1750" s="226"/>
    </row>
    <row r="1751" spans="1:17" s="10" customFormat="1" ht="9" customHeight="1" x14ac:dyDescent="0.2">
      <c r="A1751" s="261" t="s">
        <v>23</v>
      </c>
      <c r="B1751" s="261"/>
      <c r="C1751" s="261" t="s">
        <v>291</v>
      </c>
      <c r="D1751" s="244" t="s">
        <v>679</v>
      </c>
      <c r="E1751" s="336">
        <v>42537</v>
      </c>
      <c r="F1751" s="257">
        <v>5755993</v>
      </c>
      <c r="G1751" s="249">
        <v>22694</v>
      </c>
      <c r="H1751" s="249"/>
      <c r="I1751" s="262"/>
      <c r="J1751" s="249"/>
      <c r="K1751" s="226"/>
    </row>
    <row r="1752" spans="1:17" s="10" customFormat="1" ht="9" customHeight="1" x14ac:dyDescent="0.2">
      <c r="A1752" s="249"/>
      <c r="B1752" s="249"/>
      <c r="C1752" s="284"/>
      <c r="D1752" s="244" t="s">
        <v>646</v>
      </c>
      <c r="E1752" s="281"/>
      <c r="F1752" s="257"/>
      <c r="G1752" s="249"/>
      <c r="H1752" s="249">
        <v>494</v>
      </c>
      <c r="I1752" s="262">
        <f>H1752/$H$1755</f>
        <v>4.2081949058693245E-2</v>
      </c>
      <c r="J1752" s="249"/>
      <c r="K1752" s="226"/>
    </row>
    <row r="1753" spans="1:17" s="10" customFormat="1" ht="9" customHeight="1" x14ac:dyDescent="0.2">
      <c r="A1753" s="249"/>
      <c r="B1753" s="249"/>
      <c r="C1753" s="284"/>
      <c r="D1753" s="244" t="s">
        <v>605</v>
      </c>
      <c r="E1753" s="281"/>
      <c r="F1753" s="257"/>
      <c r="G1753" s="249"/>
      <c r="H1753" s="249">
        <v>9725</v>
      </c>
      <c r="I1753" s="262">
        <f>H1753/$H$1755</f>
        <v>0.82843513076071218</v>
      </c>
      <c r="J1753" s="248" t="s">
        <v>63</v>
      </c>
      <c r="K1753" s="226"/>
    </row>
    <row r="1754" spans="1:17" s="10" customFormat="1" ht="9" customHeight="1" x14ac:dyDescent="0.2">
      <c r="A1754" s="249"/>
      <c r="B1754" s="249"/>
      <c r="C1754" s="284"/>
      <c r="D1754" s="244" t="s">
        <v>634</v>
      </c>
      <c r="E1754" s="281"/>
      <c r="F1754" s="257"/>
      <c r="G1754" s="249"/>
      <c r="H1754" s="249">
        <v>1520</v>
      </c>
      <c r="I1754" s="262">
        <f>H1754/$H$1755</f>
        <v>0.1294829201805946</v>
      </c>
      <c r="J1754" s="249"/>
      <c r="K1754" s="226"/>
    </row>
    <row r="1755" spans="1:17" s="10" customFormat="1" ht="9" customHeight="1" x14ac:dyDescent="0.2">
      <c r="A1755" s="249"/>
      <c r="B1755" s="249"/>
      <c r="C1755" s="284"/>
      <c r="D1755" s="243" t="s">
        <v>33</v>
      </c>
      <c r="E1755" s="281"/>
      <c r="F1755" s="257"/>
      <c r="G1755" s="249"/>
      <c r="H1755" s="282">
        <f>SUM(H1752:H1754)</f>
        <v>11739</v>
      </c>
      <c r="I1755" s="283">
        <f>H1755/$H$1755</f>
        <v>1</v>
      </c>
      <c r="J1755" s="249"/>
      <c r="K1755" s="226"/>
    </row>
    <row r="1756" spans="1:17" s="10" customFormat="1" ht="9" customHeight="1" x14ac:dyDescent="0.2">
      <c r="A1756" s="249"/>
      <c r="B1756" s="249"/>
      <c r="C1756" s="284"/>
      <c r="D1756" s="243"/>
      <c r="E1756" s="281"/>
      <c r="F1756" s="257"/>
      <c r="G1756" s="249"/>
      <c r="H1756" s="292"/>
      <c r="I1756" s="293"/>
      <c r="J1756" s="249"/>
      <c r="K1756" s="226"/>
    </row>
    <row r="1757" spans="1:17" s="10" customFormat="1" ht="9" customHeight="1" x14ac:dyDescent="0.2">
      <c r="A1757" s="288" t="s">
        <v>23</v>
      </c>
      <c r="B1757" s="288"/>
      <c r="C1757" s="288" t="s">
        <v>291</v>
      </c>
      <c r="D1757" s="305" t="s">
        <v>714</v>
      </c>
      <c r="E1757" s="370">
        <v>43770</v>
      </c>
      <c r="F1757" s="291">
        <v>51600273.979999997</v>
      </c>
      <c r="G1757" s="292">
        <v>166127</v>
      </c>
      <c r="H1757" s="292"/>
      <c r="I1757" s="293"/>
      <c r="J1757" s="292"/>
      <c r="K1757" s="226"/>
    </row>
    <row r="1758" spans="1:17" s="10" customFormat="1" ht="9" customHeight="1" x14ac:dyDescent="0.2">
      <c r="A1758" s="288"/>
      <c r="B1758" s="288"/>
      <c r="C1758" s="288"/>
      <c r="D1758" s="330" t="s">
        <v>16</v>
      </c>
      <c r="E1758" s="370"/>
      <c r="F1758" s="291"/>
      <c r="G1758" s="292"/>
      <c r="H1758" s="292">
        <v>19717</v>
      </c>
      <c r="I1758" s="262">
        <f t="shared" ref="I1758:I1763" si="43">H1758/$H$1763</f>
        <v>0.58791782210692667</v>
      </c>
      <c r="J1758" s="331" t="s">
        <v>16</v>
      </c>
      <c r="K1758" s="228"/>
      <c r="L1758" s="31"/>
      <c r="M1758" s="31"/>
      <c r="N1758" s="31"/>
      <c r="O1758" s="31"/>
      <c r="P1758" s="31"/>
      <c r="Q1758" s="31"/>
    </row>
    <row r="1759" spans="1:17" ht="10.15" customHeight="1" x14ac:dyDescent="0.2">
      <c r="A1759" s="249"/>
      <c r="B1759" s="249"/>
      <c r="C1759" s="284"/>
      <c r="D1759" s="244" t="s">
        <v>646</v>
      </c>
      <c r="E1759" s="281"/>
      <c r="F1759" s="257"/>
      <c r="G1759" s="249"/>
      <c r="H1759" s="249">
        <v>1263</v>
      </c>
      <c r="I1759" s="262">
        <f t="shared" si="43"/>
        <v>3.7659898023078987E-2</v>
      </c>
      <c r="J1759" s="249"/>
      <c r="K1759" s="226"/>
    </row>
    <row r="1760" spans="1:17" ht="10.15" customHeight="1" x14ac:dyDescent="0.2">
      <c r="A1760" s="249"/>
      <c r="B1760" s="249"/>
      <c r="C1760" s="284"/>
      <c r="D1760" s="308" t="s">
        <v>42</v>
      </c>
      <c r="E1760" s="281"/>
      <c r="F1760" s="257"/>
      <c r="G1760" s="249"/>
      <c r="H1760" s="249">
        <v>8777</v>
      </c>
      <c r="I1760" s="262">
        <f t="shared" si="43"/>
        <v>0.26171094611921164</v>
      </c>
      <c r="J1760" s="248" t="s">
        <v>42</v>
      </c>
      <c r="K1760" s="226"/>
    </row>
    <row r="1761" spans="1:11" ht="10.15" customHeight="1" x14ac:dyDescent="0.2">
      <c r="A1761" s="249"/>
      <c r="B1761" s="249"/>
      <c r="C1761" s="284"/>
      <c r="D1761" s="244" t="s">
        <v>605</v>
      </c>
      <c r="E1761" s="281"/>
      <c r="F1761" s="257"/>
      <c r="G1761" s="249"/>
      <c r="H1761" s="249">
        <v>3026</v>
      </c>
      <c r="I1761" s="262">
        <f t="shared" si="43"/>
        <v>9.0228702626949334E-2</v>
      </c>
      <c r="J1761" s="248"/>
      <c r="K1761" s="226"/>
    </row>
    <row r="1762" spans="1:11" ht="10.15" customHeight="1" x14ac:dyDescent="0.2">
      <c r="A1762" s="249"/>
      <c r="B1762" s="249"/>
      <c r="C1762" s="284"/>
      <c r="D1762" s="244" t="s">
        <v>634</v>
      </c>
      <c r="E1762" s="281"/>
      <c r="F1762" s="257"/>
      <c r="G1762" s="249"/>
      <c r="H1762" s="249">
        <v>754</v>
      </c>
      <c r="I1762" s="262">
        <f t="shared" si="43"/>
        <v>2.2482631123833377E-2</v>
      </c>
      <c r="J1762" s="249"/>
      <c r="K1762" s="226"/>
    </row>
    <row r="1763" spans="1:11" ht="12.2" customHeight="1" x14ac:dyDescent="0.2">
      <c r="A1763" s="249"/>
      <c r="B1763" s="249"/>
      <c r="C1763" s="284"/>
      <c r="D1763" s="243" t="s">
        <v>33</v>
      </c>
      <c r="E1763" s="281"/>
      <c r="F1763" s="257"/>
      <c r="G1763" s="249"/>
      <c r="H1763" s="282">
        <f>SUM(H1758:H1762)</f>
        <v>33537</v>
      </c>
      <c r="I1763" s="262">
        <f t="shared" si="43"/>
        <v>1</v>
      </c>
      <c r="J1763" s="249"/>
      <c r="K1763" s="226"/>
    </row>
    <row r="1764" spans="1:11" ht="10.15" customHeight="1" x14ac:dyDescent="0.2">
      <c r="A1764" s="249"/>
      <c r="B1764" s="249"/>
      <c r="C1764" s="284"/>
      <c r="D1764" s="243"/>
      <c r="E1764" s="281"/>
      <c r="F1764" s="257"/>
      <c r="G1764" s="249"/>
      <c r="H1764" s="249"/>
      <c r="I1764" s="262"/>
      <c r="J1764" s="249"/>
      <c r="K1764" s="226"/>
    </row>
    <row r="1765" spans="1:11" ht="10.15" customHeight="1" x14ac:dyDescent="0.2">
      <c r="A1765" s="243" t="s">
        <v>29</v>
      </c>
      <c r="B1765" s="243" t="s">
        <v>384</v>
      </c>
      <c r="C1765" s="243" t="s">
        <v>236</v>
      </c>
      <c r="D1765" s="254" t="s">
        <v>191</v>
      </c>
      <c r="E1765" s="277" t="s">
        <v>385</v>
      </c>
      <c r="F1765" s="245">
        <v>2157403</v>
      </c>
      <c r="G1765" s="246">
        <v>37065</v>
      </c>
      <c r="H1765" s="242"/>
      <c r="I1765" s="251"/>
      <c r="J1765" s="253"/>
      <c r="K1765" s="226"/>
    </row>
    <row r="1766" spans="1:11" ht="10.15" customHeight="1" x14ac:dyDescent="0.2">
      <c r="A1766" s="248"/>
      <c r="B1766" s="248"/>
      <c r="C1766" s="261"/>
      <c r="D1766" s="244" t="s">
        <v>242</v>
      </c>
      <c r="E1766" s="281"/>
      <c r="F1766" s="257"/>
      <c r="G1766" s="249"/>
      <c r="H1766" s="250">
        <v>10262</v>
      </c>
      <c r="I1766" s="251">
        <f>ROUND(H1766/$H$1769,4)</f>
        <v>0.69710000000000005</v>
      </c>
      <c r="J1766" s="253" t="s">
        <v>242</v>
      </c>
      <c r="K1766" s="226"/>
    </row>
    <row r="1767" spans="1:11" ht="10.15" customHeight="1" x14ac:dyDescent="0.2">
      <c r="A1767" s="248"/>
      <c r="B1767" s="248"/>
      <c r="C1767" s="261"/>
      <c r="D1767" s="244" t="s">
        <v>244</v>
      </c>
      <c r="E1767" s="281"/>
      <c r="F1767" s="257"/>
      <c r="G1767" s="249"/>
      <c r="H1767" s="250">
        <v>4395</v>
      </c>
      <c r="I1767" s="251">
        <f>ROUND(H1767/$H$1769,4)</f>
        <v>0.29859999999999998</v>
      </c>
      <c r="J1767" s="252" t="s">
        <v>244</v>
      </c>
      <c r="K1767" s="226"/>
    </row>
    <row r="1768" spans="1:11" ht="10.15" customHeight="1" x14ac:dyDescent="0.2">
      <c r="A1768" s="248"/>
      <c r="B1768" s="248"/>
      <c r="C1768" s="261"/>
      <c r="D1768" s="244" t="s">
        <v>245</v>
      </c>
      <c r="E1768" s="281"/>
      <c r="F1768" s="257"/>
      <c r="G1768" s="249"/>
      <c r="H1768" s="250">
        <v>63</v>
      </c>
      <c r="I1768" s="251">
        <f>ROUND(H1768/$H$1769,4)</f>
        <v>4.3E-3</v>
      </c>
      <c r="J1768" s="253"/>
      <c r="K1768" s="226"/>
    </row>
    <row r="1769" spans="1:11" ht="10.15" customHeight="1" x14ac:dyDescent="0.2">
      <c r="A1769" s="248"/>
      <c r="B1769" s="248"/>
      <c r="C1769" s="261"/>
      <c r="D1769" s="243" t="s">
        <v>33</v>
      </c>
      <c r="E1769" s="281"/>
      <c r="F1769" s="257"/>
      <c r="G1769" s="249"/>
      <c r="H1769" s="255">
        <f>SUM(H1766:H1768)</f>
        <v>14720</v>
      </c>
      <c r="I1769" s="256">
        <f>SUM(I1766:I1768)</f>
        <v>1</v>
      </c>
      <c r="J1769" s="253"/>
      <c r="K1769" s="226"/>
    </row>
    <row r="1770" spans="1:11" ht="10.15" customHeight="1" x14ac:dyDescent="0.2">
      <c r="A1770" s="248"/>
      <c r="B1770" s="248"/>
      <c r="C1770" s="261"/>
      <c r="D1770" s="243"/>
      <c r="E1770" s="281"/>
      <c r="F1770" s="257"/>
      <c r="G1770" s="249"/>
      <c r="H1770" s="258"/>
      <c r="I1770" s="259"/>
      <c r="J1770" s="253"/>
      <c r="K1770" s="226"/>
    </row>
    <row r="1771" spans="1:11" ht="10.15" customHeight="1" x14ac:dyDescent="0.2">
      <c r="A1771" s="243" t="s">
        <v>29</v>
      </c>
      <c r="B1771" s="243" t="s">
        <v>386</v>
      </c>
      <c r="C1771" s="243" t="s">
        <v>236</v>
      </c>
      <c r="D1771" s="244" t="s">
        <v>171</v>
      </c>
      <c r="E1771" s="277" t="s">
        <v>326</v>
      </c>
      <c r="F1771" s="245">
        <v>2568000</v>
      </c>
      <c r="G1771" s="246">
        <v>36345</v>
      </c>
      <c r="H1771" s="242"/>
      <c r="I1771" s="251"/>
      <c r="J1771" s="253"/>
      <c r="K1771" s="226"/>
    </row>
    <row r="1772" spans="1:11" ht="10.15" customHeight="1" x14ac:dyDescent="0.2">
      <c r="A1772" s="248"/>
      <c r="B1772" s="248"/>
      <c r="C1772" s="261"/>
      <c r="D1772" s="244" t="s">
        <v>263</v>
      </c>
      <c r="E1772" s="281"/>
      <c r="F1772" s="257"/>
      <c r="G1772" s="249"/>
      <c r="H1772" s="250">
        <v>1200</v>
      </c>
      <c r="I1772" s="251">
        <f t="shared" ref="I1772:I1777" si="44">ROUND(H1772/$H$1778,4)</f>
        <v>5.11E-2</v>
      </c>
      <c r="J1772" s="253"/>
      <c r="K1772" s="226"/>
    </row>
    <row r="1773" spans="1:11" ht="10.15" customHeight="1" x14ac:dyDescent="0.2">
      <c r="A1773" s="248"/>
      <c r="B1773" s="248"/>
      <c r="C1773" s="261"/>
      <c r="D1773" s="244" t="s">
        <v>240</v>
      </c>
      <c r="E1773" s="281"/>
      <c r="F1773" s="257"/>
      <c r="G1773" s="249"/>
      <c r="H1773" s="250">
        <v>6000</v>
      </c>
      <c r="I1773" s="251">
        <f t="shared" si="44"/>
        <v>0.25540000000000002</v>
      </c>
      <c r="J1773" s="253" t="s">
        <v>240</v>
      </c>
      <c r="K1773" s="226"/>
    </row>
    <row r="1774" spans="1:11" ht="10.15" customHeight="1" x14ac:dyDescent="0.2">
      <c r="A1774" s="248"/>
      <c r="B1774" s="248"/>
      <c r="C1774" s="261"/>
      <c r="D1774" s="244" t="s">
        <v>243</v>
      </c>
      <c r="E1774" s="281"/>
      <c r="F1774" s="257"/>
      <c r="G1774" s="249"/>
      <c r="H1774" s="250">
        <v>1000</v>
      </c>
      <c r="I1774" s="251">
        <f t="shared" si="44"/>
        <v>4.2599999999999999E-2</v>
      </c>
      <c r="J1774" s="253"/>
      <c r="K1774" s="226"/>
    </row>
    <row r="1775" spans="1:11" ht="10.15" customHeight="1" x14ac:dyDescent="0.2">
      <c r="A1775" s="248"/>
      <c r="B1775" s="248"/>
      <c r="C1775" s="261"/>
      <c r="D1775" s="244" t="s">
        <v>241</v>
      </c>
      <c r="E1775" s="281"/>
      <c r="F1775" s="257"/>
      <c r="G1775" s="249"/>
      <c r="H1775" s="250">
        <v>600</v>
      </c>
      <c r="I1775" s="251">
        <f t="shared" si="44"/>
        <v>2.5499999999999998E-2</v>
      </c>
      <c r="J1775" s="253"/>
      <c r="K1775" s="226"/>
    </row>
    <row r="1776" spans="1:11" ht="10.15" customHeight="1" x14ac:dyDescent="0.2">
      <c r="A1776" s="248"/>
      <c r="B1776" s="248"/>
      <c r="C1776" s="261"/>
      <c r="D1776" s="244" t="s">
        <v>242</v>
      </c>
      <c r="E1776" s="281"/>
      <c r="F1776" s="257"/>
      <c r="G1776" s="249"/>
      <c r="H1776" s="250">
        <v>13895</v>
      </c>
      <c r="I1776" s="251">
        <f t="shared" si="44"/>
        <v>0.59140000000000004</v>
      </c>
      <c r="J1776" s="252" t="s">
        <v>242</v>
      </c>
      <c r="K1776" s="226"/>
    </row>
    <row r="1777" spans="1:11" ht="10.15" customHeight="1" x14ac:dyDescent="0.2">
      <c r="A1777" s="248"/>
      <c r="B1777" s="248"/>
      <c r="C1777" s="261"/>
      <c r="D1777" s="244" t="s">
        <v>245</v>
      </c>
      <c r="E1777" s="281"/>
      <c r="F1777" s="257"/>
      <c r="G1777" s="249"/>
      <c r="H1777" s="250">
        <v>800</v>
      </c>
      <c r="I1777" s="251">
        <f t="shared" si="44"/>
        <v>3.4000000000000002E-2</v>
      </c>
      <c r="J1777" s="253"/>
      <c r="K1777" s="226"/>
    </row>
    <row r="1778" spans="1:11" ht="10.15" customHeight="1" x14ac:dyDescent="0.2">
      <c r="A1778" s="248"/>
      <c r="B1778" s="248"/>
      <c r="C1778" s="261"/>
      <c r="D1778" s="243" t="s">
        <v>33</v>
      </c>
      <c r="E1778" s="281"/>
      <c r="F1778" s="257"/>
      <c r="G1778" s="249"/>
      <c r="H1778" s="255">
        <f>SUM(H1772:H1777)</f>
        <v>23495</v>
      </c>
      <c r="I1778" s="256">
        <f>SUM(I1772:I1777)</f>
        <v>1</v>
      </c>
      <c r="J1778" s="253"/>
      <c r="K1778" s="226"/>
    </row>
    <row r="1779" spans="1:11" ht="10.15" customHeight="1" x14ac:dyDescent="0.2">
      <c r="A1779" s="248"/>
      <c r="B1779" s="248"/>
      <c r="C1779" s="261"/>
      <c r="D1779" s="243"/>
      <c r="E1779" s="281"/>
      <c r="F1779" s="257"/>
      <c r="G1779" s="249"/>
      <c r="H1779" s="258"/>
      <c r="I1779" s="259"/>
      <c r="J1779" s="253"/>
      <c r="K1779" s="226"/>
    </row>
    <row r="1780" spans="1:11" ht="10.15" customHeight="1" x14ac:dyDescent="0.2">
      <c r="A1780" s="243" t="s">
        <v>29</v>
      </c>
      <c r="B1780" s="243" t="s">
        <v>387</v>
      </c>
      <c r="C1780" s="243" t="s">
        <v>236</v>
      </c>
      <c r="D1780" s="244" t="s">
        <v>172</v>
      </c>
      <c r="E1780" s="277" t="s">
        <v>388</v>
      </c>
      <c r="F1780" s="245">
        <v>7592100</v>
      </c>
      <c r="G1780" s="246">
        <v>75400</v>
      </c>
      <c r="H1780" s="242"/>
      <c r="I1780" s="242"/>
      <c r="J1780" s="253"/>
      <c r="K1780" s="226"/>
    </row>
    <row r="1781" spans="1:11" ht="10.15" customHeight="1" x14ac:dyDescent="0.2">
      <c r="A1781" s="248"/>
      <c r="B1781" s="248"/>
      <c r="C1781" s="261"/>
      <c r="D1781" s="244" t="s">
        <v>263</v>
      </c>
      <c r="E1781" s="281"/>
      <c r="F1781" s="257"/>
      <c r="G1781" s="249"/>
      <c r="H1781" s="250">
        <v>1724</v>
      </c>
      <c r="I1781" s="251">
        <f>ROUND(H1781/$H$1787,4)</f>
        <v>3.09E-2</v>
      </c>
      <c r="J1781" s="253"/>
      <c r="K1781" s="226"/>
    </row>
    <row r="1782" spans="1:11" ht="10.15" customHeight="1" x14ac:dyDescent="0.2">
      <c r="A1782" s="248"/>
      <c r="B1782" s="248"/>
      <c r="C1782" s="261"/>
      <c r="D1782" s="244" t="s">
        <v>240</v>
      </c>
      <c r="E1782" s="281"/>
      <c r="F1782" s="257"/>
      <c r="G1782" s="249"/>
      <c r="H1782" s="250">
        <v>17961</v>
      </c>
      <c r="I1782" s="251">
        <f>ROUND(H1782/$H$1787,4)</f>
        <v>0.3216</v>
      </c>
      <c r="J1782" s="252" t="s">
        <v>240</v>
      </c>
      <c r="K1782" s="226"/>
    </row>
    <row r="1783" spans="1:11" ht="10.15" customHeight="1" x14ac:dyDescent="0.2">
      <c r="A1783" s="248"/>
      <c r="B1783" s="248"/>
      <c r="C1783" s="261"/>
      <c r="D1783" s="244" t="s">
        <v>243</v>
      </c>
      <c r="E1783" s="281"/>
      <c r="F1783" s="257"/>
      <c r="G1783" s="249"/>
      <c r="H1783" s="250">
        <v>2150</v>
      </c>
      <c r="I1783" s="251">
        <f>ROUND(H1783/$H$1787,4)</f>
        <v>3.85E-2</v>
      </c>
      <c r="J1783" s="253"/>
      <c r="K1783" s="226"/>
    </row>
    <row r="1784" spans="1:11" ht="10.15" customHeight="1" x14ac:dyDescent="0.2">
      <c r="A1784" s="248"/>
      <c r="B1784" s="248"/>
      <c r="C1784" s="261"/>
      <c r="D1784" s="244" t="s">
        <v>242</v>
      </c>
      <c r="E1784" s="281"/>
      <c r="F1784" s="257"/>
      <c r="G1784" s="249"/>
      <c r="H1784" s="250">
        <v>6634</v>
      </c>
      <c r="I1784" s="251">
        <f>ROUND(H1784/$H$1787,4)-0.0001</f>
        <v>0.1187</v>
      </c>
      <c r="J1784" s="253"/>
      <c r="K1784" s="226"/>
    </row>
    <row r="1785" spans="1:11" ht="10.15" customHeight="1" x14ac:dyDescent="0.2">
      <c r="A1785" s="248"/>
      <c r="B1785" s="248"/>
      <c r="C1785" s="261"/>
      <c r="D1785" s="244" t="s">
        <v>264</v>
      </c>
      <c r="E1785" s="281"/>
      <c r="F1785" s="257"/>
      <c r="G1785" s="249"/>
      <c r="H1785" s="250">
        <v>27084</v>
      </c>
      <c r="I1785" s="251">
        <f>ROUND(H1785/$H$1787,4)</f>
        <v>0.4849</v>
      </c>
      <c r="J1785" s="252" t="s">
        <v>264</v>
      </c>
      <c r="K1785" s="226"/>
    </row>
    <row r="1786" spans="1:11" ht="10.15" customHeight="1" x14ac:dyDescent="0.2">
      <c r="A1786" s="248"/>
      <c r="B1786" s="248"/>
      <c r="C1786" s="261"/>
      <c r="D1786" s="244" t="s">
        <v>245</v>
      </c>
      <c r="E1786" s="281"/>
      <c r="F1786" s="257"/>
      <c r="G1786" s="249"/>
      <c r="H1786" s="250">
        <v>300</v>
      </c>
      <c r="I1786" s="251">
        <f>ROUND(H1786/$H$1787,4)</f>
        <v>5.4000000000000003E-3</v>
      </c>
      <c r="J1786" s="253"/>
      <c r="K1786" s="226"/>
    </row>
    <row r="1787" spans="1:11" ht="10.15" customHeight="1" x14ac:dyDescent="0.2">
      <c r="A1787" s="248"/>
      <c r="B1787" s="248"/>
      <c r="C1787" s="261"/>
      <c r="D1787" s="243" t="s">
        <v>33</v>
      </c>
      <c r="E1787" s="281"/>
      <c r="F1787" s="257"/>
      <c r="G1787" s="249"/>
      <c r="H1787" s="255">
        <f>SUM(H1781:H1786)</f>
        <v>55853</v>
      </c>
      <c r="I1787" s="256">
        <f>SUM(I1781:I1786)</f>
        <v>0.99999999999999989</v>
      </c>
      <c r="J1787" s="253"/>
      <c r="K1787" s="226"/>
    </row>
    <row r="1788" spans="1:11" ht="10.15" customHeight="1" x14ac:dyDescent="0.2">
      <c r="A1788" s="248"/>
      <c r="B1788" s="248"/>
      <c r="C1788" s="261"/>
      <c r="D1788" s="249"/>
      <c r="E1788" s="281"/>
      <c r="F1788" s="257"/>
      <c r="G1788" s="249"/>
      <c r="H1788" s="242"/>
      <c r="I1788" s="251"/>
      <c r="J1788" s="253"/>
      <c r="K1788" s="226"/>
    </row>
    <row r="1789" spans="1:11" ht="10.15" customHeight="1" x14ac:dyDescent="0.2">
      <c r="A1789" s="243" t="s">
        <v>29</v>
      </c>
      <c r="B1789" s="243" t="s">
        <v>389</v>
      </c>
      <c r="C1789" s="243" t="s">
        <v>236</v>
      </c>
      <c r="D1789" s="244" t="s">
        <v>390</v>
      </c>
      <c r="E1789" s="277" t="s">
        <v>269</v>
      </c>
      <c r="F1789" s="245">
        <v>5322000</v>
      </c>
      <c r="G1789" s="246">
        <v>50235</v>
      </c>
      <c r="H1789" s="242"/>
      <c r="I1789" s="242"/>
      <c r="J1789" s="253"/>
      <c r="K1789" s="226"/>
    </row>
    <row r="1790" spans="1:11" ht="10.15" customHeight="1" x14ac:dyDescent="0.2">
      <c r="A1790" s="248"/>
      <c r="B1790" s="248"/>
      <c r="C1790" s="261"/>
      <c r="D1790" s="244" t="s">
        <v>263</v>
      </c>
      <c r="E1790" s="281"/>
      <c r="F1790" s="257"/>
      <c r="G1790" s="249"/>
      <c r="H1790" s="250">
        <v>4900</v>
      </c>
      <c r="I1790" s="251">
        <f>ROUND(H1790/$H$1795,4)</f>
        <v>0.14080000000000001</v>
      </c>
      <c r="J1790" s="253"/>
      <c r="K1790" s="226"/>
    </row>
    <row r="1791" spans="1:11" ht="10.15" customHeight="1" x14ac:dyDescent="0.2">
      <c r="A1791" s="248"/>
      <c r="B1791" s="248"/>
      <c r="C1791" s="261"/>
      <c r="D1791" s="244" t="s">
        <v>240</v>
      </c>
      <c r="E1791" s="281"/>
      <c r="F1791" s="257"/>
      <c r="G1791" s="249"/>
      <c r="H1791" s="250">
        <v>11684</v>
      </c>
      <c r="I1791" s="251">
        <f>ROUND(H1791/$H$1795,4)-0.0001</f>
        <v>0.33560000000000001</v>
      </c>
      <c r="J1791" s="252" t="s">
        <v>240</v>
      </c>
      <c r="K1791" s="226"/>
    </row>
    <row r="1792" spans="1:11" ht="12.2" customHeight="1" x14ac:dyDescent="0.2">
      <c r="A1792" s="248"/>
      <c r="B1792" s="248"/>
      <c r="C1792" s="261"/>
      <c r="D1792" s="244" t="s">
        <v>243</v>
      </c>
      <c r="E1792" s="281"/>
      <c r="F1792" s="257"/>
      <c r="G1792" s="249"/>
      <c r="H1792" s="250">
        <v>2860</v>
      </c>
      <c r="I1792" s="251">
        <f>ROUND(H1792/$H$1795,4)</f>
        <v>8.2199999999999995E-2</v>
      </c>
      <c r="J1792" s="253"/>
      <c r="K1792" s="226"/>
    </row>
    <row r="1793" spans="1:11" ht="10.15" customHeight="1" x14ac:dyDescent="0.2">
      <c r="A1793" s="248"/>
      <c r="B1793" s="248"/>
      <c r="C1793" s="261"/>
      <c r="D1793" s="244" t="s">
        <v>242</v>
      </c>
      <c r="E1793" s="281"/>
      <c r="F1793" s="257"/>
      <c r="G1793" s="249"/>
      <c r="H1793" s="250">
        <v>13030</v>
      </c>
      <c r="I1793" s="251">
        <f>ROUND(H1793/$H$1795,4)</f>
        <v>0.37430000000000002</v>
      </c>
      <c r="J1793" s="252" t="s">
        <v>242</v>
      </c>
      <c r="K1793" s="226"/>
    </row>
    <row r="1794" spans="1:11" ht="10.15" customHeight="1" x14ac:dyDescent="0.2">
      <c r="A1794" s="248"/>
      <c r="B1794" s="248"/>
      <c r="C1794" s="261"/>
      <c r="D1794" s="244" t="s">
        <v>245</v>
      </c>
      <c r="E1794" s="281"/>
      <c r="F1794" s="257"/>
      <c r="G1794" s="249"/>
      <c r="H1794" s="250">
        <v>2335</v>
      </c>
      <c r="I1794" s="251">
        <f>ROUND(H1794/$H$1795,4)</f>
        <v>6.7100000000000007E-2</v>
      </c>
      <c r="J1794" s="253"/>
      <c r="K1794" s="226"/>
    </row>
    <row r="1795" spans="1:11" ht="10.15" customHeight="1" x14ac:dyDescent="0.2">
      <c r="A1795" s="248"/>
      <c r="B1795" s="248"/>
      <c r="C1795" s="261"/>
      <c r="D1795" s="243" t="s">
        <v>33</v>
      </c>
      <c r="E1795" s="281"/>
      <c r="F1795" s="257"/>
      <c r="G1795" s="249"/>
      <c r="H1795" s="255">
        <f>SUM(H1790:H1794)</f>
        <v>34809</v>
      </c>
      <c r="I1795" s="256">
        <f>SUM(I1790:I1794)</f>
        <v>1</v>
      </c>
      <c r="J1795" s="253"/>
      <c r="K1795" s="226"/>
    </row>
    <row r="1796" spans="1:11" ht="10.15" customHeight="1" x14ac:dyDescent="0.2">
      <c r="A1796" s="248"/>
      <c r="B1796" s="248"/>
      <c r="C1796" s="261"/>
      <c r="D1796" s="249"/>
      <c r="E1796" s="281"/>
      <c r="F1796" s="257"/>
      <c r="G1796" s="249"/>
      <c r="H1796" s="242"/>
      <c r="I1796" s="242"/>
      <c r="J1796" s="253"/>
      <c r="K1796" s="226"/>
    </row>
    <row r="1797" spans="1:11" ht="10.15" customHeight="1" x14ac:dyDescent="0.2">
      <c r="A1797" s="243" t="s">
        <v>29</v>
      </c>
      <c r="B1797" s="243" t="s">
        <v>391</v>
      </c>
      <c r="C1797" s="243" t="s">
        <v>236</v>
      </c>
      <c r="D1797" s="244" t="s">
        <v>199</v>
      </c>
      <c r="E1797" s="277" t="s">
        <v>392</v>
      </c>
      <c r="F1797" s="245">
        <v>703150</v>
      </c>
      <c r="G1797" s="246">
        <v>9100</v>
      </c>
      <c r="H1797" s="242"/>
      <c r="I1797" s="242"/>
      <c r="J1797" s="253"/>
      <c r="K1797" s="226"/>
    </row>
    <row r="1798" spans="1:11" ht="10.15" customHeight="1" x14ac:dyDescent="0.2">
      <c r="A1798" s="248"/>
      <c r="B1798" s="248"/>
      <c r="C1798" s="261"/>
      <c r="D1798" s="244" t="s">
        <v>242</v>
      </c>
      <c r="E1798" s="281"/>
      <c r="F1798" s="257"/>
      <c r="G1798" s="249"/>
      <c r="H1798" s="250">
        <v>5760</v>
      </c>
      <c r="I1798" s="251">
        <f>ROUND(H1798/$H$1800,4)</f>
        <v>0.96130000000000004</v>
      </c>
      <c r="J1798" s="252" t="s">
        <v>242</v>
      </c>
      <c r="K1798" s="226"/>
    </row>
    <row r="1799" spans="1:11" ht="10.15" customHeight="1" x14ac:dyDescent="0.2">
      <c r="A1799" s="248"/>
      <c r="B1799" s="248"/>
      <c r="C1799" s="261"/>
      <c r="D1799" s="244" t="s">
        <v>245</v>
      </c>
      <c r="E1799" s="281"/>
      <c r="F1799" s="257"/>
      <c r="G1799" s="249"/>
      <c r="H1799" s="250">
        <v>232</v>
      </c>
      <c r="I1799" s="251">
        <f>ROUND(H1799/$H$1800,4)</f>
        <v>3.8699999999999998E-2</v>
      </c>
      <c r="J1799" s="253"/>
      <c r="K1799" s="226"/>
    </row>
    <row r="1800" spans="1:11" ht="10.15" customHeight="1" x14ac:dyDescent="0.2">
      <c r="A1800" s="248"/>
      <c r="B1800" s="248"/>
      <c r="C1800" s="261"/>
      <c r="D1800" s="243" t="s">
        <v>33</v>
      </c>
      <c r="E1800" s="281"/>
      <c r="F1800" s="257"/>
      <c r="G1800" s="249"/>
      <c r="H1800" s="255">
        <f>SUM(H1798:H1799)</f>
        <v>5992</v>
      </c>
      <c r="I1800" s="256">
        <f>SUM(I1798:I1799)</f>
        <v>1</v>
      </c>
      <c r="J1800" s="253"/>
      <c r="K1800" s="226"/>
    </row>
    <row r="1801" spans="1:11" ht="12.75" x14ac:dyDescent="0.2">
      <c r="A1801" s="249"/>
      <c r="B1801" s="249"/>
      <c r="C1801" s="284"/>
      <c r="D1801" s="249"/>
      <c r="E1801" s="281"/>
      <c r="F1801" s="249"/>
      <c r="G1801" s="249"/>
      <c r="H1801" s="242"/>
      <c r="I1801" s="242"/>
      <c r="J1801" s="242"/>
      <c r="K1801" s="226"/>
    </row>
    <row r="1802" spans="1:11" ht="10.15" customHeight="1" x14ac:dyDescent="0.2">
      <c r="A1802" s="243" t="s">
        <v>29</v>
      </c>
      <c r="B1802" s="243" t="s">
        <v>393</v>
      </c>
      <c r="C1802" s="243" t="s">
        <v>236</v>
      </c>
      <c r="D1802" s="244" t="s">
        <v>82</v>
      </c>
      <c r="E1802" s="277" t="s">
        <v>394</v>
      </c>
      <c r="F1802" s="245">
        <v>1034700</v>
      </c>
      <c r="G1802" s="246">
        <v>10355</v>
      </c>
      <c r="H1802" s="242"/>
      <c r="I1802" s="242"/>
      <c r="J1802" s="253"/>
      <c r="K1802" s="226"/>
    </row>
    <row r="1803" spans="1:11" ht="10.15" customHeight="1" x14ac:dyDescent="0.2">
      <c r="A1803" s="248"/>
      <c r="B1803" s="248"/>
      <c r="C1803" s="261"/>
      <c r="D1803" s="244" t="s">
        <v>242</v>
      </c>
      <c r="E1803" s="281"/>
      <c r="F1803" s="257"/>
      <c r="G1803" s="249"/>
      <c r="H1803" s="250">
        <v>2290</v>
      </c>
      <c r="I1803" s="251">
        <f>ROUND(H1803/$H$1805,4)</f>
        <v>0.36670000000000003</v>
      </c>
      <c r="J1803" s="253"/>
      <c r="K1803" s="226"/>
    </row>
    <row r="1804" spans="1:11" ht="10.15" customHeight="1" x14ac:dyDescent="0.2">
      <c r="A1804" s="248"/>
      <c r="B1804" s="248"/>
      <c r="C1804" s="261"/>
      <c r="D1804" s="244" t="s">
        <v>244</v>
      </c>
      <c r="E1804" s="281"/>
      <c r="F1804" s="257"/>
      <c r="G1804" s="249"/>
      <c r="H1804" s="250">
        <v>3955</v>
      </c>
      <c r="I1804" s="251">
        <f>ROUND(H1804/$H$1805,4)</f>
        <v>0.63329999999999997</v>
      </c>
      <c r="J1804" s="252" t="s">
        <v>244</v>
      </c>
      <c r="K1804" s="226"/>
    </row>
    <row r="1805" spans="1:11" ht="10.15" customHeight="1" x14ac:dyDescent="0.2">
      <c r="A1805" s="248"/>
      <c r="B1805" s="248"/>
      <c r="C1805" s="261"/>
      <c r="D1805" s="243" t="s">
        <v>33</v>
      </c>
      <c r="E1805" s="281"/>
      <c r="F1805" s="257"/>
      <c r="G1805" s="249"/>
      <c r="H1805" s="255">
        <f>SUM(H1803:H1804)</f>
        <v>6245</v>
      </c>
      <c r="I1805" s="256">
        <f>SUM(I1803:I1804)</f>
        <v>1</v>
      </c>
      <c r="J1805" s="253"/>
      <c r="K1805" s="226"/>
    </row>
    <row r="1806" spans="1:11" ht="10.15" customHeight="1" x14ac:dyDescent="0.2">
      <c r="A1806" s="248"/>
      <c r="B1806" s="248"/>
      <c r="C1806" s="261"/>
      <c r="D1806" s="249"/>
      <c r="E1806" s="281"/>
      <c r="F1806" s="257"/>
      <c r="G1806" s="249"/>
      <c r="H1806" s="242"/>
      <c r="I1806" s="251"/>
      <c r="J1806" s="253"/>
      <c r="K1806" s="226"/>
    </row>
    <row r="1807" spans="1:11" ht="10.15" customHeight="1" x14ac:dyDescent="0.2">
      <c r="A1807" s="243" t="s">
        <v>29</v>
      </c>
      <c r="B1807" s="243">
        <v>796</v>
      </c>
      <c r="C1807" s="243" t="s">
        <v>236</v>
      </c>
      <c r="D1807" s="244" t="s">
        <v>102</v>
      </c>
      <c r="E1807" s="277" t="s">
        <v>395</v>
      </c>
      <c r="F1807" s="245">
        <v>4924008</v>
      </c>
      <c r="G1807" s="246">
        <v>52891</v>
      </c>
      <c r="H1807" s="242"/>
      <c r="I1807" s="251"/>
      <c r="J1807" s="253"/>
      <c r="K1807" s="226"/>
    </row>
    <row r="1808" spans="1:11" ht="10.15" customHeight="1" x14ac:dyDescent="0.2">
      <c r="A1808" s="248"/>
      <c r="B1808" s="248"/>
      <c r="C1808" s="261"/>
      <c r="D1808" s="244" t="s">
        <v>242</v>
      </c>
      <c r="E1808" s="281"/>
      <c r="F1808" s="257"/>
      <c r="G1808" s="249"/>
      <c r="H1808" s="250">
        <v>2000</v>
      </c>
      <c r="I1808" s="251">
        <f>ROUND(H1808/$H$1810,4)</f>
        <v>7.1400000000000005E-2</v>
      </c>
      <c r="J1808" s="253"/>
      <c r="K1808" s="226"/>
    </row>
    <row r="1809" spans="1:11" ht="12.75" x14ac:dyDescent="0.2">
      <c r="A1809" s="248"/>
      <c r="B1809" s="248"/>
      <c r="C1809" s="261"/>
      <c r="D1809" s="244" t="s">
        <v>246</v>
      </c>
      <c r="E1809" s="281"/>
      <c r="F1809" s="257"/>
      <c r="G1809" s="249"/>
      <c r="H1809" s="250">
        <v>26000</v>
      </c>
      <c r="I1809" s="251">
        <f>ROUND(H1809/$H$1810,4)</f>
        <v>0.92859999999999998</v>
      </c>
      <c r="J1809" s="252" t="s">
        <v>246</v>
      </c>
      <c r="K1809" s="226"/>
    </row>
    <row r="1810" spans="1:11" ht="12.75" x14ac:dyDescent="0.2">
      <c r="A1810" s="248"/>
      <c r="B1810" s="248"/>
      <c r="C1810" s="261"/>
      <c r="D1810" s="243" t="s">
        <v>33</v>
      </c>
      <c r="E1810" s="281"/>
      <c r="F1810" s="257"/>
      <c r="G1810" s="249"/>
      <c r="H1810" s="255">
        <f>SUM(H1808:H1809)</f>
        <v>28000</v>
      </c>
      <c r="I1810" s="256">
        <f>SUM(I1808:I1809)</f>
        <v>1</v>
      </c>
      <c r="J1810" s="253"/>
      <c r="K1810" s="226"/>
    </row>
    <row r="1811" spans="1:11" ht="10.15" customHeight="1" x14ac:dyDescent="0.2">
      <c r="A1811" s="248"/>
      <c r="B1811" s="248"/>
      <c r="C1811" s="261"/>
      <c r="D1811" s="243"/>
      <c r="E1811" s="281"/>
      <c r="F1811" s="257"/>
      <c r="G1811" s="249"/>
      <c r="H1811" s="258"/>
      <c r="I1811" s="259"/>
      <c r="J1811" s="253"/>
      <c r="K1811" s="226"/>
    </row>
    <row r="1812" spans="1:11" ht="10.15" customHeight="1" x14ac:dyDescent="0.2">
      <c r="A1812" s="261" t="s">
        <v>29</v>
      </c>
      <c r="B1812" s="261">
        <v>704</v>
      </c>
      <c r="C1812" s="243" t="s">
        <v>236</v>
      </c>
      <c r="D1812" s="263" t="s">
        <v>30</v>
      </c>
      <c r="E1812" s="336" t="s">
        <v>341</v>
      </c>
      <c r="F1812" s="257">
        <v>2576000</v>
      </c>
      <c r="G1812" s="249">
        <v>25420</v>
      </c>
      <c r="H1812" s="258"/>
      <c r="I1812" s="259"/>
      <c r="J1812" s="253"/>
      <c r="K1812" s="226"/>
    </row>
    <row r="1813" spans="1:11" ht="10.15" customHeight="1" x14ac:dyDescent="0.2">
      <c r="A1813" s="248"/>
      <c r="B1813" s="248"/>
      <c r="C1813" s="261"/>
      <c r="D1813" s="263" t="s">
        <v>263</v>
      </c>
      <c r="E1813" s="281"/>
      <c r="F1813" s="257"/>
      <c r="G1813" s="249"/>
      <c r="H1813" s="258">
        <v>2970</v>
      </c>
      <c r="I1813" s="251">
        <f>ROUND(H1813/$H$1819,4)</f>
        <v>0.18210000000000001</v>
      </c>
      <c r="J1813" s="253" t="s">
        <v>263</v>
      </c>
      <c r="K1813" s="226"/>
    </row>
    <row r="1814" spans="1:11" ht="12.75" x14ac:dyDescent="0.2">
      <c r="A1814" s="248"/>
      <c r="B1814" s="248"/>
      <c r="C1814" s="261"/>
      <c r="D1814" s="244" t="s">
        <v>240</v>
      </c>
      <c r="E1814" s="281"/>
      <c r="F1814" s="257"/>
      <c r="G1814" s="249"/>
      <c r="H1814" s="258">
        <v>1410</v>
      </c>
      <c r="I1814" s="251">
        <f>ROUND(H1814/$H$1819,4)</f>
        <v>8.6499999999999994E-2</v>
      </c>
      <c r="J1814" s="253"/>
      <c r="K1814" s="226"/>
    </row>
    <row r="1815" spans="1:11" ht="12.75" x14ac:dyDescent="0.2">
      <c r="A1815" s="248"/>
      <c r="B1815" s="248"/>
      <c r="C1815" s="261"/>
      <c r="D1815" s="263" t="s">
        <v>286</v>
      </c>
      <c r="E1815" s="281"/>
      <c r="F1815" s="257"/>
      <c r="G1815" s="249"/>
      <c r="H1815" s="258">
        <v>300</v>
      </c>
      <c r="I1815" s="251">
        <f>ROUND(H1815/$H$1819,4)</f>
        <v>1.84E-2</v>
      </c>
      <c r="J1815" s="253"/>
      <c r="K1815" s="226"/>
    </row>
    <row r="1816" spans="1:11" ht="10.15" customHeight="1" x14ac:dyDescent="0.2">
      <c r="A1816" s="248"/>
      <c r="B1816" s="248"/>
      <c r="C1816" s="261"/>
      <c r="D1816" s="263" t="s">
        <v>241</v>
      </c>
      <c r="E1816" s="281"/>
      <c r="F1816" s="257"/>
      <c r="G1816" s="249"/>
      <c r="H1816" s="258">
        <v>5550</v>
      </c>
      <c r="I1816" s="251">
        <f>ROUND(H1816/$H$1819,4)</f>
        <v>0.34029999999999999</v>
      </c>
      <c r="J1816" s="253" t="s">
        <v>241</v>
      </c>
      <c r="K1816" s="226"/>
    </row>
    <row r="1817" spans="1:11" ht="10.15" customHeight="1" x14ac:dyDescent="0.2">
      <c r="A1817" s="248"/>
      <c r="B1817" s="248"/>
      <c r="C1817" s="261"/>
      <c r="D1817" s="263" t="s">
        <v>242</v>
      </c>
      <c r="E1817" s="281"/>
      <c r="F1817" s="257"/>
      <c r="G1817" s="249"/>
      <c r="H1817" s="258">
        <v>5880</v>
      </c>
      <c r="I1817" s="251">
        <f>ROUND(H1817/$H$1819,4)</f>
        <v>0.36049999999999999</v>
      </c>
      <c r="J1817" s="253" t="s">
        <v>242</v>
      </c>
      <c r="K1817" s="226"/>
    </row>
    <row r="1818" spans="1:11" ht="10.15" customHeight="1" x14ac:dyDescent="0.2">
      <c r="A1818" s="248"/>
      <c r="B1818" s="248"/>
      <c r="C1818" s="261"/>
      <c r="D1818" s="263" t="s">
        <v>244</v>
      </c>
      <c r="E1818" s="281"/>
      <c r="F1818" s="257"/>
      <c r="G1818" s="249"/>
      <c r="H1818" s="258">
        <v>200</v>
      </c>
      <c r="I1818" s="251">
        <f>ROUND(H1818/$H$1819,4)-0.0001</f>
        <v>1.2200000000000001E-2</v>
      </c>
      <c r="J1818" s="253"/>
      <c r="K1818" s="226"/>
    </row>
    <row r="1819" spans="1:11" ht="12.75" x14ac:dyDescent="0.2">
      <c r="A1819" s="248"/>
      <c r="B1819" s="248"/>
      <c r="C1819" s="261"/>
      <c r="D1819" s="243" t="s">
        <v>33</v>
      </c>
      <c r="E1819" s="281"/>
      <c r="F1819" s="257"/>
      <c r="G1819" s="249"/>
      <c r="H1819" s="255">
        <f>SUM(H1813:H1818)</f>
        <v>16310</v>
      </c>
      <c r="I1819" s="256">
        <f>SUM(I1813:I1818)</f>
        <v>1</v>
      </c>
      <c r="J1819" s="253"/>
      <c r="K1819" s="226"/>
    </row>
    <row r="1820" spans="1:11" ht="12.75" x14ac:dyDescent="0.2">
      <c r="A1820" s="248"/>
      <c r="B1820" s="248"/>
      <c r="C1820" s="261"/>
      <c r="D1820" s="249"/>
      <c r="E1820" s="281"/>
      <c r="F1820" s="257"/>
      <c r="G1820" s="249"/>
      <c r="H1820" s="242"/>
      <c r="I1820" s="251"/>
      <c r="J1820" s="253"/>
      <c r="K1820" s="226"/>
    </row>
    <row r="1821" spans="1:11" ht="10.15" customHeight="1" x14ac:dyDescent="0.2">
      <c r="A1821" s="261" t="s">
        <v>29</v>
      </c>
      <c r="B1821" s="261">
        <v>719</v>
      </c>
      <c r="C1821" s="243" t="s">
        <v>236</v>
      </c>
      <c r="D1821" s="249" t="s">
        <v>61</v>
      </c>
      <c r="E1821" s="336" t="s">
        <v>396</v>
      </c>
      <c r="F1821" s="257">
        <v>779700</v>
      </c>
      <c r="G1821" s="249">
        <v>9420</v>
      </c>
      <c r="H1821" s="242"/>
      <c r="I1821" s="251"/>
      <c r="J1821" s="253"/>
      <c r="K1821" s="226"/>
    </row>
    <row r="1822" spans="1:11" ht="10.15" customHeight="1" x14ac:dyDescent="0.2">
      <c r="A1822" s="248"/>
      <c r="B1822" s="248"/>
      <c r="C1822" s="261"/>
      <c r="D1822" s="263" t="s">
        <v>241</v>
      </c>
      <c r="E1822" s="281"/>
      <c r="F1822" s="257"/>
      <c r="G1822" s="249"/>
      <c r="H1822" s="242">
        <v>1684</v>
      </c>
      <c r="I1822" s="251">
        <f>ROUND(H1822/$H$1825,4)</f>
        <v>0.30459999999999998</v>
      </c>
      <c r="J1822" s="332" t="s">
        <v>241</v>
      </c>
      <c r="K1822" s="226"/>
    </row>
    <row r="1823" spans="1:11" ht="10.15" customHeight="1" x14ac:dyDescent="0.2">
      <c r="A1823" s="248"/>
      <c r="B1823" s="248"/>
      <c r="C1823" s="261"/>
      <c r="D1823" s="263" t="s">
        <v>242</v>
      </c>
      <c r="E1823" s="281"/>
      <c r="F1823" s="257"/>
      <c r="G1823" s="249"/>
      <c r="H1823" s="242">
        <v>1996</v>
      </c>
      <c r="I1823" s="251">
        <f>ROUND(H1823/$H$1825,4)</f>
        <v>0.36109999999999998</v>
      </c>
      <c r="J1823" s="332" t="s">
        <v>242</v>
      </c>
      <c r="K1823" s="226"/>
    </row>
    <row r="1824" spans="1:11" ht="10.15" customHeight="1" x14ac:dyDescent="0.2">
      <c r="A1824" s="248"/>
      <c r="B1824" s="248"/>
      <c r="C1824" s="261"/>
      <c r="D1824" s="244" t="s">
        <v>264</v>
      </c>
      <c r="E1824" s="281"/>
      <c r="F1824" s="257"/>
      <c r="G1824" s="249"/>
      <c r="H1824" s="242">
        <v>1848</v>
      </c>
      <c r="I1824" s="251">
        <f>ROUND(H1824/$H$1825,4)</f>
        <v>0.33429999999999999</v>
      </c>
      <c r="J1824" s="252" t="s">
        <v>264</v>
      </c>
      <c r="K1824" s="226"/>
    </row>
    <row r="1825" spans="1:11" ht="10.15" customHeight="1" x14ac:dyDescent="0.2">
      <c r="A1825" s="248"/>
      <c r="B1825" s="248"/>
      <c r="C1825" s="261"/>
      <c r="D1825" s="243" t="s">
        <v>33</v>
      </c>
      <c r="E1825" s="281"/>
      <c r="F1825" s="257"/>
      <c r="G1825" s="249"/>
      <c r="H1825" s="265">
        <f>SUM(H1822:H1824)</f>
        <v>5528</v>
      </c>
      <c r="I1825" s="256">
        <f>SUM(I1822:I1824)</f>
        <v>1</v>
      </c>
      <c r="J1825" s="253"/>
      <c r="K1825" s="226"/>
    </row>
    <row r="1826" spans="1:11" ht="10.15" customHeight="1" x14ac:dyDescent="0.2">
      <c r="A1826" s="248"/>
      <c r="B1826" s="248"/>
      <c r="C1826" s="261"/>
      <c r="D1826" s="249"/>
      <c r="E1826" s="281"/>
      <c r="F1826" s="257"/>
      <c r="G1826" s="249"/>
      <c r="H1826" s="242"/>
      <c r="I1826" s="251"/>
      <c r="J1826" s="253"/>
      <c r="K1826" s="226"/>
    </row>
    <row r="1827" spans="1:11" ht="10.15" customHeight="1" x14ac:dyDescent="0.2">
      <c r="A1827" s="261" t="s">
        <v>29</v>
      </c>
      <c r="B1827" s="261">
        <v>700</v>
      </c>
      <c r="C1827" s="261" t="s">
        <v>236</v>
      </c>
      <c r="D1827" s="249" t="s">
        <v>114</v>
      </c>
      <c r="E1827" s="336">
        <v>35827</v>
      </c>
      <c r="F1827" s="257">
        <v>2915000</v>
      </c>
      <c r="G1827" s="249">
        <v>26000</v>
      </c>
      <c r="H1827" s="242"/>
      <c r="I1827" s="251"/>
      <c r="J1827" s="253"/>
      <c r="K1827" s="226"/>
    </row>
    <row r="1828" spans="1:11" ht="10.15" customHeight="1" x14ac:dyDescent="0.2">
      <c r="A1828" s="248"/>
      <c r="B1828" s="248"/>
      <c r="C1828" s="261"/>
      <c r="D1828" s="263" t="s">
        <v>263</v>
      </c>
      <c r="E1828" s="281"/>
      <c r="F1828" s="257"/>
      <c r="G1828" s="249"/>
      <c r="H1828" s="242">
        <v>8082</v>
      </c>
      <c r="I1828" s="251">
        <f>H1828/H1833</f>
        <v>0.44440778620917187</v>
      </c>
      <c r="J1828" s="332" t="s">
        <v>263</v>
      </c>
      <c r="K1828" s="226"/>
    </row>
    <row r="1829" spans="1:11" ht="10.15" customHeight="1" x14ac:dyDescent="0.2">
      <c r="A1829" s="248"/>
      <c r="B1829" s="248"/>
      <c r="C1829" s="261"/>
      <c r="D1829" s="263" t="s">
        <v>292</v>
      </c>
      <c r="E1829" s="281"/>
      <c r="F1829" s="257"/>
      <c r="G1829" s="249"/>
      <c r="H1829" s="242">
        <v>7984</v>
      </c>
      <c r="I1829" s="251">
        <f>H1829/H1833</f>
        <v>0.43901902562410644</v>
      </c>
      <c r="J1829" s="332" t="s">
        <v>292</v>
      </c>
      <c r="K1829" s="226"/>
    </row>
    <row r="1830" spans="1:11" ht="10.15" customHeight="1" x14ac:dyDescent="0.2">
      <c r="A1830" s="248"/>
      <c r="B1830" s="248"/>
      <c r="C1830" s="261"/>
      <c r="D1830" s="244" t="s">
        <v>295</v>
      </c>
      <c r="E1830" s="281"/>
      <c r="F1830" s="257"/>
      <c r="G1830" s="249"/>
      <c r="H1830" s="242">
        <v>312</v>
      </c>
      <c r="I1830" s="251">
        <f>H1830/H1833</f>
        <v>1.7156054107555264E-2</v>
      </c>
      <c r="J1830" s="332"/>
      <c r="K1830" s="226"/>
    </row>
    <row r="1831" spans="1:11" ht="10.15" customHeight="1" x14ac:dyDescent="0.2">
      <c r="A1831" s="248"/>
      <c r="B1831" s="248"/>
      <c r="C1831" s="261"/>
      <c r="D1831" s="244" t="s">
        <v>290</v>
      </c>
      <c r="E1831" s="281"/>
      <c r="F1831" s="257"/>
      <c r="G1831" s="249"/>
      <c r="H1831" s="242">
        <v>468</v>
      </c>
      <c r="I1831" s="251">
        <f>H1831/H1833</f>
        <v>2.5734081161332894E-2</v>
      </c>
      <c r="J1831" s="332"/>
      <c r="K1831" s="226"/>
    </row>
    <row r="1832" spans="1:11" ht="10.15" customHeight="1" x14ac:dyDescent="0.2">
      <c r="A1832" s="248"/>
      <c r="B1832" s="248"/>
      <c r="C1832" s="261"/>
      <c r="D1832" s="244" t="s">
        <v>287</v>
      </c>
      <c r="E1832" s="281"/>
      <c r="F1832" s="257"/>
      <c r="G1832" s="249"/>
      <c r="H1832" s="242">
        <v>1340</v>
      </c>
      <c r="I1832" s="251">
        <f>H1832/H1833</f>
        <v>7.3683052897833501E-2</v>
      </c>
      <c r="J1832" s="252"/>
      <c r="K1832" s="226"/>
    </row>
    <row r="1833" spans="1:11" ht="10.15" customHeight="1" x14ac:dyDescent="0.2">
      <c r="A1833" s="248"/>
      <c r="B1833" s="248"/>
      <c r="C1833" s="261"/>
      <c r="D1833" s="243" t="s">
        <v>33</v>
      </c>
      <c r="E1833" s="281"/>
      <c r="F1833" s="257"/>
      <c r="G1833" s="249"/>
      <c r="H1833" s="265">
        <f>SUM(H1828:H1832)</f>
        <v>18186</v>
      </c>
      <c r="I1833" s="256">
        <f>SUM(I1828:I1832)</f>
        <v>1</v>
      </c>
      <c r="J1833" s="253"/>
      <c r="K1833" s="226"/>
    </row>
    <row r="1834" spans="1:11" ht="10.15" customHeight="1" x14ac:dyDescent="0.2">
      <c r="A1834" s="248"/>
      <c r="B1834" s="248"/>
      <c r="C1834" s="261"/>
      <c r="D1834" s="243"/>
      <c r="E1834" s="281"/>
      <c r="F1834" s="257"/>
      <c r="G1834" s="249"/>
      <c r="H1834" s="249"/>
      <c r="I1834" s="262"/>
      <c r="J1834" s="253"/>
      <c r="K1834" s="226"/>
    </row>
    <row r="1835" spans="1:11" ht="10.15" customHeight="1" x14ac:dyDescent="0.2">
      <c r="A1835" s="261" t="s">
        <v>29</v>
      </c>
      <c r="B1835" s="243">
        <v>716</v>
      </c>
      <c r="C1835" s="243" t="s">
        <v>236</v>
      </c>
      <c r="D1835" s="244" t="s">
        <v>484</v>
      </c>
      <c r="E1835" s="277">
        <v>37745</v>
      </c>
      <c r="F1835" s="245">
        <v>2104000</v>
      </c>
      <c r="G1835" s="246">
        <v>14401</v>
      </c>
      <c r="H1835" s="242"/>
      <c r="I1835" s="242"/>
      <c r="J1835" s="253"/>
      <c r="K1835" s="226"/>
    </row>
    <row r="1836" spans="1:11" ht="10.15" customHeight="1" x14ac:dyDescent="0.2">
      <c r="A1836" s="248"/>
      <c r="B1836" s="248"/>
      <c r="C1836" s="261"/>
      <c r="D1836" s="244" t="s">
        <v>263</v>
      </c>
      <c r="E1836" s="281"/>
      <c r="F1836" s="257"/>
      <c r="G1836" s="249"/>
      <c r="H1836" s="250">
        <v>4118</v>
      </c>
      <c r="I1836" s="251">
        <f>H1836/$H$1841</f>
        <v>0.45178277564454195</v>
      </c>
      <c r="J1836" s="252" t="s">
        <v>263</v>
      </c>
      <c r="K1836" s="226"/>
    </row>
    <row r="1837" spans="1:11" ht="10.15" customHeight="1" x14ac:dyDescent="0.2">
      <c r="A1837" s="248"/>
      <c r="B1837" s="248"/>
      <c r="C1837" s="261"/>
      <c r="D1837" s="244" t="s">
        <v>264</v>
      </c>
      <c r="E1837" s="281"/>
      <c r="F1837" s="257"/>
      <c r="G1837" s="249"/>
      <c r="H1837" s="250">
        <v>1195</v>
      </c>
      <c r="I1837" s="251">
        <f>H1837/$H$1841</f>
        <v>0.13110257816785517</v>
      </c>
      <c r="J1837" s="252"/>
      <c r="K1837" s="226"/>
    </row>
    <row r="1838" spans="1:11" ht="10.15" customHeight="1" x14ac:dyDescent="0.2">
      <c r="A1838" s="248"/>
      <c r="B1838" s="248"/>
      <c r="C1838" s="261"/>
      <c r="D1838" s="244" t="s">
        <v>295</v>
      </c>
      <c r="E1838" s="281"/>
      <c r="F1838" s="257"/>
      <c r="G1838" s="249"/>
      <c r="H1838" s="250">
        <v>460</v>
      </c>
      <c r="I1838" s="251">
        <f>H1838/$H$1841</f>
        <v>5.0466264399341744E-2</v>
      </c>
      <c r="J1838" s="253"/>
      <c r="K1838" s="226"/>
    </row>
    <row r="1839" spans="1:11" ht="10.15" customHeight="1" x14ac:dyDescent="0.2">
      <c r="A1839" s="248"/>
      <c r="B1839" s="248"/>
      <c r="C1839" s="261"/>
      <c r="D1839" s="244" t="s">
        <v>290</v>
      </c>
      <c r="E1839" s="281"/>
      <c r="F1839" s="257"/>
      <c r="G1839" s="249"/>
      <c r="H1839" s="250">
        <v>3262</v>
      </c>
      <c r="I1839" s="251">
        <f>H1839/$H$1841</f>
        <v>0.35787164015359296</v>
      </c>
      <c r="J1839" s="252" t="s">
        <v>290</v>
      </c>
      <c r="K1839" s="226"/>
    </row>
    <row r="1840" spans="1:11" ht="10.15" customHeight="1" x14ac:dyDescent="0.2">
      <c r="A1840" s="248"/>
      <c r="B1840" s="248"/>
      <c r="C1840" s="261"/>
      <c r="D1840" s="254" t="s">
        <v>294</v>
      </c>
      <c r="E1840" s="281"/>
      <c r="F1840" s="257"/>
      <c r="G1840" s="249"/>
      <c r="H1840" s="250">
        <v>80</v>
      </c>
      <c r="I1840" s="251">
        <f>H1840/$H$1841</f>
        <v>8.7767416346681299E-3</v>
      </c>
      <c r="J1840" s="253"/>
      <c r="K1840" s="226"/>
    </row>
    <row r="1841" spans="1:11" ht="10.15" customHeight="1" x14ac:dyDescent="0.2">
      <c r="A1841" s="248"/>
      <c r="B1841" s="248"/>
      <c r="C1841" s="261"/>
      <c r="D1841" s="243" t="s">
        <v>33</v>
      </c>
      <c r="E1841" s="281"/>
      <c r="F1841" s="257"/>
      <c r="G1841" s="249"/>
      <c r="H1841" s="255">
        <f>SUM(H1836:H1840)</f>
        <v>9115</v>
      </c>
      <c r="I1841" s="256">
        <f>SUM(I1836:I1840)</f>
        <v>1</v>
      </c>
      <c r="J1841" s="253"/>
      <c r="K1841" s="226"/>
    </row>
    <row r="1842" spans="1:11" ht="10.15" customHeight="1" x14ac:dyDescent="0.2">
      <c r="A1842" s="248"/>
      <c r="B1842" s="248"/>
      <c r="C1842" s="261"/>
      <c r="D1842" s="243"/>
      <c r="E1842" s="281"/>
      <c r="F1842" s="257"/>
      <c r="G1842" s="249"/>
      <c r="H1842" s="246"/>
      <c r="I1842" s="262"/>
      <c r="J1842" s="253"/>
      <c r="K1842" s="226"/>
    </row>
    <row r="1843" spans="1:11" ht="10.15" customHeight="1" x14ac:dyDescent="0.2">
      <c r="A1843" s="261" t="s">
        <v>29</v>
      </c>
      <c r="B1843" s="243">
        <v>708</v>
      </c>
      <c r="C1843" s="243" t="s">
        <v>291</v>
      </c>
      <c r="D1843" s="244" t="s">
        <v>485</v>
      </c>
      <c r="E1843" s="277">
        <v>37841</v>
      </c>
      <c r="F1843" s="245">
        <v>12763601</v>
      </c>
      <c r="G1843" s="246">
        <v>108358</v>
      </c>
      <c r="H1843" s="242"/>
      <c r="I1843" s="242"/>
      <c r="J1843" s="253"/>
      <c r="K1843" s="226"/>
    </row>
    <row r="1844" spans="1:11" ht="10.15" customHeight="1" x14ac:dyDescent="0.2">
      <c r="A1844" s="248"/>
      <c r="B1844" s="248"/>
      <c r="C1844" s="261"/>
      <c r="D1844" s="244" t="s">
        <v>263</v>
      </c>
      <c r="E1844" s="281"/>
      <c r="F1844" s="257"/>
      <c r="G1844" s="249"/>
      <c r="H1844" s="250">
        <v>4200</v>
      </c>
      <c r="I1844" s="251">
        <f>H1844/$H$1849</f>
        <v>4.8904310565659859E-2</v>
      </c>
      <c r="J1844" s="252"/>
      <c r="K1844" s="226"/>
    </row>
    <row r="1845" spans="1:11" ht="10.15" customHeight="1" x14ac:dyDescent="0.2">
      <c r="A1845" s="248"/>
      <c r="B1845" s="248"/>
      <c r="C1845" s="261"/>
      <c r="D1845" s="263" t="s">
        <v>292</v>
      </c>
      <c r="E1845" s="281"/>
      <c r="F1845" s="257"/>
      <c r="G1845" s="249"/>
      <c r="H1845" s="250">
        <v>6180</v>
      </c>
      <c r="I1845" s="251">
        <f>H1845/$H$1849</f>
        <v>7.1959199832328083E-2</v>
      </c>
      <c r="J1845" s="252"/>
      <c r="K1845" s="226"/>
    </row>
    <row r="1846" spans="1:11" ht="10.15" customHeight="1" x14ac:dyDescent="0.2">
      <c r="A1846" s="248"/>
      <c r="B1846" s="248"/>
      <c r="C1846" s="261"/>
      <c r="D1846" s="263" t="s">
        <v>486</v>
      </c>
      <c r="E1846" s="281"/>
      <c r="F1846" s="257"/>
      <c r="G1846" s="249"/>
      <c r="H1846" s="250">
        <v>67682</v>
      </c>
      <c r="I1846" s="251">
        <f>H1846/$H$1849</f>
        <v>0.78808132088214056</v>
      </c>
      <c r="J1846" s="332" t="s">
        <v>486</v>
      </c>
      <c r="K1846" s="226"/>
    </row>
    <row r="1847" spans="1:11" ht="10.15" customHeight="1" x14ac:dyDescent="0.2">
      <c r="A1847" s="248"/>
      <c r="B1847" s="248"/>
      <c r="C1847" s="261"/>
      <c r="D1847" s="244" t="s">
        <v>290</v>
      </c>
      <c r="E1847" s="281"/>
      <c r="F1847" s="257"/>
      <c r="G1847" s="249"/>
      <c r="H1847" s="250">
        <v>6220</v>
      </c>
      <c r="I1847" s="251">
        <f>H1847/$H$1849</f>
        <v>7.2424955171048647E-2</v>
      </c>
      <c r="J1847" s="252"/>
      <c r="K1847" s="226"/>
    </row>
    <row r="1848" spans="1:11" ht="10.15" customHeight="1" x14ac:dyDescent="0.2">
      <c r="A1848" s="248"/>
      <c r="B1848" s="248"/>
      <c r="C1848" s="261"/>
      <c r="D1848" s="254" t="s">
        <v>294</v>
      </c>
      <c r="E1848" s="281"/>
      <c r="F1848" s="257"/>
      <c r="G1848" s="249"/>
      <c r="H1848" s="250">
        <v>1600</v>
      </c>
      <c r="I1848" s="251">
        <f>H1848/$H$1849</f>
        <v>1.8630213548822803E-2</v>
      </c>
      <c r="J1848" s="253"/>
      <c r="K1848" s="226"/>
    </row>
    <row r="1849" spans="1:11" ht="10.15" customHeight="1" x14ac:dyDescent="0.2">
      <c r="A1849" s="248"/>
      <c r="B1849" s="248"/>
      <c r="C1849" s="261"/>
      <c r="D1849" s="243" t="s">
        <v>33</v>
      </c>
      <c r="E1849" s="281"/>
      <c r="F1849" s="257"/>
      <c r="G1849" s="249"/>
      <c r="H1849" s="255">
        <f>SUM(H1844:H1848)</f>
        <v>85882</v>
      </c>
      <c r="I1849" s="256">
        <f>SUM(I1844:I1848)</f>
        <v>0.99999999999999989</v>
      </c>
      <c r="J1849" s="253"/>
      <c r="K1849" s="226"/>
    </row>
    <row r="1850" spans="1:11" ht="10.15" customHeight="1" x14ac:dyDescent="0.2">
      <c r="A1850" s="248"/>
      <c r="B1850" s="248"/>
      <c r="C1850" s="261"/>
      <c r="D1850" s="243"/>
      <c r="E1850" s="281"/>
      <c r="F1850" s="257"/>
      <c r="G1850" s="249"/>
      <c r="H1850" s="246"/>
      <c r="I1850" s="262"/>
      <c r="J1850" s="253"/>
      <c r="K1850" s="226"/>
    </row>
    <row r="1851" spans="1:11" ht="10.15" customHeight="1" x14ac:dyDescent="0.2">
      <c r="A1851" s="261" t="s">
        <v>29</v>
      </c>
      <c r="B1851" s="243"/>
      <c r="C1851" s="243" t="s">
        <v>291</v>
      </c>
      <c r="D1851" s="244" t="s">
        <v>585</v>
      </c>
      <c r="E1851" s="277">
        <v>39600</v>
      </c>
      <c r="F1851" s="245">
        <v>22381425</v>
      </c>
      <c r="G1851" s="246">
        <v>94719</v>
      </c>
      <c r="H1851" s="242"/>
      <c r="I1851" s="242"/>
      <c r="J1851" s="253"/>
      <c r="K1851" s="226"/>
    </row>
    <row r="1852" spans="1:11" ht="10.15" customHeight="1" x14ac:dyDescent="0.2">
      <c r="A1852" s="248"/>
      <c r="B1852" s="248"/>
      <c r="C1852" s="261"/>
      <c r="D1852" s="244" t="s">
        <v>263</v>
      </c>
      <c r="E1852" s="281"/>
      <c r="F1852" s="257"/>
      <c r="G1852" s="249"/>
      <c r="H1852" s="250">
        <v>13961</v>
      </c>
      <c r="I1852" s="251">
        <f>H1852/$H$1859</f>
        <v>0.25412745508491547</v>
      </c>
      <c r="J1852" s="253" t="s">
        <v>16</v>
      </c>
      <c r="K1852" s="226"/>
    </row>
    <row r="1853" spans="1:11" ht="10.15" customHeight="1" x14ac:dyDescent="0.2">
      <c r="A1853" s="248"/>
      <c r="B1853" s="248"/>
      <c r="C1853" s="261"/>
      <c r="D1853" s="263" t="s">
        <v>292</v>
      </c>
      <c r="E1853" s="281"/>
      <c r="F1853" s="257"/>
      <c r="G1853" s="249"/>
      <c r="H1853" s="250">
        <v>16682</v>
      </c>
      <c r="I1853" s="251">
        <f t="shared" ref="I1853:I1858" si="45">H1853/$H$1859</f>
        <v>0.30365691610390083</v>
      </c>
      <c r="J1853" s="253" t="s">
        <v>108</v>
      </c>
      <c r="K1853" s="226"/>
    </row>
    <row r="1854" spans="1:11" ht="10.15" customHeight="1" x14ac:dyDescent="0.2">
      <c r="A1854" s="248"/>
      <c r="B1854" s="248"/>
      <c r="C1854" s="261"/>
      <c r="D1854" s="263" t="s">
        <v>586</v>
      </c>
      <c r="E1854" s="281"/>
      <c r="F1854" s="257"/>
      <c r="G1854" s="249"/>
      <c r="H1854" s="250">
        <v>925</v>
      </c>
      <c r="I1854" s="251">
        <f t="shared" si="45"/>
        <v>1.683746837286346E-2</v>
      </c>
      <c r="J1854" s="253"/>
      <c r="K1854" s="226"/>
    </row>
    <row r="1855" spans="1:11" ht="10.15" customHeight="1" x14ac:dyDescent="0.2">
      <c r="A1855" s="248"/>
      <c r="B1855" s="248"/>
      <c r="C1855" s="261"/>
      <c r="D1855" s="244" t="s">
        <v>295</v>
      </c>
      <c r="E1855" s="281"/>
      <c r="F1855" s="257"/>
      <c r="G1855" s="249"/>
      <c r="H1855" s="250">
        <v>631</v>
      </c>
      <c r="I1855" s="251">
        <f t="shared" si="45"/>
        <v>1.1485883830569562E-2</v>
      </c>
      <c r="J1855" s="253"/>
      <c r="K1855" s="226"/>
    </row>
    <row r="1856" spans="1:11" ht="10.15" customHeight="1" x14ac:dyDescent="0.2">
      <c r="A1856" s="248"/>
      <c r="B1856" s="248"/>
      <c r="C1856" s="261"/>
      <c r="D1856" s="244" t="s">
        <v>290</v>
      </c>
      <c r="E1856" s="281"/>
      <c r="F1856" s="257"/>
      <c r="G1856" s="249"/>
      <c r="H1856" s="250">
        <v>13826</v>
      </c>
      <c r="I1856" s="251">
        <f t="shared" si="45"/>
        <v>0.25167009483590297</v>
      </c>
      <c r="J1856" s="253" t="s">
        <v>63</v>
      </c>
      <c r="K1856" s="226"/>
    </row>
    <row r="1857" spans="1:11" ht="10.15" customHeight="1" x14ac:dyDescent="0.2">
      <c r="A1857" s="248"/>
      <c r="B1857" s="248"/>
      <c r="C1857" s="261"/>
      <c r="D1857" s="254" t="s">
        <v>294</v>
      </c>
      <c r="E1857" s="281"/>
      <c r="F1857" s="257"/>
      <c r="G1857" s="249"/>
      <c r="H1857" s="250">
        <v>8068</v>
      </c>
      <c r="I1857" s="251">
        <f t="shared" si="45"/>
        <v>0.14685912954839178</v>
      </c>
      <c r="J1857" s="253"/>
      <c r="K1857" s="226"/>
    </row>
    <row r="1858" spans="1:11" ht="10.15" customHeight="1" x14ac:dyDescent="0.2">
      <c r="A1858" s="248"/>
      <c r="B1858" s="248"/>
      <c r="C1858" s="261"/>
      <c r="D1858" s="244" t="s">
        <v>480</v>
      </c>
      <c r="E1858" s="281"/>
      <c r="F1858" s="257"/>
      <c r="G1858" s="249"/>
      <c r="H1858" s="250">
        <v>844</v>
      </c>
      <c r="I1858" s="251">
        <f t="shared" si="45"/>
        <v>1.5363052223455959E-2</v>
      </c>
      <c r="J1858" s="253"/>
      <c r="K1858" s="226"/>
    </row>
    <row r="1859" spans="1:11" ht="10.15" customHeight="1" x14ac:dyDescent="0.2">
      <c r="A1859" s="248"/>
      <c r="B1859" s="248"/>
      <c r="C1859" s="261"/>
      <c r="D1859" s="243" t="s">
        <v>33</v>
      </c>
      <c r="E1859" s="281"/>
      <c r="F1859" s="257"/>
      <c r="G1859" s="249"/>
      <c r="H1859" s="255">
        <f>SUM(H1852:H1858)</f>
        <v>54937</v>
      </c>
      <c r="I1859" s="256">
        <f>SUM(I1852:I1858)</f>
        <v>1</v>
      </c>
      <c r="J1859" s="253"/>
      <c r="K1859" s="226"/>
    </row>
    <row r="1860" spans="1:11" ht="10.15" customHeight="1" x14ac:dyDescent="0.2">
      <c r="A1860" s="248"/>
      <c r="B1860" s="248"/>
      <c r="C1860" s="261"/>
      <c r="D1860" s="243"/>
      <c r="E1860" s="281"/>
      <c r="F1860" s="257"/>
      <c r="G1860" s="249"/>
      <c r="H1860" s="246"/>
      <c r="I1860" s="262"/>
      <c r="J1860" s="253"/>
      <c r="K1860" s="226"/>
    </row>
    <row r="1861" spans="1:11" ht="10.15" customHeight="1" x14ac:dyDescent="0.2">
      <c r="A1861" s="261" t="s">
        <v>29</v>
      </c>
      <c r="B1861" s="243">
        <v>716</v>
      </c>
      <c r="C1861" s="243" t="s">
        <v>236</v>
      </c>
      <c r="D1861" s="244" t="s">
        <v>632</v>
      </c>
      <c r="E1861" s="281">
        <v>40223</v>
      </c>
      <c r="F1861" s="257">
        <v>3396700</v>
      </c>
      <c r="G1861" s="249">
        <v>19832</v>
      </c>
      <c r="H1861" s="246"/>
      <c r="I1861" s="262"/>
      <c r="J1861" s="253"/>
      <c r="K1861" s="226"/>
    </row>
    <row r="1862" spans="1:11" ht="10.15" customHeight="1" x14ac:dyDescent="0.2">
      <c r="A1862" s="248"/>
      <c r="B1862" s="248"/>
      <c r="C1862" s="261"/>
      <c r="D1862" s="244" t="s">
        <v>290</v>
      </c>
      <c r="E1862" s="281"/>
      <c r="F1862" s="257"/>
      <c r="G1862" s="249"/>
      <c r="H1862" s="246">
        <v>3760</v>
      </c>
      <c r="I1862" s="262">
        <f>H1862/H1864</f>
        <v>0.43303005873546008</v>
      </c>
      <c r="J1862" s="252" t="s">
        <v>290</v>
      </c>
      <c r="K1862" s="226"/>
    </row>
    <row r="1863" spans="1:11" ht="10.15" customHeight="1" x14ac:dyDescent="0.2">
      <c r="A1863" s="248"/>
      <c r="B1863" s="248"/>
      <c r="C1863" s="261"/>
      <c r="D1863" s="244" t="s">
        <v>287</v>
      </c>
      <c r="E1863" s="281"/>
      <c r="F1863" s="257"/>
      <c r="G1863" s="249"/>
      <c r="H1863" s="246">
        <v>4923</v>
      </c>
      <c r="I1863" s="262">
        <f>H1863/H1864</f>
        <v>0.56696994126453992</v>
      </c>
      <c r="J1863" s="253"/>
      <c r="K1863" s="226"/>
    </row>
    <row r="1864" spans="1:11" ht="10.15" customHeight="1" x14ac:dyDescent="0.2">
      <c r="A1864" s="248"/>
      <c r="B1864" s="248"/>
      <c r="C1864" s="261"/>
      <c r="D1864" s="243" t="s">
        <v>33</v>
      </c>
      <c r="E1864" s="281"/>
      <c r="F1864" s="257"/>
      <c r="G1864" s="249"/>
      <c r="H1864" s="333">
        <f>SUM(H1862:H1863)</f>
        <v>8683</v>
      </c>
      <c r="I1864" s="283">
        <f>SUM(I1862:I1863)</f>
        <v>1</v>
      </c>
      <c r="J1864" s="253"/>
      <c r="K1864" s="226"/>
    </row>
    <row r="1865" spans="1:11" ht="10.15" customHeight="1" x14ac:dyDescent="0.2">
      <c r="A1865" s="248"/>
      <c r="B1865" s="248"/>
      <c r="C1865" s="261"/>
      <c r="D1865" s="243"/>
      <c r="E1865" s="281"/>
      <c r="F1865" s="257"/>
      <c r="G1865" s="249"/>
      <c r="H1865" s="246"/>
      <c r="I1865" s="262"/>
      <c r="J1865" s="253"/>
      <c r="K1865" s="226"/>
    </row>
    <row r="1866" spans="1:11" ht="10.15" customHeight="1" x14ac:dyDescent="0.2">
      <c r="A1866" s="261" t="s">
        <v>29</v>
      </c>
      <c r="B1866" s="248"/>
      <c r="C1866" s="261" t="s">
        <v>638</v>
      </c>
      <c r="D1866" s="263" t="s">
        <v>639</v>
      </c>
      <c r="E1866" s="281">
        <v>41091</v>
      </c>
      <c r="F1866" s="257">
        <v>13810164</v>
      </c>
      <c r="G1866" s="249">
        <v>44380</v>
      </c>
      <c r="H1866" s="246"/>
      <c r="I1866" s="262"/>
      <c r="J1866" s="253"/>
      <c r="K1866" s="226"/>
    </row>
    <row r="1867" spans="1:11" ht="10.15" customHeight="1" x14ac:dyDescent="0.2">
      <c r="A1867" s="248"/>
      <c r="B1867" s="248"/>
      <c r="C1867" s="261"/>
      <c r="D1867" s="244" t="s">
        <v>263</v>
      </c>
      <c r="E1867" s="281"/>
      <c r="F1867" s="257"/>
      <c r="G1867" s="249"/>
      <c r="H1867" s="246">
        <v>3020</v>
      </c>
      <c r="I1867" s="262">
        <f>H1867/$H$1872</f>
        <v>0.15745568300312826</v>
      </c>
      <c r="J1867" s="253"/>
      <c r="K1867" s="226"/>
    </row>
    <row r="1868" spans="1:11" s="10" customFormat="1" ht="10.15" customHeight="1" x14ac:dyDescent="0.2">
      <c r="A1868" s="248"/>
      <c r="B1868" s="248"/>
      <c r="C1868" s="261"/>
      <c r="D1868" s="263" t="s">
        <v>292</v>
      </c>
      <c r="E1868" s="281"/>
      <c r="F1868" s="257"/>
      <c r="G1868" s="249"/>
      <c r="H1868" s="246">
        <v>3116</v>
      </c>
      <c r="I1868" s="262">
        <f>H1868/$H$1872</f>
        <v>0.16246089676746611</v>
      </c>
      <c r="J1868" s="253"/>
      <c r="K1868" s="226"/>
    </row>
    <row r="1869" spans="1:11" ht="10.15" customHeight="1" x14ac:dyDescent="0.2">
      <c r="A1869" s="248"/>
      <c r="B1869" s="248"/>
      <c r="C1869" s="261"/>
      <c r="D1869" s="244" t="s">
        <v>286</v>
      </c>
      <c r="E1869" s="281"/>
      <c r="F1869" s="257"/>
      <c r="G1869" s="249"/>
      <c r="H1869" s="246">
        <v>2131</v>
      </c>
      <c r="I1869" s="262">
        <f>H1869/$H$1872</f>
        <v>0.1111053180396246</v>
      </c>
      <c r="J1869" s="253"/>
      <c r="K1869" s="226"/>
    </row>
    <row r="1870" spans="1:11" ht="10.15" customHeight="1" x14ac:dyDescent="0.2">
      <c r="A1870" s="248"/>
      <c r="B1870" s="248"/>
      <c r="C1870" s="261"/>
      <c r="D1870" s="244" t="s">
        <v>295</v>
      </c>
      <c r="E1870" s="281"/>
      <c r="F1870" s="257"/>
      <c r="G1870" s="249"/>
      <c r="H1870" s="246">
        <v>3468</v>
      </c>
      <c r="I1870" s="262">
        <f>H1870/$H$1872</f>
        <v>0.18081334723670489</v>
      </c>
      <c r="J1870" s="253"/>
      <c r="K1870" s="226"/>
    </row>
    <row r="1871" spans="1:11" ht="10.15" customHeight="1" x14ac:dyDescent="0.2">
      <c r="A1871" s="248"/>
      <c r="B1871" s="248"/>
      <c r="C1871" s="261"/>
      <c r="D1871" s="244" t="s">
        <v>290</v>
      </c>
      <c r="E1871" s="281"/>
      <c r="F1871" s="257"/>
      <c r="G1871" s="249"/>
      <c r="H1871" s="246">
        <v>7445</v>
      </c>
      <c r="I1871" s="262">
        <f>H1871/$H$1872</f>
        <v>0.38816475495307612</v>
      </c>
      <c r="J1871" s="252" t="s">
        <v>290</v>
      </c>
      <c r="K1871" s="226"/>
    </row>
    <row r="1872" spans="1:11" ht="10.15" customHeight="1" x14ac:dyDescent="0.2">
      <c r="A1872" s="248"/>
      <c r="B1872" s="248"/>
      <c r="C1872" s="261"/>
      <c r="D1872" s="243" t="s">
        <v>33</v>
      </c>
      <c r="E1872" s="281"/>
      <c r="F1872" s="257"/>
      <c r="G1872" s="249"/>
      <c r="H1872" s="333">
        <f>SUM(H1867:H1871)</f>
        <v>19180</v>
      </c>
      <c r="I1872" s="283">
        <f>SUM(I1867:I1871)</f>
        <v>1</v>
      </c>
      <c r="J1872" s="253"/>
      <c r="K1872" s="226"/>
    </row>
    <row r="1873" spans="1:11" ht="10.15" customHeight="1" x14ac:dyDescent="0.2">
      <c r="A1873" s="248"/>
      <c r="B1873" s="248"/>
      <c r="C1873" s="261"/>
      <c r="D1873" s="243"/>
      <c r="E1873" s="281"/>
      <c r="F1873" s="257"/>
      <c r="G1873" s="249"/>
      <c r="H1873" s="246"/>
      <c r="I1873" s="262"/>
      <c r="J1873" s="253"/>
      <c r="K1873" s="226"/>
    </row>
    <row r="1874" spans="1:11" ht="10.15" customHeight="1" x14ac:dyDescent="0.2">
      <c r="A1874" s="261" t="s">
        <v>29</v>
      </c>
      <c r="B1874" s="248"/>
      <c r="C1874" s="261" t="s">
        <v>291</v>
      </c>
      <c r="D1874" s="263" t="s">
        <v>707</v>
      </c>
      <c r="E1874" s="281">
        <v>43198</v>
      </c>
      <c r="F1874" s="257">
        <v>6518063</v>
      </c>
      <c r="G1874" s="249">
        <v>34353</v>
      </c>
      <c r="H1874" s="246"/>
      <c r="I1874" s="262"/>
      <c r="J1874" s="248"/>
      <c r="K1874" s="226"/>
    </row>
    <row r="1875" spans="1:11" ht="12.75" x14ac:dyDescent="0.2">
      <c r="A1875" s="248"/>
      <c r="B1875" s="248"/>
      <c r="C1875" s="261"/>
      <c r="D1875" s="308" t="s">
        <v>42</v>
      </c>
      <c r="E1875" s="281"/>
      <c r="F1875" s="257"/>
      <c r="G1875" s="249"/>
      <c r="H1875" s="246">
        <v>503</v>
      </c>
      <c r="I1875" s="262">
        <f>H1875/$H$1879</f>
        <v>2.5969332438432548E-2</v>
      </c>
      <c r="J1875" s="253"/>
      <c r="K1875" s="226"/>
    </row>
    <row r="1876" spans="1:11" ht="10.15" customHeight="1" x14ac:dyDescent="0.2">
      <c r="A1876" s="248"/>
      <c r="B1876" s="248"/>
      <c r="C1876" s="261"/>
      <c r="D1876" s="308" t="s">
        <v>93</v>
      </c>
      <c r="E1876" s="281"/>
      <c r="F1876" s="257"/>
      <c r="G1876" s="249"/>
      <c r="H1876" s="246">
        <v>9965</v>
      </c>
      <c r="I1876" s="262">
        <f>H1876/$H$1879</f>
        <v>0.51448190407351957</v>
      </c>
      <c r="J1876" s="334" t="s">
        <v>93</v>
      </c>
      <c r="K1876" s="226"/>
    </row>
    <row r="1877" spans="1:11" ht="10.15" customHeight="1" x14ac:dyDescent="0.2">
      <c r="A1877" s="248"/>
      <c r="B1877" s="248"/>
      <c r="C1877" s="261"/>
      <c r="D1877" s="244" t="s">
        <v>605</v>
      </c>
      <c r="E1877" s="281"/>
      <c r="F1877" s="257"/>
      <c r="G1877" s="249"/>
      <c r="H1877" s="246">
        <v>5737</v>
      </c>
      <c r="I1877" s="262">
        <f>H1877/$H$1879</f>
        <v>0.2961949506944086</v>
      </c>
      <c r="J1877" s="252" t="s">
        <v>290</v>
      </c>
      <c r="K1877" s="226"/>
    </row>
    <row r="1878" spans="1:11" ht="10.15" customHeight="1" x14ac:dyDescent="0.2">
      <c r="A1878" s="248"/>
      <c r="B1878" s="248"/>
      <c r="C1878" s="261"/>
      <c r="D1878" s="308" t="s">
        <v>693</v>
      </c>
      <c r="E1878" s="281"/>
      <c r="F1878" s="257"/>
      <c r="G1878" s="249"/>
      <c r="H1878" s="246">
        <v>3164</v>
      </c>
      <c r="I1878" s="262">
        <f>H1878/$H$1879</f>
        <v>0.16335381279363931</v>
      </c>
      <c r="J1878" s="252"/>
      <c r="K1878" s="226"/>
    </row>
    <row r="1879" spans="1:11" ht="10.15" customHeight="1" x14ac:dyDescent="0.2">
      <c r="A1879" s="248"/>
      <c r="B1879" s="248"/>
      <c r="C1879" s="261"/>
      <c r="D1879" s="243" t="s">
        <v>33</v>
      </c>
      <c r="E1879" s="281"/>
      <c r="F1879" s="257"/>
      <c r="G1879" s="249"/>
      <c r="H1879" s="333">
        <f>SUM(H1875:H1878)</f>
        <v>19369</v>
      </c>
      <c r="I1879" s="283">
        <f>SUM(I1875:I1878)</f>
        <v>1</v>
      </c>
      <c r="J1879" s="253"/>
      <c r="K1879" s="226"/>
    </row>
    <row r="1880" spans="1:11" ht="10.15" customHeight="1" x14ac:dyDescent="0.2">
      <c r="A1880" s="248"/>
      <c r="B1880" s="248"/>
      <c r="C1880" s="261"/>
      <c r="D1880" s="243"/>
      <c r="E1880" s="281"/>
      <c r="F1880" s="257"/>
      <c r="G1880" s="249"/>
      <c r="H1880" s="246"/>
      <c r="I1880" s="262"/>
      <c r="J1880" s="253"/>
      <c r="K1880" s="226"/>
    </row>
    <row r="1881" spans="1:11" ht="10.15" customHeight="1" x14ac:dyDescent="0.2">
      <c r="A1881" s="288" t="s">
        <v>29</v>
      </c>
      <c r="B1881" s="331"/>
      <c r="C1881" s="288" t="s">
        <v>291</v>
      </c>
      <c r="D1881" s="324" t="s">
        <v>731</v>
      </c>
      <c r="E1881" s="290">
        <v>43621</v>
      </c>
      <c r="F1881" s="291">
        <v>22769048</v>
      </c>
      <c r="G1881" s="292">
        <v>52162</v>
      </c>
      <c r="H1881" s="319"/>
      <c r="I1881" s="293"/>
      <c r="J1881" s="331"/>
      <c r="K1881" s="226"/>
    </row>
    <row r="1882" spans="1:11" ht="10.15" customHeight="1" x14ac:dyDescent="0.2">
      <c r="A1882" s="261"/>
      <c r="B1882" s="248"/>
      <c r="C1882" s="261"/>
      <c r="D1882" s="308" t="s">
        <v>108</v>
      </c>
      <c r="E1882" s="281"/>
      <c r="F1882" s="257"/>
      <c r="G1882" s="249"/>
      <c r="H1882" s="246">
        <v>16225</v>
      </c>
      <c r="I1882" s="262">
        <f>H1882/$H$1886</f>
        <v>0.71992723077605714</v>
      </c>
      <c r="J1882" s="248" t="s">
        <v>108</v>
      </c>
      <c r="K1882" s="226"/>
    </row>
    <row r="1883" spans="1:11" ht="12.75" x14ac:dyDescent="0.2">
      <c r="A1883" s="248"/>
      <c r="B1883" s="248"/>
      <c r="C1883" s="261"/>
      <c r="D1883" s="308" t="s">
        <v>42</v>
      </c>
      <c r="E1883" s="281"/>
      <c r="F1883" s="257"/>
      <c r="G1883" s="249"/>
      <c r="H1883" s="246">
        <v>1968</v>
      </c>
      <c r="I1883" s="262">
        <f>H1883/$H$1886</f>
        <v>8.7323068731419443E-2</v>
      </c>
      <c r="J1883" s="253"/>
      <c r="K1883" s="226"/>
    </row>
    <row r="1884" spans="1:11" ht="12.75" x14ac:dyDescent="0.2">
      <c r="A1884" s="248"/>
      <c r="B1884" s="248"/>
      <c r="C1884" s="261"/>
      <c r="D1884" s="244" t="s">
        <v>605</v>
      </c>
      <c r="E1884" s="281"/>
      <c r="F1884" s="257"/>
      <c r="G1884" s="249"/>
      <c r="H1884" s="246">
        <v>2435</v>
      </c>
      <c r="I1884" s="262">
        <f>H1884/$H$1886</f>
        <v>0.10804454896392598</v>
      </c>
      <c r="J1884" s="252"/>
      <c r="K1884" s="226"/>
    </row>
    <row r="1885" spans="1:11" ht="10.15" customHeight="1" x14ac:dyDescent="0.2">
      <c r="A1885" s="248"/>
      <c r="B1885" s="248"/>
      <c r="C1885" s="261"/>
      <c r="D1885" s="308" t="s">
        <v>693</v>
      </c>
      <c r="E1885" s="281"/>
      <c r="F1885" s="257"/>
      <c r="G1885" s="249"/>
      <c r="H1885" s="246">
        <v>1909</v>
      </c>
      <c r="I1885" s="262">
        <f>H1885/$H$1886</f>
        <v>8.4705151528597422E-2</v>
      </c>
      <c r="J1885" s="252"/>
      <c r="K1885" s="226"/>
    </row>
    <row r="1886" spans="1:11" ht="10.15" customHeight="1" x14ac:dyDescent="0.2">
      <c r="A1886" s="248"/>
      <c r="B1886" s="248"/>
      <c r="C1886" s="261"/>
      <c r="D1886" s="243" t="s">
        <v>33</v>
      </c>
      <c r="E1886" s="281"/>
      <c r="F1886" s="257"/>
      <c r="G1886" s="249"/>
      <c r="H1886" s="333">
        <f>SUM(H1882:H1885)</f>
        <v>22537</v>
      </c>
      <c r="I1886" s="283">
        <f>H1886/$H$1886</f>
        <v>1</v>
      </c>
      <c r="J1886" s="253"/>
      <c r="K1886" s="226"/>
    </row>
    <row r="1887" spans="1:11" ht="10.15" customHeight="1" x14ac:dyDescent="0.2">
      <c r="A1887" s="248"/>
      <c r="B1887" s="248"/>
      <c r="C1887" s="261"/>
      <c r="D1887" s="243"/>
      <c r="E1887" s="281"/>
      <c r="F1887" s="257"/>
      <c r="G1887" s="249"/>
      <c r="H1887" s="246"/>
      <c r="I1887" s="262"/>
      <c r="J1887" s="253"/>
      <c r="K1887" s="226"/>
    </row>
    <row r="1888" spans="1:11" ht="12.75" x14ac:dyDescent="0.2">
      <c r="A1888" s="243" t="s">
        <v>22</v>
      </c>
      <c r="B1888" s="243" t="s">
        <v>397</v>
      </c>
      <c r="C1888" s="243" t="s">
        <v>236</v>
      </c>
      <c r="D1888" s="244" t="s">
        <v>193</v>
      </c>
      <c r="E1888" s="277" t="s">
        <v>385</v>
      </c>
      <c r="F1888" s="245">
        <v>5511430</v>
      </c>
      <c r="G1888" s="246">
        <v>71434</v>
      </c>
      <c r="H1888" s="242"/>
      <c r="I1888" s="251"/>
      <c r="J1888" s="253"/>
      <c r="K1888" s="226"/>
    </row>
    <row r="1889" spans="1:11" ht="12.75" x14ac:dyDescent="0.2">
      <c r="A1889" s="248"/>
      <c r="B1889" s="248"/>
      <c r="C1889" s="261"/>
      <c r="D1889" s="244" t="s">
        <v>263</v>
      </c>
      <c r="E1889" s="281"/>
      <c r="F1889" s="257"/>
      <c r="G1889" s="249"/>
      <c r="H1889" s="250">
        <v>3664</v>
      </c>
      <c r="I1889" s="251">
        <f>ROUND(H1889/$H$1895,4)</f>
        <v>8.4599999999999995E-2</v>
      </c>
      <c r="J1889" s="253"/>
      <c r="K1889" s="226"/>
    </row>
    <row r="1890" spans="1:11" ht="10.15" customHeight="1" x14ac:dyDescent="0.2">
      <c r="A1890" s="248"/>
      <c r="B1890" s="248"/>
      <c r="C1890" s="261"/>
      <c r="D1890" s="244" t="s">
        <v>242</v>
      </c>
      <c r="E1890" s="281"/>
      <c r="F1890" s="257"/>
      <c r="G1890" s="249"/>
      <c r="H1890" s="250">
        <v>7700</v>
      </c>
      <c r="I1890" s="251">
        <f>ROUND(H1890/$H$1895,4)</f>
        <v>0.1777</v>
      </c>
      <c r="J1890" s="253" t="s">
        <v>242</v>
      </c>
      <c r="K1890" s="226"/>
    </row>
    <row r="1891" spans="1:11" ht="10.15" customHeight="1" x14ac:dyDescent="0.2">
      <c r="A1891" s="248"/>
      <c r="B1891" s="248"/>
      <c r="C1891" s="261"/>
      <c r="D1891" s="244" t="s">
        <v>264</v>
      </c>
      <c r="E1891" s="281"/>
      <c r="F1891" s="257"/>
      <c r="G1891" s="249"/>
      <c r="H1891" s="250">
        <v>5504</v>
      </c>
      <c r="I1891" s="251">
        <f>ROUND(H1891/$H$1895,4)</f>
        <v>0.12709999999999999</v>
      </c>
      <c r="J1891" s="253"/>
      <c r="K1891" s="226"/>
    </row>
    <row r="1892" spans="1:11" ht="10.15" customHeight="1" x14ac:dyDescent="0.2">
      <c r="A1892" s="248"/>
      <c r="B1892" s="248"/>
      <c r="C1892" s="261"/>
      <c r="D1892" s="244" t="s">
        <v>245</v>
      </c>
      <c r="E1892" s="281"/>
      <c r="F1892" s="257"/>
      <c r="G1892" s="249"/>
      <c r="H1892" s="250">
        <v>23631</v>
      </c>
      <c r="I1892" s="251">
        <f>ROUND(H1892/$H$1895,4)-0.0001</f>
        <v>0.5454</v>
      </c>
      <c r="J1892" s="252" t="s">
        <v>245</v>
      </c>
      <c r="K1892" s="226"/>
    </row>
    <row r="1893" spans="1:11" ht="10.15" customHeight="1" x14ac:dyDescent="0.2">
      <c r="A1893" s="248"/>
      <c r="B1893" s="248"/>
      <c r="C1893" s="261"/>
      <c r="D1893" s="244" t="s">
        <v>305</v>
      </c>
      <c r="E1893" s="281"/>
      <c r="F1893" s="257"/>
      <c r="G1893" s="249"/>
      <c r="H1893" s="250">
        <v>1826</v>
      </c>
      <c r="I1893" s="251">
        <f>ROUND(H1893/$H$1895,4)</f>
        <v>4.2200000000000001E-2</v>
      </c>
      <c r="J1893" s="253"/>
      <c r="K1893" s="226"/>
    </row>
    <row r="1894" spans="1:11" ht="10.15" customHeight="1" x14ac:dyDescent="0.2">
      <c r="A1894" s="248"/>
      <c r="B1894" s="248"/>
      <c r="C1894" s="261"/>
      <c r="D1894" s="254" t="s">
        <v>246</v>
      </c>
      <c r="E1894" s="281"/>
      <c r="F1894" s="257"/>
      <c r="G1894" s="249"/>
      <c r="H1894" s="250">
        <v>996</v>
      </c>
      <c r="I1894" s="251">
        <f>ROUND(H1894/$H$1895,4)</f>
        <v>2.3E-2</v>
      </c>
      <c r="J1894" s="253"/>
      <c r="K1894" s="226"/>
    </row>
    <row r="1895" spans="1:11" ht="10.15" customHeight="1" x14ac:dyDescent="0.2">
      <c r="A1895" s="248"/>
      <c r="B1895" s="248"/>
      <c r="C1895" s="261"/>
      <c r="D1895" s="243" t="s">
        <v>33</v>
      </c>
      <c r="E1895" s="281"/>
      <c r="F1895" s="257"/>
      <c r="G1895" s="249"/>
      <c r="H1895" s="255">
        <f>SUM(H1889:H1894)</f>
        <v>43321</v>
      </c>
      <c r="I1895" s="256">
        <f>SUM(I1889:I1894)</f>
        <v>1</v>
      </c>
      <c r="J1895" s="253"/>
      <c r="K1895" s="226"/>
    </row>
    <row r="1896" spans="1:11" ht="10.15" customHeight="1" x14ac:dyDescent="0.2">
      <c r="A1896" s="248"/>
      <c r="B1896" s="248"/>
      <c r="C1896" s="261"/>
      <c r="D1896" s="249"/>
      <c r="E1896" s="281"/>
      <c r="F1896" s="257"/>
      <c r="G1896" s="249"/>
      <c r="H1896" s="242"/>
      <c r="I1896" s="251"/>
      <c r="J1896" s="253"/>
      <c r="K1896" s="226"/>
    </row>
    <row r="1897" spans="1:11" ht="10.15" customHeight="1" x14ac:dyDescent="0.2">
      <c r="A1897" s="243" t="s">
        <v>22</v>
      </c>
      <c r="B1897" s="243" t="s">
        <v>219</v>
      </c>
      <c r="C1897" s="243" t="s">
        <v>236</v>
      </c>
      <c r="D1897" s="244" t="s">
        <v>220</v>
      </c>
      <c r="E1897" s="277" t="s">
        <v>398</v>
      </c>
      <c r="F1897" s="245">
        <v>237550</v>
      </c>
      <c r="G1897" s="246">
        <v>4120</v>
      </c>
      <c r="H1897" s="242"/>
      <c r="I1897" s="251"/>
      <c r="J1897" s="253"/>
      <c r="K1897" s="226"/>
    </row>
    <row r="1898" spans="1:11" ht="10.15" customHeight="1" x14ac:dyDescent="0.2">
      <c r="A1898" s="248"/>
      <c r="B1898" s="248"/>
      <c r="C1898" s="261"/>
      <c r="D1898" s="244" t="s">
        <v>242</v>
      </c>
      <c r="E1898" s="281"/>
      <c r="F1898" s="257"/>
      <c r="G1898" s="249"/>
      <c r="H1898" s="250">
        <v>580</v>
      </c>
      <c r="I1898" s="251">
        <f>ROUND(H1898/$H$1900,4)</f>
        <v>0.17460000000000001</v>
      </c>
      <c r="J1898" s="253"/>
      <c r="K1898" s="226"/>
    </row>
    <row r="1899" spans="1:11" ht="10.15" customHeight="1" x14ac:dyDescent="0.2">
      <c r="A1899" s="248"/>
      <c r="B1899" s="248"/>
      <c r="C1899" s="261"/>
      <c r="D1899" s="254" t="s">
        <v>246</v>
      </c>
      <c r="E1899" s="281"/>
      <c r="F1899" s="257"/>
      <c r="G1899" s="249"/>
      <c r="H1899" s="250">
        <v>2741</v>
      </c>
      <c r="I1899" s="251">
        <f>ROUND(H1899/$H$1900,4)</f>
        <v>0.82540000000000002</v>
      </c>
      <c r="J1899" s="260" t="s">
        <v>246</v>
      </c>
      <c r="K1899" s="226"/>
    </row>
    <row r="1900" spans="1:11" ht="10.15" customHeight="1" x14ac:dyDescent="0.2">
      <c r="A1900" s="248"/>
      <c r="B1900" s="248"/>
      <c r="C1900" s="261"/>
      <c r="D1900" s="243" t="s">
        <v>33</v>
      </c>
      <c r="E1900" s="281"/>
      <c r="F1900" s="257"/>
      <c r="G1900" s="249"/>
      <c r="H1900" s="255">
        <f>SUM(H1898:H1899)</f>
        <v>3321</v>
      </c>
      <c r="I1900" s="256">
        <f>SUM(I1898:I1899)</f>
        <v>1</v>
      </c>
      <c r="J1900" s="253"/>
      <c r="K1900" s="226"/>
    </row>
    <row r="1901" spans="1:11" ht="10.15" customHeight="1" x14ac:dyDescent="0.2">
      <c r="A1901" s="248"/>
      <c r="B1901" s="248"/>
      <c r="C1901" s="261"/>
      <c r="D1901" s="249"/>
      <c r="E1901" s="281"/>
      <c r="F1901" s="257"/>
      <c r="G1901" s="249"/>
      <c r="H1901" s="242"/>
      <c r="I1901" s="251"/>
      <c r="J1901" s="253"/>
      <c r="K1901" s="226"/>
    </row>
    <row r="1902" spans="1:11" ht="12.75" x14ac:dyDescent="0.2">
      <c r="A1902" s="243" t="s">
        <v>22</v>
      </c>
      <c r="B1902" s="243" t="s">
        <v>399</v>
      </c>
      <c r="C1902" s="243" t="s">
        <v>236</v>
      </c>
      <c r="D1902" s="244" t="s">
        <v>195</v>
      </c>
      <c r="E1902" s="277" t="s">
        <v>318</v>
      </c>
      <c r="F1902" s="245">
        <v>2162000</v>
      </c>
      <c r="G1902" s="246">
        <v>33633</v>
      </c>
      <c r="H1902" s="242"/>
      <c r="I1902" s="251"/>
      <c r="J1902" s="253"/>
      <c r="K1902" s="226"/>
    </row>
    <row r="1903" spans="1:11" ht="10.15" customHeight="1" x14ac:dyDescent="0.2">
      <c r="A1903" s="248"/>
      <c r="B1903" s="248"/>
      <c r="C1903" s="261"/>
      <c r="D1903" s="244" t="s">
        <v>242</v>
      </c>
      <c r="E1903" s="281"/>
      <c r="F1903" s="257"/>
      <c r="G1903" s="249"/>
      <c r="H1903" s="250">
        <v>7000</v>
      </c>
      <c r="I1903" s="251">
        <f>ROUND(H1903/$H$1905,4)</f>
        <v>0.31819999999999998</v>
      </c>
      <c r="J1903" s="253" t="s">
        <v>242</v>
      </c>
      <c r="K1903" s="226"/>
    </row>
    <row r="1904" spans="1:11" ht="10.15" customHeight="1" x14ac:dyDescent="0.2">
      <c r="A1904" s="248"/>
      <c r="B1904" s="248"/>
      <c r="C1904" s="261"/>
      <c r="D1904" s="254" t="s">
        <v>246</v>
      </c>
      <c r="E1904" s="281"/>
      <c r="F1904" s="257"/>
      <c r="G1904" s="249"/>
      <c r="H1904" s="250">
        <v>15000</v>
      </c>
      <c r="I1904" s="251">
        <f>ROUND(H1904/$H$1905,4)</f>
        <v>0.68179999999999996</v>
      </c>
      <c r="J1904" s="260" t="s">
        <v>246</v>
      </c>
      <c r="K1904" s="226"/>
    </row>
    <row r="1905" spans="1:11" ht="10.15" customHeight="1" x14ac:dyDescent="0.2">
      <c r="A1905" s="248"/>
      <c r="B1905" s="248"/>
      <c r="C1905" s="261"/>
      <c r="D1905" s="243" t="s">
        <v>33</v>
      </c>
      <c r="E1905" s="281"/>
      <c r="F1905" s="257"/>
      <c r="G1905" s="249"/>
      <c r="H1905" s="255">
        <f>SUM(H1903:H1904)</f>
        <v>22000</v>
      </c>
      <c r="I1905" s="256">
        <f>SUM(I1903:I1904)</f>
        <v>1</v>
      </c>
      <c r="J1905" s="253"/>
      <c r="K1905" s="226"/>
    </row>
    <row r="1906" spans="1:11" ht="10.15" customHeight="1" x14ac:dyDescent="0.2">
      <c r="A1906" s="248"/>
      <c r="B1906" s="248"/>
      <c r="C1906" s="261"/>
      <c r="D1906" s="243"/>
      <c r="E1906" s="281"/>
      <c r="F1906" s="257"/>
      <c r="G1906" s="249"/>
      <c r="H1906" s="258"/>
      <c r="I1906" s="259"/>
      <c r="J1906" s="253"/>
      <c r="K1906" s="226"/>
    </row>
    <row r="1907" spans="1:11" ht="10.15" customHeight="1" x14ac:dyDescent="0.2">
      <c r="A1907" s="243" t="s">
        <v>22</v>
      </c>
      <c r="B1907" s="243" t="s">
        <v>400</v>
      </c>
      <c r="C1907" s="243" t="s">
        <v>236</v>
      </c>
      <c r="D1907" s="244" t="s">
        <v>162</v>
      </c>
      <c r="E1907" s="277" t="s">
        <v>401</v>
      </c>
      <c r="F1907" s="245">
        <v>9938000</v>
      </c>
      <c r="G1907" s="246">
        <v>97841</v>
      </c>
      <c r="H1907" s="242"/>
      <c r="I1907" s="251"/>
      <c r="J1907" s="253"/>
      <c r="K1907" s="226"/>
    </row>
    <row r="1908" spans="1:11" ht="10.15" customHeight="1" x14ac:dyDescent="0.2">
      <c r="A1908" s="248"/>
      <c r="B1908" s="248"/>
      <c r="C1908" s="261"/>
      <c r="D1908" s="244" t="s">
        <v>263</v>
      </c>
      <c r="E1908" s="281"/>
      <c r="F1908" s="257"/>
      <c r="G1908" s="249"/>
      <c r="H1908" s="250">
        <v>6800</v>
      </c>
      <c r="I1908" s="251">
        <f t="shared" ref="I1908:I1913" si="46">ROUND(H1908/$H$1914,4)</f>
        <v>0.1057</v>
      </c>
      <c r="J1908" s="253"/>
      <c r="K1908" s="226"/>
    </row>
    <row r="1909" spans="1:11" ht="10.15" customHeight="1" x14ac:dyDescent="0.2">
      <c r="A1909" s="248"/>
      <c r="B1909" s="248"/>
      <c r="C1909" s="261"/>
      <c r="D1909" s="244" t="s">
        <v>240</v>
      </c>
      <c r="E1909" s="281"/>
      <c r="F1909" s="257"/>
      <c r="G1909" s="249"/>
      <c r="H1909" s="250">
        <v>25738</v>
      </c>
      <c r="I1909" s="251">
        <f t="shared" si="46"/>
        <v>0.4002</v>
      </c>
      <c r="J1909" s="252" t="s">
        <v>240</v>
      </c>
      <c r="K1909" s="226"/>
    </row>
    <row r="1910" spans="1:11" ht="10.15" customHeight="1" x14ac:dyDescent="0.2">
      <c r="A1910" s="248"/>
      <c r="B1910" s="248"/>
      <c r="C1910" s="261"/>
      <c r="D1910" s="244" t="s">
        <v>241</v>
      </c>
      <c r="E1910" s="281"/>
      <c r="F1910" s="257"/>
      <c r="G1910" s="249"/>
      <c r="H1910" s="250">
        <v>14100</v>
      </c>
      <c r="I1910" s="251">
        <f t="shared" si="46"/>
        <v>0.21920000000000001</v>
      </c>
      <c r="J1910" s="252" t="s">
        <v>241</v>
      </c>
      <c r="K1910" s="226"/>
    </row>
    <row r="1911" spans="1:11" ht="10.15" customHeight="1" x14ac:dyDescent="0.2">
      <c r="A1911" s="248"/>
      <c r="B1911" s="248"/>
      <c r="C1911" s="261"/>
      <c r="D1911" s="244" t="s">
        <v>242</v>
      </c>
      <c r="E1911" s="281"/>
      <c r="F1911" s="257"/>
      <c r="G1911" s="249"/>
      <c r="H1911" s="250">
        <v>14105</v>
      </c>
      <c r="I1911" s="251">
        <f t="shared" si="46"/>
        <v>0.21929999999999999</v>
      </c>
      <c r="J1911" s="252" t="s">
        <v>242</v>
      </c>
      <c r="K1911" s="226"/>
    </row>
    <row r="1912" spans="1:11" ht="10.15" customHeight="1" x14ac:dyDescent="0.2">
      <c r="A1912" s="248"/>
      <c r="B1912" s="248"/>
      <c r="C1912" s="261"/>
      <c r="D1912" s="244" t="s">
        <v>244</v>
      </c>
      <c r="E1912" s="281"/>
      <c r="F1912" s="257"/>
      <c r="G1912" s="249"/>
      <c r="H1912" s="250">
        <v>1400</v>
      </c>
      <c r="I1912" s="251">
        <f t="shared" si="46"/>
        <v>2.18E-2</v>
      </c>
      <c r="J1912" s="253"/>
      <c r="K1912" s="226"/>
    </row>
    <row r="1913" spans="1:11" ht="10.15" customHeight="1" x14ac:dyDescent="0.2">
      <c r="A1913" s="248"/>
      <c r="B1913" s="248"/>
      <c r="C1913" s="261"/>
      <c r="D1913" s="254" t="s">
        <v>246</v>
      </c>
      <c r="E1913" s="281"/>
      <c r="F1913" s="257"/>
      <c r="G1913" s="249"/>
      <c r="H1913" s="250">
        <v>2175</v>
      </c>
      <c r="I1913" s="251">
        <f t="shared" si="46"/>
        <v>3.3799999999999997E-2</v>
      </c>
      <c r="J1913" s="253"/>
      <c r="K1913" s="226"/>
    </row>
    <row r="1914" spans="1:11" ht="10.15" customHeight="1" x14ac:dyDescent="0.2">
      <c r="A1914" s="248"/>
      <c r="B1914" s="248"/>
      <c r="C1914" s="261"/>
      <c r="D1914" s="243" t="s">
        <v>33</v>
      </c>
      <c r="E1914" s="281"/>
      <c r="F1914" s="257"/>
      <c r="G1914" s="249"/>
      <c r="H1914" s="255">
        <f>SUM(H1908:H1913)</f>
        <v>64318</v>
      </c>
      <c r="I1914" s="256">
        <f>SUM(I1908:I1913)</f>
        <v>1.0000000000000002</v>
      </c>
      <c r="J1914" s="253"/>
      <c r="K1914" s="226"/>
    </row>
    <row r="1915" spans="1:11" ht="10.15" customHeight="1" x14ac:dyDescent="0.2">
      <c r="A1915" s="248"/>
      <c r="B1915" s="248"/>
      <c r="C1915" s="261"/>
      <c r="D1915" s="243"/>
      <c r="E1915" s="281"/>
      <c r="F1915" s="257"/>
      <c r="G1915" s="249"/>
      <c r="H1915" s="258"/>
      <c r="I1915" s="259"/>
      <c r="J1915" s="253"/>
      <c r="K1915" s="226"/>
    </row>
    <row r="1916" spans="1:11" ht="10.15" customHeight="1" x14ac:dyDescent="0.2">
      <c r="A1916" s="243" t="s">
        <v>22</v>
      </c>
      <c r="B1916" s="243" t="s">
        <v>402</v>
      </c>
      <c r="C1916" s="243" t="s">
        <v>236</v>
      </c>
      <c r="D1916" s="244" t="s">
        <v>163</v>
      </c>
      <c r="E1916" s="277" t="s">
        <v>403</v>
      </c>
      <c r="F1916" s="245">
        <v>11341000</v>
      </c>
      <c r="G1916" s="246">
        <v>114363</v>
      </c>
      <c r="H1916" s="242"/>
      <c r="I1916" s="242"/>
      <c r="J1916" s="253"/>
      <c r="K1916" s="226"/>
    </row>
    <row r="1917" spans="1:11" ht="10.15" customHeight="1" x14ac:dyDescent="0.2">
      <c r="A1917" s="248"/>
      <c r="B1917" s="248"/>
      <c r="C1917" s="261"/>
      <c r="D1917" s="244" t="s">
        <v>263</v>
      </c>
      <c r="E1917" s="281"/>
      <c r="F1917" s="257"/>
      <c r="G1917" s="249"/>
      <c r="H1917" s="250">
        <v>17920</v>
      </c>
      <c r="I1917" s="251">
        <f>ROUND(H1917/$H$1923,4)</f>
        <v>0.2621</v>
      </c>
      <c r="J1917" s="252" t="s">
        <v>263</v>
      </c>
      <c r="K1917" s="226"/>
    </row>
    <row r="1918" spans="1:11" ht="10.15" customHeight="1" x14ac:dyDescent="0.2">
      <c r="A1918" s="248"/>
      <c r="B1918" s="248"/>
      <c r="C1918" s="261"/>
      <c r="D1918" s="244" t="s">
        <v>240</v>
      </c>
      <c r="E1918" s="281"/>
      <c r="F1918" s="257"/>
      <c r="G1918" s="249"/>
      <c r="H1918" s="250">
        <v>21328</v>
      </c>
      <c r="I1918" s="251">
        <f>ROUND(H1918/$H$1923,4)</f>
        <v>0.312</v>
      </c>
      <c r="J1918" s="252" t="s">
        <v>240</v>
      </c>
      <c r="K1918" s="226"/>
    </row>
    <row r="1919" spans="1:11" ht="10.15" customHeight="1" x14ac:dyDescent="0.2">
      <c r="A1919" s="248"/>
      <c r="B1919" s="248"/>
      <c r="C1919" s="261"/>
      <c r="D1919" s="244" t="s">
        <v>241</v>
      </c>
      <c r="E1919" s="281"/>
      <c r="F1919" s="257"/>
      <c r="G1919" s="249"/>
      <c r="H1919" s="250">
        <v>14330</v>
      </c>
      <c r="I1919" s="251">
        <f>ROUND(H1919/$H$1923,4)</f>
        <v>0.20960000000000001</v>
      </c>
      <c r="J1919" s="253" t="s">
        <v>241</v>
      </c>
      <c r="K1919" s="226"/>
    </row>
    <row r="1920" spans="1:11" ht="10.15" customHeight="1" x14ac:dyDescent="0.2">
      <c r="A1920" s="248"/>
      <c r="B1920" s="248"/>
      <c r="C1920" s="261"/>
      <c r="D1920" s="244" t="s">
        <v>242</v>
      </c>
      <c r="E1920" s="281"/>
      <c r="F1920" s="257"/>
      <c r="G1920" s="249"/>
      <c r="H1920" s="250">
        <v>12035</v>
      </c>
      <c r="I1920" s="251">
        <f>ROUND(H1920/$H$1923,4)+0.0001</f>
        <v>0.17609999999999998</v>
      </c>
      <c r="J1920" s="253"/>
      <c r="K1920" s="226"/>
    </row>
    <row r="1921" spans="1:11" ht="10.15" customHeight="1" x14ac:dyDescent="0.2">
      <c r="A1921" s="248"/>
      <c r="B1921" s="248"/>
      <c r="C1921" s="261"/>
      <c r="D1921" s="244" t="s">
        <v>244</v>
      </c>
      <c r="E1921" s="281"/>
      <c r="F1921" s="257"/>
      <c r="G1921" s="249"/>
      <c r="H1921" s="250">
        <v>440</v>
      </c>
      <c r="I1921" s="251">
        <f>ROUND(H1921/$H$1923,4)</f>
        <v>6.4000000000000003E-3</v>
      </c>
      <c r="J1921" s="253"/>
      <c r="K1921" s="226"/>
    </row>
    <row r="1922" spans="1:11" ht="10.15" customHeight="1" x14ac:dyDescent="0.2">
      <c r="A1922" s="248"/>
      <c r="B1922" s="248"/>
      <c r="C1922" s="261"/>
      <c r="D1922" s="254" t="s">
        <v>246</v>
      </c>
      <c r="E1922" s="281"/>
      <c r="F1922" s="257"/>
      <c r="G1922" s="249"/>
      <c r="H1922" s="250">
        <v>2312</v>
      </c>
      <c r="I1922" s="251">
        <f>ROUND(H1922/$H$1923,4)</f>
        <v>3.3799999999999997E-2</v>
      </c>
      <c r="J1922" s="253"/>
      <c r="K1922" s="226"/>
    </row>
    <row r="1923" spans="1:11" ht="10.15" customHeight="1" x14ac:dyDescent="0.2">
      <c r="A1923" s="248"/>
      <c r="B1923" s="248"/>
      <c r="C1923" s="261"/>
      <c r="D1923" s="243" t="s">
        <v>33</v>
      </c>
      <c r="E1923" s="281"/>
      <c r="F1923" s="257"/>
      <c r="G1923" s="249"/>
      <c r="H1923" s="255">
        <f>SUM(H1917:H1922)</f>
        <v>68365</v>
      </c>
      <c r="I1923" s="256">
        <f>SUM(I1917:I1922)</f>
        <v>1</v>
      </c>
      <c r="J1923" s="253"/>
      <c r="K1923" s="226"/>
    </row>
    <row r="1924" spans="1:11" ht="10.15" customHeight="1" x14ac:dyDescent="0.2">
      <c r="A1924" s="248"/>
      <c r="B1924" s="248"/>
      <c r="C1924" s="261"/>
      <c r="D1924" s="249"/>
      <c r="E1924" s="281"/>
      <c r="F1924" s="257"/>
      <c r="G1924" s="249"/>
      <c r="H1924" s="242"/>
      <c r="I1924" s="242"/>
      <c r="J1924" s="253"/>
      <c r="K1924" s="226"/>
    </row>
    <row r="1925" spans="1:11" ht="10.15" customHeight="1" x14ac:dyDescent="0.2">
      <c r="A1925" s="243" t="s">
        <v>22</v>
      </c>
      <c r="B1925" s="243" t="s">
        <v>404</v>
      </c>
      <c r="C1925" s="243" t="s">
        <v>236</v>
      </c>
      <c r="D1925" s="244" t="s">
        <v>197</v>
      </c>
      <c r="E1925" s="277" t="s">
        <v>403</v>
      </c>
      <c r="F1925" s="245">
        <v>526800</v>
      </c>
      <c r="G1925" s="246">
        <v>9255</v>
      </c>
      <c r="H1925" s="242"/>
      <c r="I1925" s="242"/>
      <c r="J1925" s="253"/>
      <c r="K1925" s="226"/>
    </row>
    <row r="1926" spans="1:11" ht="10.15" customHeight="1" x14ac:dyDescent="0.2">
      <c r="A1926" s="248"/>
      <c r="B1926" s="248"/>
      <c r="C1926" s="261"/>
      <c r="D1926" s="244" t="s">
        <v>373</v>
      </c>
      <c r="E1926" s="281"/>
      <c r="F1926" s="257"/>
      <c r="G1926" s="249"/>
      <c r="H1926" s="250">
        <v>5728</v>
      </c>
      <c r="I1926" s="251">
        <f>ROUND(H1926/$H$1928,4)</f>
        <v>0.8679</v>
      </c>
      <c r="J1926" s="252" t="s">
        <v>242</v>
      </c>
      <c r="K1926" s="226"/>
    </row>
    <row r="1927" spans="1:11" ht="10.15" customHeight="1" x14ac:dyDescent="0.2">
      <c r="A1927" s="248"/>
      <c r="B1927" s="248"/>
      <c r="C1927" s="261"/>
      <c r="D1927" s="254" t="s">
        <v>246</v>
      </c>
      <c r="E1927" s="281"/>
      <c r="F1927" s="257"/>
      <c r="G1927" s="249"/>
      <c r="H1927" s="250">
        <v>872</v>
      </c>
      <c r="I1927" s="251">
        <f>ROUND(H1927/$H$1928,4)</f>
        <v>0.1321</v>
      </c>
      <c r="J1927" s="253"/>
      <c r="K1927" s="226"/>
    </row>
    <row r="1928" spans="1:11" ht="10.15" customHeight="1" x14ac:dyDescent="0.2">
      <c r="A1928" s="248"/>
      <c r="B1928" s="248"/>
      <c r="C1928" s="261"/>
      <c r="D1928" s="243" t="s">
        <v>33</v>
      </c>
      <c r="E1928" s="281"/>
      <c r="F1928" s="257"/>
      <c r="G1928" s="249"/>
      <c r="H1928" s="255">
        <f>SUM(H1926:H1927)</f>
        <v>6600</v>
      </c>
      <c r="I1928" s="256">
        <f>SUM(I1926:I1927)</f>
        <v>1</v>
      </c>
      <c r="J1928" s="253"/>
      <c r="K1928" s="226"/>
    </row>
    <row r="1929" spans="1:11" ht="10.15" customHeight="1" x14ac:dyDescent="0.2">
      <c r="A1929" s="248"/>
      <c r="B1929" s="248"/>
      <c r="C1929" s="261"/>
      <c r="D1929" s="249"/>
      <c r="E1929" s="281"/>
      <c r="F1929" s="257"/>
      <c r="G1929" s="249"/>
      <c r="H1929" s="242"/>
      <c r="I1929" s="242"/>
      <c r="J1929" s="253"/>
      <c r="K1929" s="226"/>
    </row>
    <row r="1930" spans="1:11" ht="10.15" customHeight="1" x14ac:dyDescent="0.2">
      <c r="A1930" s="243" t="s">
        <v>22</v>
      </c>
      <c r="B1930" s="243" t="s">
        <v>405</v>
      </c>
      <c r="C1930" s="243" t="s">
        <v>236</v>
      </c>
      <c r="D1930" s="254" t="s">
        <v>168</v>
      </c>
      <c r="E1930" s="277" t="s">
        <v>276</v>
      </c>
      <c r="F1930" s="245">
        <v>1803000</v>
      </c>
      <c r="G1930" s="246">
        <v>17710</v>
      </c>
      <c r="H1930" s="242"/>
      <c r="I1930" s="242"/>
      <c r="J1930" s="253"/>
      <c r="K1930" s="226"/>
    </row>
    <row r="1931" spans="1:11" ht="10.15" customHeight="1" x14ac:dyDescent="0.2">
      <c r="A1931" s="248"/>
      <c r="B1931" s="248"/>
      <c r="C1931" s="261"/>
      <c r="D1931" s="244" t="s">
        <v>263</v>
      </c>
      <c r="E1931" s="281"/>
      <c r="F1931" s="257"/>
      <c r="G1931" s="249"/>
      <c r="H1931" s="250">
        <v>4509</v>
      </c>
      <c r="I1931" s="251">
        <f>ROUND(H1931/$H$1937,4)</f>
        <v>0.29199999999999998</v>
      </c>
      <c r="J1931" s="252" t="s">
        <v>263</v>
      </c>
      <c r="K1931" s="226"/>
    </row>
    <row r="1932" spans="1:11" ht="10.15" customHeight="1" x14ac:dyDescent="0.2">
      <c r="A1932" s="248"/>
      <c r="B1932" s="248"/>
      <c r="C1932" s="261"/>
      <c r="D1932" s="244" t="s">
        <v>240</v>
      </c>
      <c r="E1932" s="281"/>
      <c r="F1932" s="257"/>
      <c r="G1932" s="249"/>
      <c r="H1932" s="250">
        <v>1669</v>
      </c>
      <c r="I1932" s="251">
        <f>ROUND(H1932/$H$1937,4)</f>
        <v>0.1081</v>
      </c>
      <c r="J1932" s="253"/>
      <c r="K1932" s="226"/>
    </row>
    <row r="1933" spans="1:11" ht="10.15" customHeight="1" x14ac:dyDescent="0.2">
      <c r="A1933" s="248"/>
      <c r="B1933" s="248"/>
      <c r="C1933" s="261"/>
      <c r="D1933" s="244" t="s">
        <v>241</v>
      </c>
      <c r="E1933" s="281"/>
      <c r="F1933" s="257"/>
      <c r="G1933" s="249"/>
      <c r="H1933" s="250">
        <v>593</v>
      </c>
      <c r="I1933" s="251">
        <f>ROUND(H1933/$H$1937,4)+0.0001</f>
        <v>3.85E-2</v>
      </c>
      <c r="J1933" s="253"/>
      <c r="K1933" s="226"/>
    </row>
    <row r="1934" spans="1:11" ht="10.15" customHeight="1" x14ac:dyDescent="0.2">
      <c r="A1934" s="248"/>
      <c r="B1934" s="248"/>
      <c r="C1934" s="261"/>
      <c r="D1934" s="244" t="s">
        <v>242</v>
      </c>
      <c r="E1934" s="281"/>
      <c r="F1934" s="257"/>
      <c r="G1934" s="249"/>
      <c r="H1934" s="250">
        <v>5800</v>
      </c>
      <c r="I1934" s="251">
        <f>ROUND(H1934/$H$1937,4)</f>
        <v>0.37559999999999999</v>
      </c>
      <c r="J1934" s="252" t="s">
        <v>242</v>
      </c>
      <c r="K1934" s="226"/>
    </row>
    <row r="1935" spans="1:11" ht="10.15" customHeight="1" x14ac:dyDescent="0.2">
      <c r="A1935" s="248"/>
      <c r="B1935" s="248"/>
      <c r="C1935" s="261"/>
      <c r="D1935" s="244" t="s">
        <v>245</v>
      </c>
      <c r="E1935" s="281"/>
      <c r="F1935" s="257"/>
      <c r="G1935" s="249"/>
      <c r="H1935" s="250">
        <v>1711</v>
      </c>
      <c r="I1935" s="251">
        <f>ROUND(H1935/$H$1937,4)</f>
        <v>0.1108</v>
      </c>
      <c r="J1935" s="253"/>
      <c r="K1935" s="226"/>
    </row>
    <row r="1936" spans="1:11" ht="10.15" customHeight="1" x14ac:dyDescent="0.2">
      <c r="A1936" s="248"/>
      <c r="B1936" s="248"/>
      <c r="C1936" s="261"/>
      <c r="D1936" s="254" t="s">
        <v>246</v>
      </c>
      <c r="E1936" s="281"/>
      <c r="F1936" s="257"/>
      <c r="G1936" s="249"/>
      <c r="H1936" s="250">
        <v>1158</v>
      </c>
      <c r="I1936" s="251">
        <f>ROUND(H1936/$H$1937,4)</f>
        <v>7.4999999999999997E-2</v>
      </c>
      <c r="J1936" s="253"/>
      <c r="K1936" s="226"/>
    </row>
    <row r="1937" spans="1:11" ht="10.15" customHeight="1" x14ac:dyDescent="0.2">
      <c r="A1937" s="248"/>
      <c r="B1937" s="248"/>
      <c r="C1937" s="261"/>
      <c r="D1937" s="243" t="s">
        <v>33</v>
      </c>
      <c r="E1937" s="281"/>
      <c r="F1937" s="257"/>
      <c r="G1937" s="249"/>
      <c r="H1937" s="255">
        <f>SUM(H1931:H1936)</f>
        <v>15440</v>
      </c>
      <c r="I1937" s="256">
        <f>SUM(I1931:I1936)</f>
        <v>1</v>
      </c>
      <c r="J1937" s="253"/>
      <c r="K1937" s="226"/>
    </row>
    <row r="1938" spans="1:11" ht="10.15" customHeight="1" x14ac:dyDescent="0.2">
      <c r="A1938" s="243" t="s">
        <v>22</v>
      </c>
      <c r="B1938" s="243">
        <v>892</v>
      </c>
      <c r="C1938" s="243" t="s">
        <v>236</v>
      </c>
      <c r="D1938" s="244" t="s">
        <v>96</v>
      </c>
      <c r="E1938" s="277" t="s">
        <v>282</v>
      </c>
      <c r="F1938" s="245">
        <v>1173700</v>
      </c>
      <c r="G1938" s="246">
        <v>12861</v>
      </c>
      <c r="H1938" s="242"/>
      <c r="I1938" s="251"/>
      <c r="J1938" s="253"/>
      <c r="K1938" s="226"/>
    </row>
    <row r="1939" spans="1:11" ht="10.15" customHeight="1" x14ac:dyDescent="0.2">
      <c r="A1939" s="248"/>
      <c r="B1939" s="261"/>
      <c r="C1939" s="261"/>
      <c r="D1939" s="244" t="s">
        <v>242</v>
      </c>
      <c r="E1939" s="281"/>
      <c r="F1939" s="257"/>
      <c r="G1939" s="249"/>
      <c r="H1939" s="250">
        <v>910</v>
      </c>
      <c r="I1939" s="251">
        <f>ROUND(H1939/$H$1942,4)</f>
        <v>9.8299999999999998E-2</v>
      </c>
      <c r="J1939" s="253"/>
      <c r="K1939" s="226"/>
    </row>
    <row r="1940" spans="1:11" ht="10.15" customHeight="1" x14ac:dyDescent="0.2">
      <c r="A1940" s="248"/>
      <c r="B1940" s="261"/>
      <c r="C1940" s="261"/>
      <c r="D1940" s="244" t="s">
        <v>305</v>
      </c>
      <c r="E1940" s="281"/>
      <c r="F1940" s="257"/>
      <c r="G1940" s="249"/>
      <c r="H1940" s="250">
        <v>7960</v>
      </c>
      <c r="I1940" s="251">
        <f>ROUND(H1940/$H$1942,4)</f>
        <v>0.85950000000000004</v>
      </c>
      <c r="J1940" s="252" t="s">
        <v>305</v>
      </c>
      <c r="K1940" s="226"/>
    </row>
    <row r="1941" spans="1:11" ht="10.15" customHeight="1" x14ac:dyDescent="0.2">
      <c r="A1941" s="248"/>
      <c r="B1941" s="261"/>
      <c r="C1941" s="261"/>
      <c r="D1941" s="254" t="s">
        <v>246</v>
      </c>
      <c r="E1941" s="281"/>
      <c r="F1941" s="257"/>
      <c r="G1941" s="249"/>
      <c r="H1941" s="250">
        <v>391</v>
      </c>
      <c r="I1941" s="251">
        <f>ROUND(H1941/$H$1942,4)</f>
        <v>4.2200000000000001E-2</v>
      </c>
      <c r="J1941" s="253"/>
      <c r="K1941" s="226"/>
    </row>
    <row r="1942" spans="1:11" ht="10.15" customHeight="1" x14ac:dyDescent="0.2">
      <c r="A1942" s="248"/>
      <c r="B1942" s="261"/>
      <c r="C1942" s="261"/>
      <c r="D1942" s="243" t="s">
        <v>33</v>
      </c>
      <c r="E1942" s="281"/>
      <c r="F1942" s="257"/>
      <c r="G1942" s="249"/>
      <c r="H1942" s="255">
        <f>SUM(H1939:H1941)</f>
        <v>9261</v>
      </c>
      <c r="I1942" s="256">
        <f>SUM(I1939:I1941)</f>
        <v>1</v>
      </c>
      <c r="J1942" s="253"/>
      <c r="K1942" s="226"/>
    </row>
    <row r="1943" spans="1:11" ht="10.15" customHeight="1" x14ac:dyDescent="0.2">
      <c r="A1943" s="248"/>
      <c r="B1943" s="261"/>
      <c r="C1943" s="261"/>
      <c r="D1943" s="243"/>
      <c r="E1943" s="281"/>
      <c r="F1943" s="257"/>
      <c r="G1943" s="249"/>
      <c r="H1943" s="258"/>
      <c r="I1943" s="259"/>
      <c r="J1943" s="253"/>
      <c r="K1943" s="226"/>
    </row>
    <row r="1944" spans="1:11" ht="10.15" customHeight="1" x14ac:dyDescent="0.2">
      <c r="A1944" s="243" t="s">
        <v>22</v>
      </c>
      <c r="B1944" s="243">
        <v>898</v>
      </c>
      <c r="C1944" s="243" t="s">
        <v>236</v>
      </c>
      <c r="D1944" s="244" t="s">
        <v>175</v>
      </c>
      <c r="E1944" s="277" t="s">
        <v>282</v>
      </c>
      <c r="F1944" s="245">
        <v>5064100</v>
      </c>
      <c r="G1944" s="246">
        <v>57456</v>
      </c>
      <c r="H1944" s="242"/>
      <c r="I1944" s="242"/>
      <c r="J1944" s="253"/>
      <c r="K1944" s="226"/>
    </row>
    <row r="1945" spans="1:11" ht="10.15" customHeight="1" x14ac:dyDescent="0.2">
      <c r="A1945" s="248"/>
      <c r="B1945" s="248"/>
      <c r="C1945" s="261"/>
      <c r="D1945" s="244" t="s">
        <v>263</v>
      </c>
      <c r="E1945" s="281"/>
      <c r="F1945" s="257"/>
      <c r="G1945" s="249"/>
      <c r="H1945" s="250">
        <v>3907</v>
      </c>
      <c r="I1945" s="251">
        <f t="shared" ref="I1945:I1951" si="47">ROUND(H1945/$H$1952,4)</f>
        <v>0.1216</v>
      </c>
      <c r="J1945" s="253"/>
      <c r="K1945" s="226"/>
    </row>
    <row r="1946" spans="1:11" ht="10.15" customHeight="1" x14ac:dyDescent="0.2">
      <c r="A1946" s="248"/>
      <c r="B1946" s="248"/>
      <c r="C1946" s="261"/>
      <c r="D1946" s="244" t="s">
        <v>240</v>
      </c>
      <c r="E1946" s="281"/>
      <c r="F1946" s="257"/>
      <c r="G1946" s="249"/>
      <c r="H1946" s="250">
        <v>7521</v>
      </c>
      <c r="I1946" s="251">
        <f t="shared" si="47"/>
        <v>0.23400000000000001</v>
      </c>
      <c r="J1946" s="253" t="s">
        <v>240</v>
      </c>
      <c r="K1946" s="226"/>
    </row>
    <row r="1947" spans="1:11" ht="10.15" customHeight="1" x14ac:dyDescent="0.2">
      <c r="A1947" s="248"/>
      <c r="B1947" s="248"/>
      <c r="C1947" s="261"/>
      <c r="D1947" s="244" t="s">
        <v>243</v>
      </c>
      <c r="E1947" s="281"/>
      <c r="F1947" s="257"/>
      <c r="G1947" s="249"/>
      <c r="H1947" s="250">
        <v>725</v>
      </c>
      <c r="I1947" s="251">
        <f t="shared" si="47"/>
        <v>2.2599999999999999E-2</v>
      </c>
      <c r="J1947" s="253"/>
      <c r="K1947" s="226"/>
    </row>
    <row r="1948" spans="1:11" ht="10.15" customHeight="1" x14ac:dyDescent="0.2">
      <c r="A1948" s="248"/>
      <c r="B1948" s="248"/>
      <c r="C1948" s="261"/>
      <c r="D1948" s="244" t="s">
        <v>242</v>
      </c>
      <c r="E1948" s="281"/>
      <c r="F1948" s="257"/>
      <c r="G1948" s="249"/>
      <c r="H1948" s="250">
        <v>18813</v>
      </c>
      <c r="I1948" s="251">
        <f t="shared" si="47"/>
        <v>0.58530000000000004</v>
      </c>
      <c r="J1948" s="252" t="s">
        <v>242</v>
      </c>
      <c r="K1948" s="226"/>
    </row>
    <row r="1949" spans="1:11" ht="10.15" customHeight="1" x14ac:dyDescent="0.2">
      <c r="A1949" s="248"/>
      <c r="B1949" s="248"/>
      <c r="C1949" s="261"/>
      <c r="D1949" s="244" t="s">
        <v>244</v>
      </c>
      <c r="E1949" s="281"/>
      <c r="F1949" s="257"/>
      <c r="G1949" s="249"/>
      <c r="H1949" s="250">
        <v>274</v>
      </c>
      <c r="I1949" s="251">
        <f t="shared" si="47"/>
        <v>8.5000000000000006E-3</v>
      </c>
      <c r="J1949" s="253"/>
      <c r="K1949" s="226"/>
    </row>
    <row r="1950" spans="1:11" ht="10.15" customHeight="1" x14ac:dyDescent="0.2">
      <c r="A1950" s="248"/>
      <c r="B1950" s="248"/>
      <c r="C1950" s="261"/>
      <c r="D1950" s="244" t="s">
        <v>245</v>
      </c>
      <c r="E1950" s="281"/>
      <c r="F1950" s="257"/>
      <c r="G1950" s="249"/>
      <c r="H1950" s="250">
        <v>698</v>
      </c>
      <c r="I1950" s="251">
        <f t="shared" si="47"/>
        <v>2.1700000000000001E-2</v>
      </c>
      <c r="J1950" s="253"/>
      <c r="K1950" s="226"/>
    </row>
    <row r="1951" spans="1:11" ht="10.15" customHeight="1" x14ac:dyDescent="0.2">
      <c r="A1951" s="248"/>
      <c r="B1951" s="248"/>
      <c r="C1951" s="261"/>
      <c r="D1951" s="254" t="s">
        <v>246</v>
      </c>
      <c r="E1951" s="281"/>
      <c r="F1951" s="257"/>
      <c r="G1951" s="249"/>
      <c r="H1951" s="250">
        <v>202</v>
      </c>
      <c r="I1951" s="251">
        <f t="shared" si="47"/>
        <v>6.3E-3</v>
      </c>
      <c r="J1951" s="253"/>
      <c r="K1951" s="226"/>
    </row>
    <row r="1952" spans="1:11" ht="10.15" customHeight="1" x14ac:dyDescent="0.2">
      <c r="A1952" s="248"/>
      <c r="B1952" s="248"/>
      <c r="C1952" s="261"/>
      <c r="D1952" s="243" t="s">
        <v>33</v>
      </c>
      <c r="E1952" s="281"/>
      <c r="F1952" s="257"/>
      <c r="G1952" s="249"/>
      <c r="H1952" s="255">
        <f>SUM(H1945:H1951)</f>
        <v>32140</v>
      </c>
      <c r="I1952" s="256">
        <f>SUM(I1945:I1951)</f>
        <v>1</v>
      </c>
      <c r="J1952" s="253"/>
      <c r="K1952" s="226"/>
    </row>
    <row r="1953" spans="1:11" ht="10.15" customHeight="1" x14ac:dyDescent="0.2">
      <c r="A1953" s="248"/>
      <c r="B1953" s="261"/>
      <c r="C1953" s="261"/>
      <c r="D1953" s="243"/>
      <c r="E1953" s="281"/>
      <c r="F1953" s="257"/>
      <c r="G1953" s="249"/>
      <c r="H1953" s="258"/>
      <c r="I1953" s="259"/>
      <c r="J1953" s="253"/>
      <c r="K1953" s="226"/>
    </row>
    <row r="1954" spans="1:11" ht="10.15" customHeight="1" x14ac:dyDescent="0.2">
      <c r="A1954" s="243" t="s">
        <v>22</v>
      </c>
      <c r="B1954" s="243">
        <v>808</v>
      </c>
      <c r="C1954" s="243" t="s">
        <v>236</v>
      </c>
      <c r="D1954" s="244" t="s">
        <v>89</v>
      </c>
      <c r="E1954" s="277" t="s">
        <v>283</v>
      </c>
      <c r="F1954" s="245">
        <v>4023777</v>
      </c>
      <c r="G1954" s="246">
        <v>38190</v>
      </c>
      <c r="H1954" s="242"/>
      <c r="I1954" s="251"/>
      <c r="J1954" s="253"/>
      <c r="K1954" s="226"/>
    </row>
    <row r="1955" spans="1:11" ht="10.15" customHeight="1" x14ac:dyDescent="0.2">
      <c r="A1955" s="248"/>
      <c r="B1955" s="261"/>
      <c r="C1955" s="261"/>
      <c r="D1955" s="244" t="s">
        <v>242</v>
      </c>
      <c r="E1955" s="281"/>
      <c r="F1955" s="257"/>
      <c r="G1955" s="249"/>
      <c r="H1955" s="250">
        <v>3124</v>
      </c>
      <c r="I1955" s="251">
        <f>ROUND(H1955/$H$1958,4)</f>
        <v>0.12859999999999999</v>
      </c>
      <c r="J1955" s="253"/>
      <c r="K1955" s="226"/>
    </row>
    <row r="1956" spans="1:11" ht="10.15" customHeight="1" x14ac:dyDescent="0.2">
      <c r="A1956" s="248"/>
      <c r="B1956" s="261"/>
      <c r="C1956" s="261"/>
      <c r="D1956" s="244" t="s">
        <v>245</v>
      </c>
      <c r="E1956" s="281"/>
      <c r="F1956" s="257"/>
      <c r="G1956" s="249"/>
      <c r="H1956" s="250">
        <v>19926</v>
      </c>
      <c r="I1956" s="251">
        <f>ROUND(H1956/$H$1958,4)</f>
        <v>0.82</v>
      </c>
      <c r="J1956" s="252" t="s">
        <v>295</v>
      </c>
      <c r="K1956" s="226"/>
    </row>
    <row r="1957" spans="1:11" ht="10.15" customHeight="1" x14ac:dyDescent="0.2">
      <c r="A1957" s="248"/>
      <c r="B1957" s="261"/>
      <c r="C1957" s="261"/>
      <c r="D1957" s="254" t="s">
        <v>246</v>
      </c>
      <c r="E1957" s="281"/>
      <c r="F1957" s="257"/>
      <c r="G1957" s="249"/>
      <c r="H1957" s="250">
        <v>1249</v>
      </c>
      <c r="I1957" s="251">
        <f>ROUND(H1957/$H$1958,4)</f>
        <v>5.1400000000000001E-2</v>
      </c>
      <c r="J1957" s="253"/>
      <c r="K1957" s="226"/>
    </row>
    <row r="1958" spans="1:11" ht="10.15" customHeight="1" x14ac:dyDescent="0.2">
      <c r="A1958" s="248"/>
      <c r="B1958" s="261"/>
      <c r="C1958" s="261"/>
      <c r="D1958" s="243" t="s">
        <v>33</v>
      </c>
      <c r="E1958" s="281"/>
      <c r="F1958" s="257"/>
      <c r="G1958" s="249"/>
      <c r="H1958" s="255">
        <f>SUM(H1955:H1957)</f>
        <v>24299</v>
      </c>
      <c r="I1958" s="256">
        <f>SUM(I1955:I1957)</f>
        <v>0.99999999999999989</v>
      </c>
      <c r="J1958" s="253"/>
      <c r="K1958" s="226"/>
    </row>
    <row r="1959" spans="1:11" ht="10.15" customHeight="1" x14ac:dyDescent="0.2">
      <c r="A1959" s="248"/>
      <c r="B1959" s="261"/>
      <c r="C1959" s="261"/>
      <c r="D1959" s="249"/>
      <c r="E1959" s="281"/>
      <c r="F1959" s="257"/>
      <c r="G1959" s="249"/>
      <c r="H1959" s="242"/>
      <c r="I1959" s="251"/>
      <c r="J1959" s="253"/>
      <c r="K1959" s="226"/>
    </row>
    <row r="1960" spans="1:11" ht="10.15" customHeight="1" x14ac:dyDescent="0.2">
      <c r="A1960" s="243" t="s">
        <v>22</v>
      </c>
      <c r="B1960" s="243">
        <v>887</v>
      </c>
      <c r="C1960" s="243" t="s">
        <v>236</v>
      </c>
      <c r="D1960" s="244" t="s">
        <v>37</v>
      </c>
      <c r="E1960" s="277" t="s">
        <v>283</v>
      </c>
      <c r="F1960" s="245">
        <v>9481553</v>
      </c>
      <c r="G1960" s="246">
        <v>74052</v>
      </c>
      <c r="H1960" s="242"/>
      <c r="I1960" s="251"/>
      <c r="J1960" s="253"/>
      <c r="K1960" s="226"/>
    </row>
    <row r="1961" spans="1:11" ht="10.15" customHeight="1" x14ac:dyDescent="0.2">
      <c r="A1961" s="248"/>
      <c r="B1961" s="248"/>
      <c r="C1961" s="261"/>
      <c r="D1961" s="244" t="s">
        <v>240</v>
      </c>
      <c r="E1961" s="281"/>
      <c r="F1961" s="257"/>
      <c r="G1961" s="249"/>
      <c r="H1961" s="250">
        <v>7054</v>
      </c>
      <c r="I1961" s="251">
        <f>ROUND(H1961/$H$1966,4)</f>
        <v>0.18060000000000001</v>
      </c>
      <c r="J1961" s="253" t="s">
        <v>240</v>
      </c>
      <c r="K1961" s="226"/>
    </row>
    <row r="1962" spans="1:11" ht="10.15" customHeight="1" x14ac:dyDescent="0.2">
      <c r="A1962" s="248"/>
      <c r="B1962" s="248"/>
      <c r="C1962" s="261"/>
      <c r="D1962" s="244" t="s">
        <v>243</v>
      </c>
      <c r="E1962" s="281"/>
      <c r="F1962" s="257"/>
      <c r="G1962" s="249"/>
      <c r="H1962" s="250">
        <v>533</v>
      </c>
      <c r="I1962" s="251">
        <f>ROUND(H1962/$H$1966,4)</f>
        <v>1.3599999999999999E-2</v>
      </c>
      <c r="J1962" s="253"/>
      <c r="K1962" s="226"/>
    </row>
    <row r="1963" spans="1:11" ht="10.15" customHeight="1" x14ac:dyDescent="0.2">
      <c r="A1963" s="248"/>
      <c r="B1963" s="248"/>
      <c r="C1963" s="261"/>
      <c r="D1963" s="244" t="s">
        <v>242</v>
      </c>
      <c r="E1963" s="281"/>
      <c r="F1963" s="257"/>
      <c r="G1963" s="249"/>
      <c r="H1963" s="250">
        <v>4511</v>
      </c>
      <c r="I1963" s="251">
        <f>ROUND(H1963/$H$1966,4)</f>
        <v>0.11550000000000001</v>
      </c>
      <c r="J1963" s="253"/>
      <c r="K1963" s="226"/>
    </row>
    <row r="1964" spans="1:11" ht="10.15" customHeight="1" x14ac:dyDescent="0.2">
      <c r="A1964" s="248"/>
      <c r="B1964" s="248"/>
      <c r="C1964" s="261"/>
      <c r="D1964" s="244" t="s">
        <v>264</v>
      </c>
      <c r="E1964" s="281"/>
      <c r="F1964" s="257"/>
      <c r="G1964" s="249"/>
      <c r="H1964" s="250">
        <v>21017</v>
      </c>
      <c r="I1964" s="251">
        <f>ROUND(H1964/$H$1966,4)</f>
        <v>0.53820000000000001</v>
      </c>
      <c r="J1964" s="252" t="s">
        <v>264</v>
      </c>
      <c r="K1964" s="226"/>
    </row>
    <row r="1965" spans="1:11" ht="10.15" customHeight="1" x14ac:dyDescent="0.2">
      <c r="A1965" s="248"/>
      <c r="B1965" s="248"/>
      <c r="C1965" s="261"/>
      <c r="D1965" s="254" t="s">
        <v>246</v>
      </c>
      <c r="E1965" s="281"/>
      <c r="F1965" s="257"/>
      <c r="G1965" s="249"/>
      <c r="H1965" s="250">
        <v>5933</v>
      </c>
      <c r="I1965" s="251">
        <f>ROUND(H1965/$H$1966,4)+0.0002</f>
        <v>0.15210000000000001</v>
      </c>
      <c r="J1965" s="253"/>
      <c r="K1965" s="226"/>
    </row>
    <row r="1966" spans="1:11" ht="10.15" customHeight="1" x14ac:dyDescent="0.2">
      <c r="A1966" s="248"/>
      <c r="B1966" s="248"/>
      <c r="C1966" s="261"/>
      <c r="D1966" s="243" t="s">
        <v>33</v>
      </c>
      <c r="E1966" s="281"/>
      <c r="F1966" s="257"/>
      <c r="G1966" s="249"/>
      <c r="H1966" s="255">
        <f>SUM(H1961:H1965)</f>
        <v>39048</v>
      </c>
      <c r="I1966" s="256">
        <f>SUM(I1961:I1965)</f>
        <v>1</v>
      </c>
      <c r="J1966" s="253"/>
      <c r="K1966" s="226"/>
    </row>
    <row r="1967" spans="1:11" ht="10.15" customHeight="1" x14ac:dyDescent="0.2">
      <c r="A1967" s="248"/>
      <c r="B1967" s="248"/>
      <c r="C1967" s="261"/>
      <c r="D1967" s="249"/>
      <c r="E1967" s="281"/>
      <c r="F1967" s="257"/>
      <c r="G1967" s="249"/>
      <c r="H1967" s="242"/>
      <c r="I1967" s="251"/>
      <c r="J1967" s="253"/>
      <c r="K1967" s="226"/>
    </row>
    <row r="1968" spans="1:11" ht="10.15" customHeight="1" x14ac:dyDescent="0.2">
      <c r="A1968" s="243" t="s">
        <v>22</v>
      </c>
      <c r="B1968" s="243">
        <v>894</v>
      </c>
      <c r="C1968" s="243" t="s">
        <v>236</v>
      </c>
      <c r="D1968" s="244" t="s">
        <v>64</v>
      </c>
      <c r="E1968" s="277" t="s">
        <v>283</v>
      </c>
      <c r="F1968" s="245">
        <v>1720879</v>
      </c>
      <c r="G1968" s="246">
        <v>12478</v>
      </c>
      <c r="H1968" s="242"/>
      <c r="I1968" s="251"/>
      <c r="J1968" s="253"/>
      <c r="K1968" s="226"/>
    </row>
    <row r="1969" spans="1:11" ht="10.15" customHeight="1" x14ac:dyDescent="0.2">
      <c r="A1969" s="248"/>
      <c r="B1969" s="248"/>
      <c r="C1969" s="261"/>
      <c r="D1969" s="244" t="s">
        <v>242</v>
      </c>
      <c r="E1969" s="281"/>
      <c r="F1969" s="257"/>
      <c r="G1969" s="249"/>
      <c r="H1969" s="250">
        <v>4886</v>
      </c>
      <c r="I1969" s="251">
        <f>ROUND(H1969/$H$1973,4)</f>
        <v>0.65239999999999998</v>
      </c>
      <c r="J1969" s="252" t="s">
        <v>242</v>
      </c>
      <c r="K1969" s="226"/>
    </row>
    <row r="1970" spans="1:11" ht="10.15" customHeight="1" x14ac:dyDescent="0.2">
      <c r="A1970" s="248"/>
      <c r="B1970" s="248"/>
      <c r="C1970" s="261"/>
      <c r="D1970" s="244" t="s">
        <v>264</v>
      </c>
      <c r="E1970" s="281"/>
      <c r="F1970" s="257"/>
      <c r="G1970" s="249"/>
      <c r="H1970" s="250">
        <v>65</v>
      </c>
      <c r="I1970" s="251">
        <f>ROUND(H1970/$H$1973,4)</f>
        <v>8.6999999999999994E-3</v>
      </c>
      <c r="J1970" s="253"/>
      <c r="K1970" s="226"/>
    </row>
    <row r="1971" spans="1:11" ht="10.15" customHeight="1" x14ac:dyDescent="0.2">
      <c r="A1971" s="248"/>
      <c r="B1971" s="248"/>
      <c r="C1971" s="261"/>
      <c r="D1971" s="254" t="s">
        <v>246</v>
      </c>
      <c r="E1971" s="281"/>
      <c r="F1971" s="257"/>
      <c r="G1971" s="249"/>
      <c r="H1971" s="250">
        <v>370</v>
      </c>
      <c r="I1971" s="251">
        <f>ROUND(H1971/$H$1973,4)</f>
        <v>4.9399999999999999E-2</v>
      </c>
      <c r="J1971" s="253"/>
      <c r="K1971" s="226"/>
    </row>
    <row r="1972" spans="1:11" ht="10.15" customHeight="1" x14ac:dyDescent="0.2">
      <c r="A1972" s="248"/>
      <c r="B1972" s="248"/>
      <c r="C1972" s="261"/>
      <c r="D1972" s="244" t="s">
        <v>287</v>
      </c>
      <c r="E1972" s="281"/>
      <c r="F1972" s="257"/>
      <c r="G1972" s="249"/>
      <c r="H1972" s="250">
        <v>2168</v>
      </c>
      <c r="I1972" s="251">
        <f>ROUND(H1972/$H$1973,4)</f>
        <v>0.28949999999999998</v>
      </c>
      <c r="J1972" s="253"/>
      <c r="K1972" s="226"/>
    </row>
    <row r="1973" spans="1:11" ht="10.15" customHeight="1" x14ac:dyDescent="0.2">
      <c r="A1973" s="248"/>
      <c r="B1973" s="248"/>
      <c r="C1973" s="261"/>
      <c r="D1973" s="243" t="s">
        <v>33</v>
      </c>
      <c r="E1973" s="281"/>
      <c r="F1973" s="257"/>
      <c r="G1973" s="249"/>
      <c r="H1973" s="255">
        <f>SUM(H1969:H1972)</f>
        <v>7489</v>
      </c>
      <c r="I1973" s="256">
        <f>SUM(I1969:I1972)</f>
        <v>1</v>
      </c>
      <c r="J1973" s="253"/>
      <c r="K1973" s="226"/>
    </row>
    <row r="1974" spans="1:11" ht="10.15" customHeight="1" x14ac:dyDescent="0.2">
      <c r="A1974" s="243" t="s">
        <v>22</v>
      </c>
      <c r="B1974" s="243">
        <v>897</v>
      </c>
      <c r="C1974" s="243" t="s">
        <v>236</v>
      </c>
      <c r="D1974" s="244" t="s">
        <v>90</v>
      </c>
      <c r="E1974" s="277" t="s">
        <v>283</v>
      </c>
      <c r="F1974" s="245">
        <v>6058965</v>
      </c>
      <c r="G1974" s="246">
        <v>57604</v>
      </c>
      <c r="H1974" s="242"/>
      <c r="I1974" s="251"/>
      <c r="J1974" s="253"/>
      <c r="K1974" s="226"/>
    </row>
    <row r="1975" spans="1:11" ht="10.15" customHeight="1" x14ac:dyDescent="0.2">
      <c r="A1975" s="248"/>
      <c r="B1975" s="261"/>
      <c r="C1975" s="261"/>
      <c r="D1975" s="244" t="s">
        <v>242</v>
      </c>
      <c r="E1975" s="281"/>
      <c r="F1975" s="257"/>
      <c r="G1975" s="249"/>
      <c r="H1975" s="250">
        <v>4447</v>
      </c>
      <c r="I1975" s="251">
        <f>ROUND(H1975/$H$1979,4)</f>
        <v>0.17030000000000001</v>
      </c>
      <c r="J1975" s="253"/>
      <c r="K1975" s="226"/>
    </row>
    <row r="1976" spans="1:11" ht="10.15" customHeight="1" x14ac:dyDescent="0.2">
      <c r="A1976" s="248"/>
      <c r="B1976" s="261"/>
      <c r="C1976" s="261"/>
      <c r="D1976" s="244" t="s">
        <v>264</v>
      </c>
      <c r="E1976" s="281"/>
      <c r="F1976" s="257"/>
      <c r="G1976" s="249"/>
      <c r="H1976" s="250">
        <v>317</v>
      </c>
      <c r="I1976" s="251">
        <f>ROUND(H1976/$H$1979,4)</f>
        <v>1.21E-2</v>
      </c>
      <c r="J1976" s="253"/>
      <c r="K1976" s="226"/>
    </row>
    <row r="1977" spans="1:11" ht="10.15" customHeight="1" x14ac:dyDescent="0.2">
      <c r="A1977" s="248"/>
      <c r="B1977" s="261"/>
      <c r="C1977" s="261"/>
      <c r="D1977" s="244" t="s">
        <v>245</v>
      </c>
      <c r="E1977" s="281"/>
      <c r="F1977" s="257"/>
      <c r="G1977" s="249"/>
      <c r="H1977" s="250">
        <v>18967</v>
      </c>
      <c r="I1977" s="251">
        <f>ROUND(H1977/$H$1979,4)</f>
        <v>0.72619999999999996</v>
      </c>
      <c r="J1977" s="252" t="s">
        <v>295</v>
      </c>
      <c r="K1977" s="226"/>
    </row>
    <row r="1978" spans="1:11" ht="10.15" customHeight="1" x14ac:dyDescent="0.2">
      <c r="A1978" s="248"/>
      <c r="B1978" s="261"/>
      <c r="C1978" s="261"/>
      <c r="D1978" s="254" t="s">
        <v>246</v>
      </c>
      <c r="E1978" s="281"/>
      <c r="F1978" s="257"/>
      <c r="G1978" s="249"/>
      <c r="H1978" s="250">
        <v>2387</v>
      </c>
      <c r="I1978" s="251">
        <f>ROUND(H1978/$H$1979,4)</f>
        <v>9.1399999999999995E-2</v>
      </c>
      <c r="J1978" s="253"/>
      <c r="K1978" s="226"/>
    </row>
    <row r="1979" spans="1:11" ht="10.15" customHeight="1" x14ac:dyDescent="0.2">
      <c r="A1979" s="248"/>
      <c r="B1979" s="261"/>
      <c r="C1979" s="261"/>
      <c r="D1979" s="243" t="s">
        <v>33</v>
      </c>
      <c r="E1979" s="281"/>
      <c r="F1979" s="257"/>
      <c r="G1979" s="249"/>
      <c r="H1979" s="255">
        <f>SUM(H1975:H1978)</f>
        <v>26118</v>
      </c>
      <c r="I1979" s="256">
        <f>SUM(I1975:I1978)</f>
        <v>1</v>
      </c>
      <c r="J1979" s="253"/>
      <c r="K1979" s="226"/>
    </row>
    <row r="1980" spans="1:11" ht="10.15" customHeight="1" x14ac:dyDescent="0.2">
      <c r="A1980" s="248"/>
      <c r="B1980" s="261"/>
      <c r="C1980" s="261"/>
      <c r="D1980" s="243"/>
      <c r="E1980" s="281"/>
      <c r="F1980" s="257"/>
      <c r="G1980" s="249"/>
      <c r="H1980" s="246"/>
      <c r="I1980" s="262"/>
      <c r="J1980" s="253"/>
      <c r="K1980" s="226"/>
    </row>
    <row r="1981" spans="1:11" ht="10.15" customHeight="1" x14ac:dyDescent="0.2">
      <c r="A1981" s="261" t="s">
        <v>22</v>
      </c>
      <c r="B1981" s="261">
        <v>804</v>
      </c>
      <c r="C1981" s="243" t="s">
        <v>236</v>
      </c>
      <c r="D1981" s="263" t="s">
        <v>105</v>
      </c>
      <c r="E1981" s="336" t="s">
        <v>406</v>
      </c>
      <c r="F1981" s="257">
        <v>6030000</v>
      </c>
      <c r="G1981" s="249">
        <v>74582</v>
      </c>
      <c r="H1981" s="246"/>
      <c r="I1981" s="262"/>
      <c r="J1981" s="253"/>
      <c r="K1981" s="226"/>
    </row>
    <row r="1982" spans="1:11" ht="10.15" customHeight="1" x14ac:dyDescent="0.2">
      <c r="A1982" s="248"/>
      <c r="B1982" s="261"/>
      <c r="C1982" s="261"/>
      <c r="D1982" s="244" t="s">
        <v>242</v>
      </c>
      <c r="E1982" s="281"/>
      <c r="F1982" s="257"/>
      <c r="G1982" s="249"/>
      <c r="H1982" s="246">
        <v>19404</v>
      </c>
      <c r="I1982" s="251">
        <f>ROUND(H1982/$H$1984,4)</f>
        <v>0.35730000000000001</v>
      </c>
      <c r="J1982" s="252" t="s">
        <v>242</v>
      </c>
      <c r="K1982" s="226"/>
    </row>
    <row r="1983" spans="1:11" ht="10.15" customHeight="1" x14ac:dyDescent="0.2">
      <c r="A1983" s="248"/>
      <c r="B1983" s="261"/>
      <c r="C1983" s="261"/>
      <c r="D1983" s="254" t="s">
        <v>246</v>
      </c>
      <c r="E1983" s="281"/>
      <c r="F1983" s="257"/>
      <c r="G1983" s="249"/>
      <c r="H1983" s="246">
        <v>34898</v>
      </c>
      <c r="I1983" s="251">
        <f>ROUND(H1983/$H$1984,4)</f>
        <v>0.64270000000000005</v>
      </c>
      <c r="J1983" s="260" t="s">
        <v>246</v>
      </c>
      <c r="K1983" s="226"/>
    </row>
    <row r="1984" spans="1:11" ht="10.15" customHeight="1" x14ac:dyDescent="0.2">
      <c r="A1984" s="248"/>
      <c r="B1984" s="261"/>
      <c r="C1984" s="261"/>
      <c r="D1984" s="243" t="s">
        <v>33</v>
      </c>
      <c r="E1984" s="281"/>
      <c r="F1984" s="257"/>
      <c r="G1984" s="249"/>
      <c r="H1984" s="255">
        <f>SUM(H1982:H1983)</f>
        <v>54302</v>
      </c>
      <c r="I1984" s="256">
        <f>SUM(I1982:I1983)</f>
        <v>1</v>
      </c>
      <c r="J1984" s="253"/>
      <c r="K1984" s="226"/>
    </row>
    <row r="1985" spans="1:11" ht="10.15" customHeight="1" x14ac:dyDescent="0.2">
      <c r="A1985" s="249"/>
      <c r="B1985" s="249"/>
      <c r="C1985" s="284"/>
      <c r="D1985" s="249"/>
      <c r="E1985" s="281"/>
      <c r="F1985" s="249"/>
      <c r="G1985" s="249"/>
      <c r="H1985" s="242"/>
      <c r="I1985" s="242"/>
      <c r="J1985" s="242"/>
      <c r="K1985" s="226"/>
    </row>
    <row r="1986" spans="1:11" ht="10.15" customHeight="1" x14ac:dyDescent="0.2">
      <c r="A1986" s="243" t="s">
        <v>22</v>
      </c>
      <c r="B1986" s="243" t="s">
        <v>442</v>
      </c>
      <c r="C1986" s="243" t="s">
        <v>291</v>
      </c>
      <c r="D1986" s="244" t="s">
        <v>443</v>
      </c>
      <c r="E1986" s="277">
        <v>37181</v>
      </c>
      <c r="F1986" s="245">
        <v>11098000</v>
      </c>
      <c r="G1986" s="246">
        <v>82020</v>
      </c>
      <c r="H1986" s="242"/>
      <c r="I1986" s="251"/>
      <c r="J1986" s="253"/>
      <c r="K1986" s="226"/>
    </row>
    <row r="1987" spans="1:11" ht="10.15" customHeight="1" x14ac:dyDescent="0.2">
      <c r="A1987" s="248"/>
      <c r="B1987" s="261"/>
      <c r="C1987" s="261"/>
      <c r="D1987" s="244" t="s">
        <v>263</v>
      </c>
      <c r="E1987" s="281"/>
      <c r="F1987" s="257"/>
      <c r="G1987" s="249"/>
      <c r="H1987" s="250">
        <v>7681</v>
      </c>
      <c r="I1987" s="251">
        <f>ROUND(H1987/$H$1990,4)</f>
        <v>0.1313</v>
      </c>
      <c r="J1987" s="253"/>
      <c r="K1987" s="226"/>
    </row>
    <row r="1988" spans="1:11" ht="10.15" customHeight="1" x14ac:dyDescent="0.2">
      <c r="A1988" s="248"/>
      <c r="B1988" s="261"/>
      <c r="C1988" s="261"/>
      <c r="D1988" s="244" t="s">
        <v>264</v>
      </c>
      <c r="E1988" s="281"/>
      <c r="F1988" s="257"/>
      <c r="G1988" s="249"/>
      <c r="H1988" s="250">
        <v>350</v>
      </c>
      <c r="I1988" s="251">
        <f>ROUND(H1988/$H$1990,4)</f>
        <v>6.0000000000000001E-3</v>
      </c>
      <c r="J1988" s="253"/>
      <c r="K1988" s="226"/>
    </row>
    <row r="1989" spans="1:11" ht="10.15" customHeight="1" x14ac:dyDescent="0.2">
      <c r="A1989" s="248"/>
      <c r="B1989" s="261"/>
      <c r="C1989" s="261"/>
      <c r="D1989" s="244" t="s">
        <v>290</v>
      </c>
      <c r="E1989" s="281"/>
      <c r="F1989" s="257"/>
      <c r="G1989" s="249"/>
      <c r="H1989" s="250">
        <v>50468</v>
      </c>
      <c r="I1989" s="251">
        <f>ROUND(H1989/$H$1990,4)</f>
        <v>0.86270000000000002</v>
      </c>
      <c r="J1989" s="253" t="s">
        <v>290</v>
      </c>
      <c r="K1989" s="226"/>
    </row>
    <row r="1990" spans="1:11" ht="10.15" customHeight="1" x14ac:dyDescent="0.2">
      <c r="A1990" s="248"/>
      <c r="B1990" s="261"/>
      <c r="C1990" s="261"/>
      <c r="D1990" s="243" t="s">
        <v>33</v>
      </c>
      <c r="E1990" s="281"/>
      <c r="F1990" s="257"/>
      <c r="G1990" s="249"/>
      <c r="H1990" s="255">
        <f>SUM(H1987:H1989)</f>
        <v>58499</v>
      </c>
      <c r="I1990" s="256">
        <f>SUM(I1987:I1989)</f>
        <v>1</v>
      </c>
      <c r="J1990" s="253"/>
      <c r="K1990" s="226"/>
    </row>
    <row r="1991" spans="1:11" ht="10.15" customHeight="1" x14ac:dyDescent="0.2">
      <c r="A1991" s="248"/>
      <c r="B1991" s="261"/>
      <c r="C1991" s="261"/>
      <c r="D1991" s="243"/>
      <c r="E1991" s="281"/>
      <c r="F1991" s="257"/>
      <c r="G1991" s="249"/>
      <c r="H1991" s="246"/>
      <c r="I1991" s="262"/>
      <c r="J1991" s="248"/>
      <c r="K1991" s="226"/>
    </row>
    <row r="1992" spans="1:11" ht="10.15" customHeight="1" x14ac:dyDescent="0.2">
      <c r="A1992" s="243" t="s">
        <v>22</v>
      </c>
      <c r="B1992" s="243">
        <v>850</v>
      </c>
      <c r="C1992" s="243" t="s">
        <v>291</v>
      </c>
      <c r="D1992" s="244" t="s">
        <v>444</v>
      </c>
      <c r="E1992" s="277">
        <v>37015</v>
      </c>
      <c r="F1992" s="245">
        <v>12574594</v>
      </c>
      <c r="G1992" s="246">
        <v>90727</v>
      </c>
      <c r="H1992" s="242"/>
      <c r="I1992" s="242"/>
      <c r="J1992" s="253"/>
      <c r="K1992" s="226"/>
    </row>
    <row r="1993" spans="1:11" ht="10.15" customHeight="1" x14ac:dyDescent="0.2">
      <c r="A1993" s="248"/>
      <c r="B1993" s="248"/>
      <c r="C1993" s="261"/>
      <c r="D1993" s="244" t="s">
        <v>263</v>
      </c>
      <c r="E1993" s="281"/>
      <c r="F1993" s="257"/>
      <c r="G1993" s="249"/>
      <c r="H1993" s="250">
        <v>7273</v>
      </c>
      <c r="I1993" s="251">
        <f>H1993/$H$2000</f>
        <v>0.11754343434343434</v>
      </c>
      <c r="J1993" s="253"/>
      <c r="K1993" s="226"/>
    </row>
    <row r="1994" spans="1:11" ht="10.15" customHeight="1" x14ac:dyDescent="0.2">
      <c r="A1994" s="248"/>
      <c r="B1994" s="248"/>
      <c r="C1994" s="261"/>
      <c r="D1994" s="244" t="s">
        <v>240</v>
      </c>
      <c r="E1994" s="281"/>
      <c r="F1994" s="257"/>
      <c r="G1994" s="249"/>
      <c r="H1994" s="250">
        <v>30330</v>
      </c>
      <c r="I1994" s="251">
        <f t="shared" ref="I1994:I1999" si="48">H1994/$H$2000</f>
        <v>0.49018181818181816</v>
      </c>
      <c r="J1994" s="253" t="s">
        <v>240</v>
      </c>
      <c r="K1994" s="226"/>
    </row>
    <row r="1995" spans="1:11" ht="10.15" customHeight="1" x14ac:dyDescent="0.2">
      <c r="A1995" s="248"/>
      <c r="B1995" s="248"/>
      <c r="C1995" s="261"/>
      <c r="D1995" s="244" t="s">
        <v>286</v>
      </c>
      <c r="E1995" s="281"/>
      <c r="F1995" s="257"/>
      <c r="G1995" s="249"/>
      <c r="H1995" s="250">
        <v>1237</v>
      </c>
      <c r="I1995" s="251">
        <f t="shared" si="48"/>
        <v>1.9991919191919193E-2</v>
      </c>
      <c r="J1995" s="253"/>
      <c r="K1995" s="226"/>
    </row>
    <row r="1996" spans="1:11" ht="10.15" customHeight="1" x14ac:dyDescent="0.2">
      <c r="A1996" s="248"/>
      <c r="B1996" s="248"/>
      <c r="C1996" s="261"/>
      <c r="D1996" s="244" t="s">
        <v>264</v>
      </c>
      <c r="E1996" s="281"/>
      <c r="F1996" s="257"/>
      <c r="G1996" s="249"/>
      <c r="H1996" s="250">
        <v>2419</v>
      </c>
      <c r="I1996" s="251">
        <f t="shared" si="48"/>
        <v>3.9094949494949495E-2</v>
      </c>
      <c r="J1996" s="252"/>
      <c r="K1996" s="226"/>
    </row>
    <row r="1997" spans="1:11" ht="10.15" customHeight="1" x14ac:dyDescent="0.2">
      <c r="A1997" s="248"/>
      <c r="B1997" s="248"/>
      <c r="C1997" s="261"/>
      <c r="D1997" s="244" t="s">
        <v>295</v>
      </c>
      <c r="E1997" s="281"/>
      <c r="F1997" s="257"/>
      <c r="G1997" s="249"/>
      <c r="H1997" s="250">
        <v>1320</v>
      </c>
      <c r="I1997" s="251">
        <f t="shared" si="48"/>
        <v>2.1333333333333333E-2</v>
      </c>
      <c r="J1997" s="253"/>
      <c r="K1997" s="226"/>
    </row>
    <row r="1998" spans="1:11" ht="10.15" customHeight="1" x14ac:dyDescent="0.2">
      <c r="A1998" s="248"/>
      <c r="B1998" s="248"/>
      <c r="C1998" s="261"/>
      <c r="D1998" s="244" t="s">
        <v>290</v>
      </c>
      <c r="E1998" s="281"/>
      <c r="F1998" s="257"/>
      <c r="G1998" s="249"/>
      <c r="H1998" s="250">
        <v>16980</v>
      </c>
      <c r="I1998" s="251">
        <f t="shared" si="48"/>
        <v>0.2744242424242424</v>
      </c>
      <c r="J1998" s="253"/>
      <c r="K1998" s="226"/>
    </row>
    <row r="1999" spans="1:11" ht="10.15" customHeight="1" x14ac:dyDescent="0.2">
      <c r="A1999" s="248"/>
      <c r="B1999" s="248"/>
      <c r="C1999" s="261"/>
      <c r="D1999" s="254" t="s">
        <v>294</v>
      </c>
      <c r="E1999" s="281"/>
      <c r="F1999" s="257"/>
      <c r="G1999" s="249"/>
      <c r="H1999" s="250">
        <v>2316</v>
      </c>
      <c r="I1999" s="251">
        <f t="shared" si="48"/>
        <v>3.7430303030303029E-2</v>
      </c>
      <c r="J1999" s="253"/>
      <c r="K1999" s="226"/>
    </row>
    <row r="2000" spans="1:11" ht="10.15" customHeight="1" x14ac:dyDescent="0.2">
      <c r="A2000" s="248"/>
      <c r="B2000" s="248"/>
      <c r="C2000" s="261"/>
      <c r="D2000" s="243" t="s">
        <v>33</v>
      </c>
      <c r="E2000" s="281"/>
      <c r="F2000" s="257"/>
      <c r="G2000" s="249"/>
      <c r="H2000" s="255">
        <f>SUM(H1993:H1999)</f>
        <v>61875</v>
      </c>
      <c r="I2000" s="256">
        <f>SUM(I1993:I1999)</f>
        <v>1</v>
      </c>
      <c r="J2000" s="253"/>
      <c r="K2000" s="226"/>
    </row>
    <row r="2001" spans="1:11" ht="10.15" customHeight="1" x14ac:dyDescent="0.2">
      <c r="A2001" s="248"/>
      <c r="B2001" s="261"/>
      <c r="C2001" s="261"/>
      <c r="D2001" s="243"/>
      <c r="E2001" s="281"/>
      <c r="F2001" s="257"/>
      <c r="G2001" s="249"/>
      <c r="H2001" s="246"/>
      <c r="I2001" s="262"/>
      <c r="J2001" s="253"/>
      <c r="K2001" s="226"/>
    </row>
    <row r="2002" spans="1:11" ht="10.15" customHeight="1" x14ac:dyDescent="0.2">
      <c r="A2002" s="261" t="s">
        <v>22</v>
      </c>
      <c r="B2002" s="261">
        <v>824</v>
      </c>
      <c r="C2002" s="243" t="s">
        <v>291</v>
      </c>
      <c r="D2002" s="263" t="s">
        <v>468</v>
      </c>
      <c r="E2002" s="336">
        <v>37607</v>
      </c>
      <c r="F2002" s="257">
        <v>2327023</v>
      </c>
      <c r="G2002" s="249">
        <v>15877</v>
      </c>
      <c r="H2002" s="246"/>
      <c r="I2002" s="262"/>
      <c r="J2002" s="253"/>
      <c r="K2002" s="226"/>
    </row>
    <row r="2003" spans="1:11" ht="10.15" customHeight="1" x14ac:dyDescent="0.2">
      <c r="A2003" s="248"/>
      <c r="B2003" s="261"/>
      <c r="C2003" s="261"/>
      <c r="D2003" s="244" t="s">
        <v>242</v>
      </c>
      <c r="E2003" s="281"/>
      <c r="F2003" s="257"/>
      <c r="G2003" s="249"/>
      <c r="H2003" s="246">
        <v>9642</v>
      </c>
      <c r="I2003" s="251">
        <f>ROUND(H2003/$H$2005,4)</f>
        <v>0.96</v>
      </c>
      <c r="J2003" s="252" t="s">
        <v>242</v>
      </c>
      <c r="K2003" s="226"/>
    </row>
    <row r="2004" spans="1:11" ht="10.15" customHeight="1" x14ac:dyDescent="0.2">
      <c r="A2004" s="248"/>
      <c r="B2004" s="261"/>
      <c r="C2004" s="261"/>
      <c r="D2004" s="254" t="s">
        <v>246</v>
      </c>
      <c r="E2004" s="281"/>
      <c r="F2004" s="257"/>
      <c r="G2004" s="249"/>
      <c r="H2004" s="246">
        <v>402</v>
      </c>
      <c r="I2004" s="262">
        <f>ROUND(H2004/$H$2005,4)</f>
        <v>0.04</v>
      </c>
      <c r="J2004" s="335"/>
      <c r="K2004" s="226"/>
    </row>
    <row r="2005" spans="1:11" ht="10.15" customHeight="1" x14ac:dyDescent="0.2">
      <c r="A2005" s="248"/>
      <c r="B2005" s="261"/>
      <c r="C2005" s="261"/>
      <c r="D2005" s="243" t="s">
        <v>33</v>
      </c>
      <c r="E2005" s="281"/>
      <c r="F2005" s="257"/>
      <c r="G2005" s="249"/>
      <c r="H2005" s="255">
        <f>SUM(H2003:H2004)</f>
        <v>10044</v>
      </c>
      <c r="I2005" s="256">
        <f>SUM(I2003:I2004)</f>
        <v>1</v>
      </c>
      <c r="J2005" s="248"/>
      <c r="K2005" s="226"/>
    </row>
    <row r="2006" spans="1:11" ht="10.15" customHeight="1" x14ac:dyDescent="0.2">
      <c r="A2006" s="248"/>
      <c r="B2006" s="261"/>
      <c r="C2006" s="261"/>
      <c r="D2006" s="243"/>
      <c r="E2006" s="281"/>
      <c r="F2006" s="257"/>
      <c r="G2006" s="249"/>
      <c r="H2006" s="246"/>
      <c r="I2006" s="262"/>
      <c r="J2006" s="253"/>
      <c r="K2006" s="226"/>
    </row>
    <row r="2007" spans="1:11" ht="10.15" customHeight="1" x14ac:dyDescent="0.2">
      <c r="A2007" s="243" t="s">
        <v>22</v>
      </c>
      <c r="B2007" s="243">
        <v>874</v>
      </c>
      <c r="C2007" s="243" t="s">
        <v>291</v>
      </c>
      <c r="D2007" s="244" t="s">
        <v>469</v>
      </c>
      <c r="E2007" s="277">
        <v>37560</v>
      </c>
      <c r="F2007" s="245">
        <v>4081833</v>
      </c>
      <c r="G2007" s="246">
        <v>33829</v>
      </c>
      <c r="H2007" s="242"/>
      <c r="I2007" s="242"/>
      <c r="J2007" s="253"/>
      <c r="K2007" s="226"/>
    </row>
    <row r="2008" spans="1:11" ht="10.15" customHeight="1" x14ac:dyDescent="0.2">
      <c r="A2008" s="248"/>
      <c r="B2008" s="248"/>
      <c r="C2008" s="261"/>
      <c r="D2008" s="244" t="s">
        <v>263</v>
      </c>
      <c r="E2008" s="281"/>
      <c r="F2008" s="257"/>
      <c r="G2008" s="249"/>
      <c r="H2008" s="250">
        <v>8502</v>
      </c>
      <c r="I2008" s="251">
        <f t="shared" ref="I2008:I2013" si="49">ROUND(H2008/$H$2014,4)</f>
        <v>0.34420000000000001</v>
      </c>
      <c r="J2008" s="253"/>
      <c r="K2008" s="226"/>
    </row>
    <row r="2009" spans="1:11" ht="10.15" customHeight="1" x14ac:dyDescent="0.2">
      <c r="A2009" s="248"/>
      <c r="B2009" s="248"/>
      <c r="C2009" s="261"/>
      <c r="D2009" s="244" t="s">
        <v>240</v>
      </c>
      <c r="E2009" s="281"/>
      <c r="F2009" s="257"/>
      <c r="G2009" s="249"/>
      <c r="H2009" s="250">
        <v>4689</v>
      </c>
      <c r="I2009" s="251">
        <f t="shared" si="49"/>
        <v>0.18990000000000001</v>
      </c>
      <c r="J2009" s="253"/>
      <c r="K2009" s="226"/>
    </row>
    <row r="2010" spans="1:11" ht="10.15" customHeight="1" x14ac:dyDescent="0.2">
      <c r="A2010" s="248"/>
      <c r="B2010" s="248"/>
      <c r="C2010" s="261"/>
      <c r="D2010" s="244" t="s">
        <v>244</v>
      </c>
      <c r="E2010" s="281"/>
      <c r="F2010" s="257"/>
      <c r="G2010" s="249"/>
      <c r="H2010" s="250">
        <v>241</v>
      </c>
      <c r="I2010" s="251">
        <f t="shared" si="49"/>
        <v>9.7999999999999997E-3</v>
      </c>
      <c r="J2010" s="253"/>
      <c r="K2010" s="226"/>
    </row>
    <row r="2011" spans="1:11" ht="10.15" customHeight="1" x14ac:dyDescent="0.2">
      <c r="A2011" s="248"/>
      <c r="B2011" s="248"/>
      <c r="C2011" s="261"/>
      <c r="D2011" s="244" t="s">
        <v>264</v>
      </c>
      <c r="E2011" s="281"/>
      <c r="F2011" s="257"/>
      <c r="G2011" s="249"/>
      <c r="H2011" s="250">
        <v>3157</v>
      </c>
      <c r="I2011" s="251">
        <f t="shared" si="49"/>
        <v>0.1278</v>
      </c>
      <c r="J2011" s="252"/>
      <c r="K2011" s="226"/>
    </row>
    <row r="2012" spans="1:11" ht="10.15" customHeight="1" x14ac:dyDescent="0.2">
      <c r="A2012" s="248"/>
      <c r="B2012" s="248"/>
      <c r="C2012" s="261"/>
      <c r="D2012" s="244" t="s">
        <v>290</v>
      </c>
      <c r="E2012" s="281"/>
      <c r="F2012" s="257"/>
      <c r="G2012" s="249"/>
      <c r="H2012" s="250">
        <v>7337</v>
      </c>
      <c r="I2012" s="251">
        <f t="shared" si="49"/>
        <v>0.29709999999999998</v>
      </c>
      <c r="J2012" s="252" t="s">
        <v>290</v>
      </c>
      <c r="K2012" s="226"/>
    </row>
    <row r="2013" spans="1:11" ht="10.15" customHeight="1" x14ac:dyDescent="0.2">
      <c r="A2013" s="248"/>
      <c r="B2013" s="248"/>
      <c r="C2013" s="261"/>
      <c r="D2013" s="254" t="s">
        <v>246</v>
      </c>
      <c r="E2013" s="281"/>
      <c r="F2013" s="257"/>
      <c r="G2013" s="249"/>
      <c r="H2013" s="246">
        <v>772</v>
      </c>
      <c r="I2013" s="262">
        <f t="shared" si="49"/>
        <v>3.1300000000000001E-2</v>
      </c>
      <c r="J2013" s="249"/>
      <c r="K2013" s="226"/>
    </row>
    <row r="2014" spans="1:11" ht="10.15" customHeight="1" x14ac:dyDescent="0.2">
      <c r="A2014" s="248"/>
      <c r="B2014" s="248"/>
      <c r="C2014" s="261"/>
      <c r="D2014" s="243" t="s">
        <v>33</v>
      </c>
      <c r="E2014" s="281"/>
      <c r="F2014" s="257"/>
      <c r="G2014" s="249"/>
      <c r="H2014" s="255">
        <f>SUM(H2008:H2013)</f>
        <v>24698</v>
      </c>
      <c r="I2014" s="256">
        <f>SUM(I2008:I2013)</f>
        <v>1.0001000000000002</v>
      </c>
      <c r="J2014" s="248"/>
      <c r="K2014" s="226"/>
    </row>
    <row r="2015" spans="1:11" ht="10.15" customHeight="1" x14ac:dyDescent="0.2">
      <c r="A2015" s="248"/>
      <c r="B2015" s="248"/>
      <c r="C2015" s="261"/>
      <c r="D2015" s="243"/>
      <c r="E2015" s="281"/>
      <c r="F2015" s="257"/>
      <c r="G2015" s="249"/>
      <c r="H2015" s="246"/>
      <c r="I2015" s="262"/>
      <c r="J2015" s="248"/>
      <c r="K2015" s="226"/>
    </row>
    <row r="2016" spans="1:11" ht="10.15" customHeight="1" x14ac:dyDescent="0.2">
      <c r="A2016" s="243" t="s">
        <v>22</v>
      </c>
      <c r="B2016" s="243">
        <v>860</v>
      </c>
      <c r="C2016" s="243" t="s">
        <v>291</v>
      </c>
      <c r="D2016" s="244" t="s">
        <v>89</v>
      </c>
      <c r="E2016" s="277">
        <v>37753</v>
      </c>
      <c r="F2016" s="245">
        <v>5299000</v>
      </c>
      <c r="G2016" s="246">
        <v>36110</v>
      </c>
      <c r="H2016" s="242"/>
      <c r="I2016" s="242"/>
      <c r="J2016" s="253"/>
      <c r="K2016" s="226"/>
    </row>
    <row r="2017" spans="1:11" ht="10.15" customHeight="1" x14ac:dyDescent="0.2">
      <c r="A2017" s="248"/>
      <c r="B2017" s="248"/>
      <c r="C2017" s="261"/>
      <c r="D2017" s="244" t="s">
        <v>295</v>
      </c>
      <c r="E2017" s="281"/>
      <c r="F2017" s="257"/>
      <c r="G2017" s="249"/>
      <c r="H2017" s="250">
        <v>1940</v>
      </c>
      <c r="I2017" s="251">
        <f>H2017/$H$2021</f>
        <v>7.4375095844195674E-2</v>
      </c>
      <c r="J2017" s="253"/>
      <c r="K2017" s="226"/>
    </row>
    <row r="2018" spans="1:11" ht="10.15" customHeight="1" x14ac:dyDescent="0.2">
      <c r="A2018" s="248"/>
      <c r="B2018" s="248"/>
      <c r="C2018" s="261"/>
      <c r="D2018" s="244" t="s">
        <v>290</v>
      </c>
      <c r="E2018" s="281"/>
      <c r="F2018" s="257"/>
      <c r="G2018" s="249"/>
      <c r="H2018" s="250">
        <v>7522</v>
      </c>
      <c r="I2018" s="251">
        <f>H2018/$H$2021</f>
        <v>0.28837601594847417</v>
      </c>
      <c r="J2018" s="252" t="s">
        <v>290</v>
      </c>
      <c r="K2018" s="226"/>
    </row>
    <row r="2019" spans="1:11" ht="10.15" customHeight="1" x14ac:dyDescent="0.2">
      <c r="A2019" s="248"/>
      <c r="B2019" s="248"/>
      <c r="C2019" s="261"/>
      <c r="D2019" s="254" t="s">
        <v>294</v>
      </c>
      <c r="E2019" s="281"/>
      <c r="F2019" s="257"/>
      <c r="G2019" s="249"/>
      <c r="H2019" s="250">
        <v>870</v>
      </c>
      <c r="I2019" s="251">
        <f>H2019/$H$2021</f>
        <v>3.3353780095077445E-2</v>
      </c>
      <c r="J2019" s="253"/>
      <c r="K2019" s="226"/>
    </row>
    <row r="2020" spans="1:11" ht="10.15" customHeight="1" x14ac:dyDescent="0.2">
      <c r="A2020" s="248"/>
      <c r="B2020" s="248"/>
      <c r="C2020" s="261"/>
      <c r="D2020" s="244" t="s">
        <v>480</v>
      </c>
      <c r="E2020" s="281"/>
      <c r="F2020" s="257"/>
      <c r="G2020" s="249"/>
      <c r="H2020" s="250">
        <v>15752</v>
      </c>
      <c r="I2020" s="251">
        <f>H2020/$H$2021</f>
        <v>0.60389510811225278</v>
      </c>
      <c r="J2020" s="253" t="s">
        <v>480</v>
      </c>
      <c r="K2020" s="226"/>
    </row>
    <row r="2021" spans="1:11" ht="10.15" customHeight="1" x14ac:dyDescent="0.2">
      <c r="A2021" s="248"/>
      <c r="B2021" s="248"/>
      <c r="C2021" s="261"/>
      <c r="D2021" s="243" t="s">
        <v>33</v>
      </c>
      <c r="E2021" s="281"/>
      <c r="F2021" s="257"/>
      <c r="G2021" s="249"/>
      <c r="H2021" s="255">
        <f>SUM(H2017:H2020)</f>
        <v>26084</v>
      </c>
      <c r="I2021" s="256">
        <f>SUM(I2017:I2020)</f>
        <v>1</v>
      </c>
      <c r="J2021" s="253"/>
      <c r="K2021" s="226"/>
    </row>
    <row r="2022" spans="1:11" ht="10.15" customHeight="1" x14ac:dyDescent="0.2">
      <c r="A2022" s="248"/>
      <c r="B2022" s="248"/>
      <c r="C2022" s="261"/>
      <c r="D2022" s="243"/>
      <c r="E2022" s="281"/>
      <c r="F2022" s="257"/>
      <c r="G2022" s="249"/>
      <c r="H2022" s="246"/>
      <c r="I2022" s="262"/>
      <c r="J2022" s="248"/>
      <c r="K2022" s="226"/>
    </row>
    <row r="2023" spans="1:11" ht="10.15" customHeight="1" x14ac:dyDescent="0.2">
      <c r="A2023" s="243" t="s">
        <v>22</v>
      </c>
      <c r="B2023" s="243">
        <v>873</v>
      </c>
      <c r="C2023" s="243" t="s">
        <v>291</v>
      </c>
      <c r="D2023" s="244" t="s">
        <v>481</v>
      </c>
      <c r="E2023" s="277">
        <v>37819</v>
      </c>
      <c r="F2023" s="245">
        <v>5970314</v>
      </c>
      <c r="G2023" s="246">
        <v>50017</v>
      </c>
      <c r="H2023" s="242"/>
      <c r="I2023" s="242"/>
      <c r="J2023" s="253"/>
      <c r="K2023" s="226"/>
    </row>
    <row r="2024" spans="1:11" ht="10.15" customHeight="1" x14ac:dyDescent="0.2">
      <c r="A2024" s="248"/>
      <c r="B2024" s="248"/>
      <c r="C2024" s="261"/>
      <c r="D2024" s="244" t="s">
        <v>316</v>
      </c>
      <c r="E2024" s="281"/>
      <c r="F2024" s="257"/>
      <c r="G2024" s="249"/>
      <c r="H2024" s="250">
        <v>34389</v>
      </c>
      <c r="I2024" s="251">
        <f>H2024/$H$2027</f>
        <v>0.90030630677801926</v>
      </c>
      <c r="J2024" s="252" t="s">
        <v>316</v>
      </c>
      <c r="K2024" s="226"/>
    </row>
    <row r="2025" spans="1:11" ht="10.15" customHeight="1" x14ac:dyDescent="0.2">
      <c r="A2025" s="248"/>
      <c r="B2025" s="248"/>
      <c r="C2025" s="261"/>
      <c r="D2025" s="244" t="s">
        <v>290</v>
      </c>
      <c r="E2025" s="281"/>
      <c r="F2025" s="257"/>
      <c r="G2025" s="249"/>
      <c r="H2025" s="250">
        <v>1553</v>
      </c>
      <c r="I2025" s="251">
        <f>H2025/$H$2027</f>
        <v>4.0657643270413907E-2</v>
      </c>
      <c r="J2025" s="252"/>
      <c r="K2025" s="226"/>
    </row>
    <row r="2026" spans="1:11" ht="10.15" customHeight="1" x14ac:dyDescent="0.2">
      <c r="A2026" s="248"/>
      <c r="B2026" s="248"/>
      <c r="C2026" s="261"/>
      <c r="D2026" s="254" t="s">
        <v>294</v>
      </c>
      <c r="E2026" s="281"/>
      <c r="F2026" s="257"/>
      <c r="G2026" s="249"/>
      <c r="H2026" s="250">
        <v>2255</v>
      </c>
      <c r="I2026" s="251">
        <f>H2026/$H$2027</f>
        <v>5.9036049951566874E-2</v>
      </c>
      <c r="J2026" s="253"/>
      <c r="K2026" s="226"/>
    </row>
    <row r="2027" spans="1:11" ht="10.15" customHeight="1" x14ac:dyDescent="0.2">
      <c r="A2027" s="248"/>
      <c r="B2027" s="248"/>
      <c r="C2027" s="261"/>
      <c r="D2027" s="243" t="s">
        <v>33</v>
      </c>
      <c r="E2027" s="281"/>
      <c r="F2027" s="257"/>
      <c r="G2027" s="249"/>
      <c r="H2027" s="255">
        <f>SUM(H2024:H2026)</f>
        <v>38197</v>
      </c>
      <c r="I2027" s="256">
        <f>SUM(I2024:I2026)</f>
        <v>1</v>
      </c>
      <c r="J2027" s="253"/>
      <c r="K2027" s="226"/>
    </row>
    <row r="2028" spans="1:11" ht="10.15" customHeight="1" x14ac:dyDescent="0.2">
      <c r="A2028" s="248"/>
      <c r="B2028" s="248"/>
      <c r="C2028" s="261"/>
      <c r="D2028" s="243"/>
      <c r="E2028" s="281"/>
      <c r="F2028" s="257"/>
      <c r="G2028" s="249"/>
      <c r="H2028" s="246"/>
      <c r="I2028" s="262"/>
      <c r="J2028" s="248"/>
      <c r="K2028" s="226"/>
    </row>
    <row r="2029" spans="1:11" ht="10.15" customHeight="1" x14ac:dyDescent="0.2">
      <c r="A2029" s="243" t="s">
        <v>22</v>
      </c>
      <c r="B2029" s="243">
        <v>824</v>
      </c>
      <c r="C2029" s="243" t="s">
        <v>291</v>
      </c>
      <c r="D2029" s="244" t="s">
        <v>468</v>
      </c>
      <c r="E2029" s="277">
        <v>37635</v>
      </c>
      <c r="F2029" s="245">
        <v>2336804</v>
      </c>
      <c r="G2029" s="246">
        <v>15877</v>
      </c>
      <c r="H2029" s="242"/>
      <c r="I2029" s="242"/>
      <c r="J2029" s="253"/>
      <c r="K2029" s="226"/>
    </row>
    <row r="2030" spans="1:11" ht="10.15" customHeight="1" x14ac:dyDescent="0.2">
      <c r="A2030" s="248"/>
      <c r="B2030" s="248"/>
      <c r="C2030" s="261"/>
      <c r="D2030" s="244" t="s">
        <v>290</v>
      </c>
      <c r="E2030" s="281"/>
      <c r="F2030" s="257"/>
      <c r="G2030" s="249"/>
      <c r="H2030" s="250">
        <v>9642</v>
      </c>
      <c r="I2030" s="251">
        <f>H2030/$H$2032</f>
        <v>0.95997610513739551</v>
      </c>
      <c r="J2030" s="252" t="s">
        <v>290</v>
      </c>
      <c r="K2030" s="226"/>
    </row>
    <row r="2031" spans="1:11" ht="10.15" customHeight="1" x14ac:dyDescent="0.2">
      <c r="A2031" s="248"/>
      <c r="B2031" s="248"/>
      <c r="C2031" s="261"/>
      <c r="D2031" s="254" t="s">
        <v>294</v>
      </c>
      <c r="E2031" s="281"/>
      <c r="F2031" s="257"/>
      <c r="G2031" s="249"/>
      <c r="H2031" s="250">
        <v>402</v>
      </c>
      <c r="I2031" s="251">
        <f>H2031/$H$2032</f>
        <v>4.0023894862604541E-2</v>
      </c>
      <c r="J2031" s="253"/>
      <c r="K2031" s="226"/>
    </row>
    <row r="2032" spans="1:11" ht="10.15" customHeight="1" x14ac:dyDescent="0.2">
      <c r="A2032" s="248"/>
      <c r="B2032" s="248"/>
      <c r="C2032" s="261"/>
      <c r="D2032" s="243" t="s">
        <v>33</v>
      </c>
      <c r="E2032" s="281"/>
      <c r="F2032" s="257"/>
      <c r="G2032" s="249"/>
      <c r="H2032" s="255">
        <f>SUM(H2030:H2031)</f>
        <v>10044</v>
      </c>
      <c r="I2032" s="256">
        <f>SUM(I2030:I2031)</f>
        <v>1</v>
      </c>
      <c r="J2032" s="253"/>
      <c r="K2032" s="226"/>
    </row>
    <row r="2033" spans="1:11" ht="10.15" customHeight="1" x14ac:dyDescent="0.2">
      <c r="A2033" s="248"/>
      <c r="B2033" s="248"/>
      <c r="C2033" s="261"/>
      <c r="D2033" s="243"/>
      <c r="E2033" s="281"/>
      <c r="F2033" s="257"/>
      <c r="G2033" s="249"/>
      <c r="H2033" s="246"/>
      <c r="I2033" s="262"/>
      <c r="J2033" s="248"/>
      <c r="K2033" s="226"/>
    </row>
    <row r="2034" spans="1:11" ht="10.15" customHeight="1" x14ac:dyDescent="0.2">
      <c r="A2034" s="243" t="s">
        <v>22</v>
      </c>
      <c r="B2034" s="243">
        <v>821</v>
      </c>
      <c r="C2034" s="243" t="s">
        <v>291</v>
      </c>
      <c r="D2034" s="244" t="s">
        <v>483</v>
      </c>
      <c r="E2034" s="277">
        <v>37726</v>
      </c>
      <c r="F2034" s="245">
        <v>15285537</v>
      </c>
      <c r="G2034" s="246">
        <v>105809</v>
      </c>
      <c r="H2034" s="242"/>
      <c r="I2034" s="242"/>
      <c r="J2034" s="253"/>
      <c r="K2034" s="226"/>
    </row>
    <row r="2035" spans="1:11" ht="10.15" customHeight="1" x14ac:dyDescent="0.2">
      <c r="A2035" s="248"/>
      <c r="B2035" s="248"/>
      <c r="C2035" s="261"/>
      <c r="D2035" s="244" t="s">
        <v>263</v>
      </c>
      <c r="E2035" s="281"/>
      <c r="F2035" s="257"/>
      <c r="G2035" s="249"/>
      <c r="H2035" s="250">
        <v>8060</v>
      </c>
      <c r="I2035" s="251">
        <f>ROUND(H2035/$H$2039,4)</f>
        <v>0.11409999999999999</v>
      </c>
      <c r="J2035" s="253"/>
      <c r="K2035" s="226"/>
    </row>
    <row r="2036" spans="1:11" ht="10.15" customHeight="1" x14ac:dyDescent="0.2">
      <c r="A2036" s="248"/>
      <c r="B2036" s="248"/>
      <c r="C2036" s="261"/>
      <c r="D2036" s="244" t="s">
        <v>240</v>
      </c>
      <c r="E2036" s="281"/>
      <c r="F2036" s="257"/>
      <c r="G2036" s="249"/>
      <c r="H2036" s="250">
        <v>22839</v>
      </c>
      <c r="I2036" s="251">
        <f>ROUND(H2036/$H$2039,4)</f>
        <v>0.32319999999999999</v>
      </c>
      <c r="J2036" s="253"/>
      <c r="K2036" s="226"/>
    </row>
    <row r="2037" spans="1:11" ht="10.15" customHeight="1" x14ac:dyDescent="0.2">
      <c r="A2037" s="248"/>
      <c r="B2037" s="248"/>
      <c r="C2037" s="261"/>
      <c r="D2037" s="244" t="s">
        <v>290</v>
      </c>
      <c r="E2037" s="281"/>
      <c r="F2037" s="257"/>
      <c r="G2037" s="249"/>
      <c r="H2037" s="250">
        <v>38009</v>
      </c>
      <c r="I2037" s="251">
        <f>ROUND(H2037/$H$2039,4)</f>
        <v>0.53790000000000004</v>
      </c>
      <c r="J2037" s="252" t="s">
        <v>290</v>
      </c>
      <c r="K2037" s="226"/>
    </row>
    <row r="2038" spans="1:11" ht="10.15" customHeight="1" x14ac:dyDescent="0.2">
      <c r="A2038" s="248"/>
      <c r="B2038" s="248"/>
      <c r="C2038" s="261"/>
      <c r="D2038" s="254" t="s">
        <v>246</v>
      </c>
      <c r="E2038" s="281"/>
      <c r="F2038" s="257"/>
      <c r="G2038" s="249"/>
      <c r="H2038" s="246">
        <v>1748</v>
      </c>
      <c r="I2038" s="251">
        <f>ROUND(H2038/$H$2039,4)</f>
        <v>2.47E-2</v>
      </c>
      <c r="J2038" s="249"/>
      <c r="K2038" s="226"/>
    </row>
    <row r="2039" spans="1:11" ht="10.15" customHeight="1" x14ac:dyDescent="0.2">
      <c r="A2039" s="248"/>
      <c r="B2039" s="248"/>
      <c r="C2039" s="261"/>
      <c r="D2039" s="243" t="s">
        <v>33</v>
      </c>
      <c r="E2039" s="281"/>
      <c r="F2039" s="257"/>
      <c r="G2039" s="249"/>
      <c r="H2039" s="255">
        <f>SUM(H2035:H2038)</f>
        <v>70656</v>
      </c>
      <c r="I2039" s="256">
        <f>SUM(I2035:I2038)</f>
        <v>0.99990000000000001</v>
      </c>
      <c r="J2039" s="248"/>
      <c r="K2039" s="226"/>
    </row>
    <row r="2040" spans="1:11" ht="10.15" customHeight="1" x14ac:dyDescent="0.2">
      <c r="A2040" s="248"/>
      <c r="B2040" s="248"/>
      <c r="C2040" s="261"/>
      <c r="D2040" s="243"/>
      <c r="E2040" s="281"/>
      <c r="F2040" s="257"/>
      <c r="G2040" s="249"/>
      <c r="H2040" s="246"/>
      <c r="I2040" s="262"/>
      <c r="J2040" s="248"/>
      <c r="K2040" s="226"/>
    </row>
    <row r="2041" spans="1:11" ht="10.15" customHeight="1" x14ac:dyDescent="0.2">
      <c r="A2041" s="243" t="s">
        <v>22</v>
      </c>
      <c r="B2041" s="243">
        <v>888</v>
      </c>
      <c r="C2041" s="243" t="s">
        <v>291</v>
      </c>
      <c r="D2041" s="244" t="s">
        <v>502</v>
      </c>
      <c r="E2041" s="277">
        <v>38140</v>
      </c>
      <c r="F2041" s="245">
        <v>10193814</v>
      </c>
      <c r="G2041" s="246">
        <v>55834</v>
      </c>
      <c r="H2041" s="242"/>
      <c r="I2041" s="242"/>
      <c r="J2041" s="253"/>
      <c r="K2041" s="226"/>
    </row>
    <row r="2042" spans="1:11" ht="10.15" customHeight="1" x14ac:dyDescent="0.2">
      <c r="A2042" s="248"/>
      <c r="B2042" s="248"/>
      <c r="C2042" s="261"/>
      <c r="D2042" s="244" t="s">
        <v>240</v>
      </c>
      <c r="E2042" s="281"/>
      <c r="F2042" s="257"/>
      <c r="G2042" s="249"/>
      <c r="H2042" s="250">
        <v>36862</v>
      </c>
      <c r="I2042" s="251">
        <f>ROUND(H2042/$H$2047,4)</f>
        <v>0.66279999999999994</v>
      </c>
      <c r="J2042" s="266" t="s">
        <v>240</v>
      </c>
      <c r="K2042" s="226"/>
    </row>
    <row r="2043" spans="1:11" ht="10.15" customHeight="1" x14ac:dyDescent="0.2">
      <c r="A2043" s="248"/>
      <c r="B2043" s="248"/>
      <c r="C2043" s="261"/>
      <c r="D2043" s="244" t="s">
        <v>244</v>
      </c>
      <c r="E2043" s="281"/>
      <c r="F2043" s="257"/>
      <c r="G2043" s="249"/>
      <c r="H2043" s="250">
        <v>3315</v>
      </c>
      <c r="I2043" s="251">
        <f>ROUND(H2043/$H$2047,4)</f>
        <v>5.96E-2</v>
      </c>
      <c r="J2043" s="253"/>
      <c r="K2043" s="226"/>
    </row>
    <row r="2044" spans="1:11" ht="10.15" customHeight="1" x14ac:dyDescent="0.2">
      <c r="A2044" s="248"/>
      <c r="B2044" s="248"/>
      <c r="C2044" s="261"/>
      <c r="D2044" s="244" t="s">
        <v>290</v>
      </c>
      <c r="E2044" s="281"/>
      <c r="F2044" s="257"/>
      <c r="G2044" s="249"/>
      <c r="H2044" s="250">
        <v>1715</v>
      </c>
      <c r="I2044" s="251">
        <f>ROUND(H2044/$H$2047,4)</f>
        <v>3.0800000000000001E-2</v>
      </c>
      <c r="J2044" s="253"/>
      <c r="K2044" s="226"/>
    </row>
    <row r="2045" spans="1:11" ht="10.15" customHeight="1" x14ac:dyDescent="0.2">
      <c r="A2045" s="248"/>
      <c r="B2045" s="248"/>
      <c r="C2045" s="261"/>
      <c r="D2045" s="254" t="s">
        <v>246</v>
      </c>
      <c r="E2045" s="281"/>
      <c r="F2045" s="257"/>
      <c r="G2045" s="249"/>
      <c r="H2045" s="250">
        <v>2362</v>
      </c>
      <c r="I2045" s="251">
        <f>ROUND(H2045/$H$2047,4)</f>
        <v>4.2500000000000003E-2</v>
      </c>
      <c r="J2045" s="252"/>
      <c r="K2045" s="226"/>
    </row>
    <row r="2046" spans="1:11" ht="10.15" customHeight="1" x14ac:dyDescent="0.2">
      <c r="A2046" s="248"/>
      <c r="B2046" s="248"/>
      <c r="C2046" s="261"/>
      <c r="D2046" s="244" t="s">
        <v>480</v>
      </c>
      <c r="E2046" s="281"/>
      <c r="F2046" s="257"/>
      <c r="G2046" s="249"/>
      <c r="H2046" s="250">
        <v>11363</v>
      </c>
      <c r="I2046" s="251">
        <f>ROUND(H2046/$H$2047,4)</f>
        <v>0.20430000000000001</v>
      </c>
      <c r="J2046" s="252"/>
      <c r="K2046" s="226"/>
    </row>
    <row r="2047" spans="1:11" ht="10.15" customHeight="1" x14ac:dyDescent="0.2">
      <c r="A2047" s="248"/>
      <c r="B2047" s="248"/>
      <c r="C2047" s="261"/>
      <c r="D2047" s="243" t="s">
        <v>33</v>
      </c>
      <c r="E2047" s="281"/>
      <c r="F2047" s="257"/>
      <c r="G2047" s="249"/>
      <c r="H2047" s="255">
        <f>SUM(H2042:H2046)</f>
        <v>55617</v>
      </c>
      <c r="I2047" s="256">
        <f>SUM(I2042:I2046)</f>
        <v>1</v>
      </c>
      <c r="J2047" s="248"/>
      <c r="K2047" s="226"/>
    </row>
    <row r="2048" spans="1:11" ht="10.15" customHeight="1" x14ac:dyDescent="0.2">
      <c r="A2048" s="248"/>
      <c r="B2048" s="248"/>
      <c r="C2048" s="261"/>
      <c r="D2048" s="243"/>
      <c r="E2048" s="281"/>
      <c r="F2048" s="257"/>
      <c r="G2048" s="249"/>
      <c r="H2048" s="246"/>
      <c r="I2048" s="262"/>
      <c r="J2048" s="248"/>
      <c r="K2048" s="226"/>
    </row>
    <row r="2049" spans="1:11" ht="10.15" customHeight="1" x14ac:dyDescent="0.2">
      <c r="A2049" s="243" t="s">
        <v>22</v>
      </c>
      <c r="B2049" s="243">
        <v>839</v>
      </c>
      <c r="C2049" s="243" t="s">
        <v>291</v>
      </c>
      <c r="D2049" s="244" t="s">
        <v>503</v>
      </c>
      <c r="E2049" s="277">
        <v>38201</v>
      </c>
      <c r="F2049" s="245">
        <v>11157703</v>
      </c>
      <c r="G2049" s="246">
        <v>46784</v>
      </c>
      <c r="H2049" s="242"/>
      <c r="I2049" s="242"/>
      <c r="J2049" s="253"/>
      <c r="K2049" s="226"/>
    </row>
    <row r="2050" spans="1:11" ht="10.15" customHeight="1" x14ac:dyDescent="0.2">
      <c r="A2050" s="248"/>
      <c r="B2050" s="248"/>
      <c r="C2050" s="261"/>
      <c r="D2050" s="244" t="s">
        <v>264</v>
      </c>
      <c r="E2050" s="281"/>
      <c r="F2050" s="257"/>
      <c r="G2050" s="249"/>
      <c r="H2050" s="250">
        <v>7075</v>
      </c>
      <c r="I2050" s="251">
        <f>ROUND(H2050/$H$2054,4)</f>
        <v>0.25090000000000001</v>
      </c>
      <c r="J2050" s="252" t="s">
        <v>264</v>
      </c>
      <c r="K2050" s="226"/>
    </row>
    <row r="2051" spans="1:11" ht="10.15" customHeight="1" x14ac:dyDescent="0.2">
      <c r="A2051" s="248"/>
      <c r="B2051" s="248"/>
      <c r="C2051" s="261"/>
      <c r="D2051" s="244" t="s">
        <v>290</v>
      </c>
      <c r="E2051" s="281"/>
      <c r="F2051" s="257"/>
      <c r="G2051" s="249"/>
      <c r="H2051" s="250">
        <v>9696</v>
      </c>
      <c r="I2051" s="251">
        <f>ROUND(H2051/$H$2054,4)</f>
        <v>0.34389999999999998</v>
      </c>
      <c r="J2051" s="266" t="s">
        <v>290</v>
      </c>
      <c r="K2051" s="226"/>
    </row>
    <row r="2052" spans="1:11" ht="10.15" customHeight="1" x14ac:dyDescent="0.2">
      <c r="A2052" s="248"/>
      <c r="B2052" s="248"/>
      <c r="C2052" s="261"/>
      <c r="D2052" s="254" t="s">
        <v>246</v>
      </c>
      <c r="E2052" s="281"/>
      <c r="F2052" s="257"/>
      <c r="G2052" s="249"/>
      <c r="H2052" s="250">
        <v>6559</v>
      </c>
      <c r="I2052" s="251">
        <f>ROUND(H2052/$H$2054,4)</f>
        <v>0.2326</v>
      </c>
      <c r="J2052" s="252"/>
      <c r="K2052" s="226"/>
    </row>
    <row r="2053" spans="1:11" ht="10.15" customHeight="1" x14ac:dyDescent="0.2">
      <c r="A2053" s="248"/>
      <c r="B2053" s="248"/>
      <c r="C2053" s="261"/>
      <c r="D2053" s="244" t="s">
        <v>480</v>
      </c>
      <c r="E2053" s="281"/>
      <c r="F2053" s="257"/>
      <c r="G2053" s="249"/>
      <c r="H2053" s="250">
        <v>4867</v>
      </c>
      <c r="I2053" s="251">
        <f>ROUND(H2053/$H$2054,4)</f>
        <v>0.1726</v>
      </c>
      <c r="J2053" s="252"/>
      <c r="K2053" s="226"/>
    </row>
    <row r="2054" spans="1:11" ht="10.15" customHeight="1" x14ac:dyDescent="0.2">
      <c r="A2054" s="248"/>
      <c r="B2054" s="248"/>
      <c r="C2054" s="261"/>
      <c r="D2054" s="243" t="s">
        <v>33</v>
      </c>
      <c r="E2054" s="281"/>
      <c r="F2054" s="257"/>
      <c r="G2054" s="249"/>
      <c r="H2054" s="255">
        <f>SUM(H2050:H2053)</f>
        <v>28197</v>
      </c>
      <c r="I2054" s="256">
        <f>SUM(I2050:I2053)</f>
        <v>1</v>
      </c>
      <c r="J2054" s="248"/>
      <c r="K2054" s="226"/>
    </row>
    <row r="2055" spans="1:11" ht="10.15" customHeight="1" x14ac:dyDescent="0.2">
      <c r="A2055" s="248"/>
      <c r="B2055" s="248"/>
      <c r="C2055" s="261"/>
      <c r="D2055" s="243"/>
      <c r="E2055" s="281"/>
      <c r="F2055" s="257"/>
      <c r="G2055" s="249"/>
      <c r="H2055" s="246"/>
      <c r="I2055" s="262"/>
      <c r="J2055" s="248"/>
      <c r="K2055" s="226"/>
    </row>
    <row r="2056" spans="1:11" ht="10.15" customHeight="1" x14ac:dyDescent="0.2">
      <c r="A2056" s="243" t="s">
        <v>22</v>
      </c>
      <c r="B2056" s="243">
        <v>822</v>
      </c>
      <c r="C2056" s="243" t="s">
        <v>291</v>
      </c>
      <c r="D2056" s="244" t="s">
        <v>504</v>
      </c>
      <c r="E2056" s="277">
        <v>38217</v>
      </c>
      <c r="F2056" s="245">
        <v>4100700</v>
      </c>
      <c r="G2056" s="246">
        <v>9305</v>
      </c>
      <c r="H2056" s="242"/>
      <c r="I2056" s="242"/>
      <c r="J2056" s="253"/>
      <c r="K2056" s="226"/>
    </row>
    <row r="2057" spans="1:11" ht="10.15" customHeight="1" x14ac:dyDescent="0.2">
      <c r="A2057" s="248"/>
      <c r="B2057" s="248"/>
      <c r="C2057" s="261"/>
      <c r="D2057" s="244" t="s">
        <v>290</v>
      </c>
      <c r="E2057" s="281"/>
      <c r="F2057" s="257"/>
      <c r="G2057" s="249"/>
      <c r="H2057" s="250">
        <v>223</v>
      </c>
      <c r="I2057" s="251">
        <f>ROUND(H2057/$H$2060,4)</f>
        <v>1.66E-2</v>
      </c>
      <c r="J2057" s="266"/>
      <c r="K2057" s="226"/>
    </row>
    <row r="2058" spans="1:11" ht="10.15" customHeight="1" x14ac:dyDescent="0.2">
      <c r="A2058" s="248"/>
      <c r="B2058" s="248"/>
      <c r="C2058" s="261"/>
      <c r="D2058" s="254" t="s">
        <v>246</v>
      </c>
      <c r="E2058" s="281"/>
      <c r="F2058" s="257"/>
      <c r="G2058" s="249"/>
      <c r="H2058" s="250">
        <v>6407</v>
      </c>
      <c r="I2058" s="251">
        <f>ROUND(H2058/$H$2060,4)</f>
        <v>0.4783</v>
      </c>
      <c r="J2058" s="335" t="s">
        <v>246</v>
      </c>
      <c r="K2058" s="226"/>
    </row>
    <row r="2059" spans="1:11" ht="10.15" customHeight="1" x14ac:dyDescent="0.2">
      <c r="A2059" s="248"/>
      <c r="B2059" s="248"/>
      <c r="C2059" s="261"/>
      <c r="D2059" s="244" t="s">
        <v>480</v>
      </c>
      <c r="E2059" s="281"/>
      <c r="F2059" s="257"/>
      <c r="G2059" s="249"/>
      <c r="H2059" s="250">
        <v>6766</v>
      </c>
      <c r="I2059" s="251">
        <f>ROUND(H2059/$H$2060,4)</f>
        <v>0.50509999999999999</v>
      </c>
      <c r="J2059" s="335"/>
      <c r="K2059" s="226"/>
    </row>
    <row r="2060" spans="1:11" ht="10.15" customHeight="1" x14ac:dyDescent="0.2">
      <c r="A2060" s="248"/>
      <c r="B2060" s="248"/>
      <c r="C2060" s="261"/>
      <c r="D2060" s="243" t="s">
        <v>33</v>
      </c>
      <c r="E2060" s="281"/>
      <c r="F2060" s="257"/>
      <c r="G2060" s="249"/>
      <c r="H2060" s="255">
        <f>SUM(H2057:H2059)</f>
        <v>13396</v>
      </c>
      <c r="I2060" s="256">
        <f>SUM(I2057:I2059)</f>
        <v>1</v>
      </c>
      <c r="J2060" s="248"/>
      <c r="K2060" s="226"/>
    </row>
    <row r="2061" spans="1:11" ht="10.15" customHeight="1" x14ac:dyDescent="0.2">
      <c r="A2061" s="248"/>
      <c r="B2061" s="248"/>
      <c r="C2061" s="261"/>
      <c r="D2061" s="243"/>
      <c r="E2061" s="281"/>
      <c r="F2061" s="257"/>
      <c r="G2061" s="249"/>
      <c r="H2061" s="246"/>
      <c r="I2061" s="262"/>
      <c r="J2061" s="248"/>
      <c r="K2061" s="226"/>
    </row>
    <row r="2062" spans="1:11" ht="10.15" customHeight="1" x14ac:dyDescent="0.2">
      <c r="A2062" s="243" t="s">
        <v>22</v>
      </c>
      <c r="B2062" s="243">
        <v>832</v>
      </c>
      <c r="C2062" s="243" t="s">
        <v>291</v>
      </c>
      <c r="D2062" s="244" t="s">
        <v>506</v>
      </c>
      <c r="E2062" s="277">
        <v>38303</v>
      </c>
      <c r="F2062" s="245">
        <v>26818093</v>
      </c>
      <c r="G2062" s="246">
        <v>153768</v>
      </c>
      <c r="H2062" s="242"/>
      <c r="I2062" s="242"/>
      <c r="J2062" s="253"/>
      <c r="K2062" s="226"/>
    </row>
    <row r="2063" spans="1:11" ht="10.15" customHeight="1" x14ac:dyDescent="0.2">
      <c r="A2063" s="248"/>
      <c r="B2063" s="248"/>
      <c r="C2063" s="261"/>
      <c r="D2063" s="244" t="s">
        <v>240</v>
      </c>
      <c r="E2063" s="281"/>
      <c r="F2063" s="257"/>
      <c r="G2063" s="249"/>
      <c r="H2063" s="250">
        <v>13396</v>
      </c>
      <c r="I2063" s="251">
        <f>H2063/$H$2071</f>
        <v>0.15892939766754854</v>
      </c>
      <c r="J2063" s="253"/>
      <c r="K2063" s="226"/>
    </row>
    <row r="2064" spans="1:11" ht="10.15" customHeight="1" x14ac:dyDescent="0.2">
      <c r="A2064" s="248"/>
      <c r="B2064" s="248"/>
      <c r="C2064" s="261"/>
      <c r="D2064" s="244" t="s">
        <v>286</v>
      </c>
      <c r="E2064" s="281"/>
      <c r="F2064" s="257"/>
      <c r="G2064" s="249"/>
      <c r="H2064" s="250">
        <v>29352</v>
      </c>
      <c r="I2064" s="251">
        <f t="shared" ref="I2064:I2070" si="50">H2064/$H$2071</f>
        <v>0.34823049270960621</v>
      </c>
      <c r="J2064" s="266" t="s">
        <v>286</v>
      </c>
      <c r="K2064" s="226"/>
    </row>
    <row r="2065" spans="1:11" ht="10.15" customHeight="1" x14ac:dyDescent="0.2">
      <c r="A2065" s="248"/>
      <c r="B2065" s="248"/>
      <c r="C2065" s="261"/>
      <c r="D2065" s="244" t="s">
        <v>244</v>
      </c>
      <c r="E2065" s="281"/>
      <c r="F2065" s="257"/>
      <c r="G2065" s="249"/>
      <c r="H2065" s="250">
        <v>101</v>
      </c>
      <c r="I2065" s="251">
        <f t="shared" si="50"/>
        <v>1.1982583729786805E-3</v>
      </c>
      <c r="J2065" s="266"/>
      <c r="K2065" s="226"/>
    </row>
    <row r="2066" spans="1:11" ht="10.15" customHeight="1" x14ac:dyDescent="0.2">
      <c r="A2066" s="248"/>
      <c r="B2066" s="248"/>
      <c r="C2066" s="261"/>
      <c r="D2066" s="244" t="s">
        <v>264</v>
      </c>
      <c r="E2066" s="281"/>
      <c r="F2066" s="257"/>
      <c r="G2066" s="249"/>
      <c r="H2066" s="250">
        <v>6587</v>
      </c>
      <c r="I2066" s="251">
        <f t="shared" si="50"/>
        <v>7.8147801017926413E-2</v>
      </c>
      <c r="J2066" s="248"/>
      <c r="K2066" s="226"/>
    </row>
    <row r="2067" spans="1:11" ht="10.15" customHeight="1" x14ac:dyDescent="0.2">
      <c r="A2067" s="248"/>
      <c r="B2067" s="248"/>
      <c r="C2067" s="261"/>
      <c r="D2067" s="244" t="s">
        <v>295</v>
      </c>
      <c r="E2067" s="281"/>
      <c r="F2067" s="257"/>
      <c r="G2067" s="249"/>
      <c r="H2067" s="250">
        <v>2904</v>
      </c>
      <c r="I2067" s="251">
        <f t="shared" si="50"/>
        <v>3.4452894209208794E-2</v>
      </c>
      <c r="J2067" s="248"/>
      <c r="K2067" s="226"/>
    </row>
    <row r="2068" spans="1:11" ht="10.15" customHeight="1" x14ac:dyDescent="0.2">
      <c r="A2068" s="248"/>
      <c r="B2068" s="248"/>
      <c r="C2068" s="261"/>
      <c r="D2068" s="244" t="s">
        <v>290</v>
      </c>
      <c r="E2068" s="281"/>
      <c r="F2068" s="257"/>
      <c r="G2068" s="249"/>
      <c r="H2068" s="250">
        <v>21806</v>
      </c>
      <c r="I2068" s="251">
        <f t="shared" si="50"/>
        <v>0.25870516912052582</v>
      </c>
      <c r="J2068" s="266" t="s">
        <v>290</v>
      </c>
      <c r="K2068" s="226"/>
    </row>
    <row r="2069" spans="1:11" ht="10.15" customHeight="1" x14ac:dyDescent="0.2">
      <c r="A2069" s="248"/>
      <c r="B2069" s="248"/>
      <c r="C2069" s="261"/>
      <c r="D2069" s="254" t="s">
        <v>294</v>
      </c>
      <c r="E2069" s="281"/>
      <c r="F2069" s="257"/>
      <c r="G2069" s="249"/>
      <c r="H2069" s="250">
        <v>2895</v>
      </c>
      <c r="I2069" s="251">
        <f t="shared" si="50"/>
        <v>3.4346118710626532E-2</v>
      </c>
      <c r="J2069" s="253"/>
      <c r="K2069" s="226"/>
    </row>
    <row r="2070" spans="1:11" ht="10.15" customHeight="1" x14ac:dyDescent="0.2">
      <c r="A2070" s="248"/>
      <c r="B2070" s="248"/>
      <c r="C2070" s="261"/>
      <c r="D2070" s="244" t="s">
        <v>480</v>
      </c>
      <c r="E2070" s="281"/>
      <c r="F2070" s="257"/>
      <c r="G2070" s="249"/>
      <c r="H2070" s="250">
        <v>7248</v>
      </c>
      <c r="I2070" s="251">
        <f t="shared" si="50"/>
        <v>8.5989868191578972E-2</v>
      </c>
      <c r="J2070" s="253"/>
      <c r="K2070" s="226"/>
    </row>
    <row r="2071" spans="1:11" ht="10.15" customHeight="1" x14ac:dyDescent="0.2">
      <c r="A2071" s="248"/>
      <c r="B2071" s="248"/>
      <c r="C2071" s="261"/>
      <c r="D2071" s="243" t="s">
        <v>33</v>
      </c>
      <c r="E2071" s="281"/>
      <c r="F2071" s="257"/>
      <c r="G2071" s="249"/>
      <c r="H2071" s="255">
        <f>SUM(H2063:H2070)</f>
        <v>84289</v>
      </c>
      <c r="I2071" s="256">
        <f>SUM(I2063:I2070)</f>
        <v>1.0000000000000002</v>
      </c>
      <c r="J2071" s="248"/>
      <c r="K2071" s="226"/>
    </row>
    <row r="2072" spans="1:11" ht="10.15" customHeight="1" x14ac:dyDescent="0.2">
      <c r="A2072" s="248"/>
      <c r="B2072" s="261"/>
      <c r="C2072" s="261"/>
      <c r="D2072" s="243"/>
      <c r="E2072" s="281"/>
      <c r="F2072" s="257"/>
      <c r="G2072" s="249"/>
      <c r="H2072" s="246"/>
      <c r="I2072" s="262"/>
      <c r="J2072" s="253"/>
      <c r="K2072" s="226"/>
    </row>
    <row r="2073" spans="1:11" ht="10.15" customHeight="1" x14ac:dyDescent="0.2">
      <c r="A2073" s="243" t="s">
        <v>22</v>
      </c>
      <c r="B2073" s="243">
        <v>856</v>
      </c>
      <c r="C2073" s="243" t="s">
        <v>291</v>
      </c>
      <c r="D2073" s="58" t="s">
        <v>522</v>
      </c>
      <c r="E2073" s="277">
        <v>38581</v>
      </c>
      <c r="F2073" s="245">
        <v>20112557</v>
      </c>
      <c r="G2073" s="246">
        <v>87824</v>
      </c>
      <c r="H2073" s="242"/>
      <c r="I2073" s="242"/>
      <c r="J2073" s="253"/>
      <c r="K2073" s="226"/>
    </row>
    <row r="2074" spans="1:11" ht="10.15" customHeight="1" x14ac:dyDescent="0.2">
      <c r="A2074" s="248"/>
      <c r="B2074" s="248"/>
      <c r="C2074" s="261"/>
      <c r="D2074" s="244" t="s">
        <v>263</v>
      </c>
      <c r="E2074" s="281"/>
      <c r="F2074" s="257"/>
      <c r="G2074" s="249"/>
      <c r="H2074" s="250">
        <v>19376</v>
      </c>
      <c r="I2074" s="251">
        <f>H2074/$H$2079</f>
        <v>0.36142510725610894</v>
      </c>
      <c r="J2074" s="252" t="s">
        <v>263</v>
      </c>
      <c r="K2074" s="226"/>
    </row>
    <row r="2075" spans="1:11" ht="10.15" customHeight="1" x14ac:dyDescent="0.2">
      <c r="A2075" s="248"/>
      <c r="B2075" s="248"/>
      <c r="C2075" s="261"/>
      <c r="D2075" s="244" t="s">
        <v>286</v>
      </c>
      <c r="E2075" s="281"/>
      <c r="F2075" s="257"/>
      <c r="G2075" s="249"/>
      <c r="H2075" s="250">
        <v>3682</v>
      </c>
      <c r="I2075" s="251">
        <f>H2075/$H$2079</f>
        <v>6.8681216191009142E-2</v>
      </c>
      <c r="J2075" s="266"/>
      <c r="K2075" s="226"/>
    </row>
    <row r="2076" spans="1:11" ht="10.15" customHeight="1" x14ac:dyDescent="0.2">
      <c r="A2076" s="248"/>
      <c r="B2076" s="248"/>
      <c r="C2076" s="261"/>
      <c r="D2076" s="244" t="s">
        <v>264</v>
      </c>
      <c r="E2076" s="281"/>
      <c r="F2076" s="257"/>
      <c r="G2076" s="249"/>
      <c r="H2076" s="250">
        <v>4275</v>
      </c>
      <c r="I2076" s="251">
        <f>H2076/$H$2079</f>
        <v>7.9742585338556243E-2</v>
      </c>
      <c r="J2076" s="248"/>
      <c r="K2076" s="226"/>
    </row>
    <row r="2077" spans="1:11" ht="10.15" customHeight="1" x14ac:dyDescent="0.2">
      <c r="A2077" s="248"/>
      <c r="B2077" s="248"/>
      <c r="C2077" s="261"/>
      <c r="D2077" s="244" t="s">
        <v>290</v>
      </c>
      <c r="E2077" s="281"/>
      <c r="F2077" s="257"/>
      <c r="G2077" s="249"/>
      <c r="H2077" s="250">
        <v>23604</v>
      </c>
      <c r="I2077" s="251">
        <f>H2077/$H$2079</f>
        <v>0.44029099048684944</v>
      </c>
      <c r="J2077" s="266" t="s">
        <v>290</v>
      </c>
      <c r="K2077" s="226"/>
    </row>
    <row r="2078" spans="1:11" ht="10.15" customHeight="1" x14ac:dyDescent="0.2">
      <c r="A2078" s="248"/>
      <c r="B2078" s="248"/>
      <c r="C2078" s="261"/>
      <c r="D2078" s="254" t="s">
        <v>294</v>
      </c>
      <c r="E2078" s="281"/>
      <c r="F2078" s="257"/>
      <c r="G2078" s="249"/>
      <c r="H2078" s="250">
        <v>2673</v>
      </c>
      <c r="I2078" s="251">
        <f>H2078/$H$2079</f>
        <v>4.9860100727476216E-2</v>
      </c>
      <c r="J2078" s="253"/>
      <c r="K2078" s="226"/>
    </row>
    <row r="2079" spans="1:11" ht="10.15" customHeight="1" x14ac:dyDescent="0.2">
      <c r="A2079" s="248"/>
      <c r="B2079" s="248"/>
      <c r="C2079" s="261"/>
      <c r="D2079" s="243" t="s">
        <v>33</v>
      </c>
      <c r="E2079" s="281"/>
      <c r="F2079" s="257"/>
      <c r="G2079" s="249"/>
      <c r="H2079" s="255">
        <f>SUM(H2074:H2078)</f>
        <v>53610</v>
      </c>
      <c r="I2079" s="256">
        <f>SUM(I2074:I2078)</f>
        <v>1</v>
      </c>
      <c r="J2079" s="248"/>
      <c r="K2079" s="226"/>
    </row>
    <row r="2080" spans="1:11" ht="10.15" customHeight="1" x14ac:dyDescent="0.2">
      <c r="A2080" s="248"/>
      <c r="B2080" s="248"/>
      <c r="C2080" s="261"/>
      <c r="D2080" s="243"/>
      <c r="E2080" s="281"/>
      <c r="F2080" s="257"/>
      <c r="G2080" s="249"/>
      <c r="H2080" s="246"/>
      <c r="I2080" s="262"/>
      <c r="J2080" s="248"/>
      <c r="K2080" s="226"/>
    </row>
    <row r="2081" spans="1:11" ht="10.15" customHeight="1" x14ac:dyDescent="0.2">
      <c r="A2081" s="243" t="s">
        <v>22</v>
      </c>
      <c r="B2081" s="243">
        <v>833</v>
      </c>
      <c r="C2081" s="243" t="s">
        <v>291</v>
      </c>
      <c r="D2081" s="58" t="s">
        <v>569</v>
      </c>
      <c r="E2081" s="277">
        <v>39753</v>
      </c>
      <c r="F2081" s="245">
        <v>33949005</v>
      </c>
      <c r="G2081" s="246">
        <v>114903</v>
      </c>
      <c r="H2081" s="246"/>
      <c r="I2081" s="262"/>
      <c r="J2081" s="248"/>
      <c r="K2081" s="226"/>
    </row>
    <row r="2082" spans="1:11" ht="10.15" customHeight="1" x14ac:dyDescent="0.2">
      <c r="A2082" s="248"/>
      <c r="B2082" s="248"/>
      <c r="C2082" s="261"/>
      <c r="D2082" s="244" t="s">
        <v>263</v>
      </c>
      <c r="E2082" s="281"/>
      <c r="F2082" s="257"/>
      <c r="G2082" s="249"/>
      <c r="H2082" s="246">
        <v>4963</v>
      </c>
      <c r="I2082" s="251" t="str">
        <f>E6</f>
        <v>Completion Date</v>
      </c>
      <c r="J2082" s="248"/>
      <c r="K2082" s="226"/>
    </row>
    <row r="2083" spans="1:11" ht="10.15" customHeight="1" x14ac:dyDescent="0.2">
      <c r="A2083" s="248"/>
      <c r="B2083" s="248"/>
      <c r="C2083" s="261"/>
      <c r="D2083" s="244" t="s">
        <v>240</v>
      </c>
      <c r="E2083" s="281"/>
      <c r="F2083" s="257"/>
      <c r="G2083" s="249"/>
      <c r="H2083" s="246">
        <v>17744</v>
      </c>
      <c r="I2083" s="251">
        <f t="shared" ref="I2083:I2088" si="51">H2083/$H$2089</f>
        <v>0.29759329140461216</v>
      </c>
      <c r="J2083" s="252" t="s">
        <v>240</v>
      </c>
      <c r="K2083" s="226"/>
    </row>
    <row r="2084" spans="1:11" ht="10.15" customHeight="1" x14ac:dyDescent="0.2">
      <c r="A2084" s="248"/>
      <c r="B2084" s="248"/>
      <c r="C2084" s="261"/>
      <c r="D2084" s="244" t="s">
        <v>241</v>
      </c>
      <c r="E2084" s="281"/>
      <c r="F2084" s="257"/>
      <c r="G2084" s="249"/>
      <c r="H2084" s="246">
        <v>8729</v>
      </c>
      <c r="I2084" s="251">
        <f t="shared" si="51"/>
        <v>0.14639832285115303</v>
      </c>
      <c r="J2084" s="248"/>
      <c r="K2084" s="226"/>
    </row>
    <row r="2085" spans="1:11" ht="10.15" customHeight="1" x14ac:dyDescent="0.2">
      <c r="A2085" s="248"/>
      <c r="B2085" s="248"/>
      <c r="C2085" s="261"/>
      <c r="D2085" s="244" t="s">
        <v>264</v>
      </c>
      <c r="E2085" s="281"/>
      <c r="F2085" s="257"/>
      <c r="G2085" s="249"/>
      <c r="H2085" s="246">
        <v>3672</v>
      </c>
      <c r="I2085" s="251">
        <f t="shared" si="51"/>
        <v>6.1584905660377359E-2</v>
      </c>
      <c r="J2085" s="248"/>
      <c r="K2085" s="226"/>
    </row>
    <row r="2086" spans="1:11" ht="10.15" customHeight="1" x14ac:dyDescent="0.2">
      <c r="A2086" s="248"/>
      <c r="B2086" s="248"/>
      <c r="C2086" s="261"/>
      <c r="D2086" s="244" t="s">
        <v>295</v>
      </c>
      <c r="E2086" s="281"/>
      <c r="F2086" s="257"/>
      <c r="G2086" s="249"/>
      <c r="H2086" s="246">
        <v>2672</v>
      </c>
      <c r="I2086" s="251">
        <f t="shared" si="51"/>
        <v>4.4813417190775681E-2</v>
      </c>
      <c r="J2086" s="248"/>
      <c r="K2086" s="226"/>
    </row>
    <row r="2087" spans="1:11" ht="10.15" customHeight="1" x14ac:dyDescent="0.2">
      <c r="A2087" s="248"/>
      <c r="B2087" s="248"/>
      <c r="C2087" s="261"/>
      <c r="D2087" s="244" t="s">
        <v>290</v>
      </c>
      <c r="E2087" s="281"/>
      <c r="F2087" s="257"/>
      <c r="G2087" s="249"/>
      <c r="H2087" s="246">
        <v>20124</v>
      </c>
      <c r="I2087" s="251">
        <f t="shared" si="51"/>
        <v>0.33750943396226413</v>
      </c>
      <c r="J2087" s="266" t="s">
        <v>290</v>
      </c>
      <c r="K2087" s="226"/>
    </row>
    <row r="2088" spans="1:11" ht="10.15" customHeight="1" x14ac:dyDescent="0.2">
      <c r="A2088" s="248"/>
      <c r="B2088" s="248"/>
      <c r="C2088" s="261"/>
      <c r="D2088" s="254" t="s">
        <v>294</v>
      </c>
      <c r="E2088" s="281"/>
      <c r="F2088" s="257"/>
      <c r="G2088" s="249"/>
      <c r="H2088" s="246">
        <v>1721</v>
      </c>
      <c r="I2088" s="251">
        <f t="shared" si="51"/>
        <v>2.8863731656184485E-2</v>
      </c>
      <c r="J2088" s="248"/>
      <c r="K2088" s="226"/>
    </row>
    <row r="2089" spans="1:11" ht="10.15" customHeight="1" x14ac:dyDescent="0.2">
      <c r="A2089" s="248"/>
      <c r="B2089" s="248"/>
      <c r="C2089" s="261"/>
      <c r="D2089" s="243" t="s">
        <v>33</v>
      </c>
      <c r="E2089" s="281"/>
      <c r="F2089" s="257"/>
      <c r="G2089" s="249"/>
      <c r="H2089" s="255">
        <f>SUM(H2082:H2088)</f>
        <v>59625</v>
      </c>
      <c r="I2089" s="256">
        <f>SUM(I2082:I2088)</f>
        <v>0.91676310272536676</v>
      </c>
      <c r="J2089" s="248"/>
      <c r="K2089" s="226"/>
    </row>
    <row r="2090" spans="1:11" ht="10.15" customHeight="1" x14ac:dyDescent="0.2">
      <c r="A2090" s="248"/>
      <c r="B2090" s="248"/>
      <c r="C2090" s="261"/>
      <c r="D2090" s="243"/>
      <c r="E2090" s="281"/>
      <c r="F2090" s="257"/>
      <c r="G2090" s="249"/>
      <c r="H2090" s="246"/>
      <c r="I2090" s="262"/>
      <c r="J2090" s="248"/>
      <c r="K2090" s="226"/>
    </row>
    <row r="2091" spans="1:11" ht="10.15" customHeight="1" x14ac:dyDescent="0.2">
      <c r="A2091" s="261" t="s">
        <v>22</v>
      </c>
      <c r="B2091" s="261">
        <v>835</v>
      </c>
      <c r="C2091" s="261" t="s">
        <v>291</v>
      </c>
      <c r="D2091" s="263" t="s">
        <v>623</v>
      </c>
      <c r="E2091" s="281">
        <v>39823</v>
      </c>
      <c r="F2091" s="257">
        <v>13898708</v>
      </c>
      <c r="G2091" s="249">
        <v>58238</v>
      </c>
      <c r="H2091" s="246"/>
      <c r="I2091" s="262"/>
      <c r="J2091" s="248"/>
      <c r="K2091" s="226"/>
    </row>
    <row r="2092" spans="1:11" ht="10.15" customHeight="1" x14ac:dyDescent="0.2">
      <c r="A2092" s="248"/>
      <c r="B2092" s="248"/>
      <c r="C2092" s="261"/>
      <c r="D2092" s="263" t="s">
        <v>597</v>
      </c>
      <c r="E2092" s="281"/>
      <c r="F2092" s="257"/>
      <c r="G2092" s="249"/>
      <c r="H2092" s="246">
        <v>4579</v>
      </c>
      <c r="I2092" s="262">
        <f>H2092/$H$2100</f>
        <v>0.10003713979857121</v>
      </c>
      <c r="J2092" s="248"/>
      <c r="K2092" s="226"/>
    </row>
    <row r="2093" spans="1:11" ht="10.15" customHeight="1" x14ac:dyDescent="0.2">
      <c r="A2093" s="248"/>
      <c r="B2093" s="248"/>
      <c r="C2093" s="261"/>
      <c r="D2093" s="263" t="s">
        <v>598</v>
      </c>
      <c r="E2093" s="281"/>
      <c r="F2093" s="257"/>
      <c r="G2093" s="249"/>
      <c r="H2093" s="246">
        <v>1621</v>
      </c>
      <c r="I2093" s="262">
        <f t="shared" ref="I2093:I2099" si="52">H2093/$H$2100</f>
        <v>3.5413890284665635E-2</v>
      </c>
      <c r="J2093" s="248"/>
      <c r="K2093" s="226"/>
    </row>
    <row r="2094" spans="1:11" s="10" customFormat="1" ht="10.15" customHeight="1" x14ac:dyDescent="0.2">
      <c r="A2094" s="248"/>
      <c r="B2094" s="248"/>
      <c r="C2094" s="261"/>
      <c r="D2094" s="263" t="s">
        <v>599</v>
      </c>
      <c r="E2094" s="281"/>
      <c r="F2094" s="257"/>
      <c r="G2094" s="249"/>
      <c r="H2094" s="246">
        <v>1631</v>
      </c>
      <c r="I2094" s="262">
        <f t="shared" si="52"/>
        <v>3.5632359688025694E-2</v>
      </c>
      <c r="J2094" s="248"/>
      <c r="K2094" s="226"/>
    </row>
    <row r="2095" spans="1:11" ht="10.15" customHeight="1" x14ac:dyDescent="0.2">
      <c r="A2095" s="248"/>
      <c r="B2095" s="248"/>
      <c r="C2095" s="261"/>
      <c r="D2095" s="263" t="s">
        <v>610</v>
      </c>
      <c r="E2095" s="281"/>
      <c r="F2095" s="257"/>
      <c r="G2095" s="249"/>
      <c r="H2095" s="246">
        <v>332</v>
      </c>
      <c r="I2095" s="262">
        <f t="shared" si="52"/>
        <v>7.2531841915539725E-3</v>
      </c>
      <c r="J2095" s="248"/>
      <c r="K2095" s="226"/>
    </row>
    <row r="2096" spans="1:11" ht="9.75" customHeight="1" x14ac:dyDescent="0.2">
      <c r="A2096" s="248"/>
      <c r="B2096" s="248"/>
      <c r="C2096" s="261"/>
      <c r="D2096" s="263" t="s">
        <v>600</v>
      </c>
      <c r="E2096" s="281"/>
      <c r="F2096" s="257"/>
      <c r="G2096" s="249"/>
      <c r="H2096" s="246">
        <v>5379</v>
      </c>
      <c r="I2096" s="262">
        <f t="shared" si="52"/>
        <v>0.11751469206737597</v>
      </c>
      <c r="J2096" s="248"/>
      <c r="K2096" s="226"/>
    </row>
    <row r="2097" spans="1:11" ht="9.75" customHeight="1" x14ac:dyDescent="0.2">
      <c r="A2097" s="248"/>
      <c r="B2097" s="248"/>
      <c r="C2097" s="261"/>
      <c r="D2097" s="263" t="s">
        <v>605</v>
      </c>
      <c r="E2097" s="281"/>
      <c r="F2097" s="257"/>
      <c r="G2097" s="249"/>
      <c r="H2097" s="246">
        <v>28607</v>
      </c>
      <c r="I2097" s="262">
        <f t="shared" si="52"/>
        <v>0.62497542219212199</v>
      </c>
      <c r="J2097" s="309" t="s">
        <v>605</v>
      </c>
      <c r="K2097" s="226"/>
    </row>
    <row r="2098" spans="1:11" ht="9.75" customHeight="1" x14ac:dyDescent="0.2">
      <c r="A2098" s="248"/>
      <c r="B2098" s="248"/>
      <c r="C2098" s="261"/>
      <c r="D2098" s="263" t="s">
        <v>611</v>
      </c>
      <c r="E2098" s="281"/>
      <c r="F2098" s="257"/>
      <c r="G2098" s="249"/>
      <c r="H2098" s="246">
        <v>2094</v>
      </c>
      <c r="I2098" s="262">
        <f t="shared" si="52"/>
        <v>4.5747493063596441E-2</v>
      </c>
      <c r="J2098" s="248"/>
      <c r="K2098" s="226"/>
    </row>
    <row r="2099" spans="1:11" ht="9.75" customHeight="1" x14ac:dyDescent="0.2">
      <c r="A2099" s="248"/>
      <c r="B2099" s="248"/>
      <c r="C2099" s="261"/>
      <c r="D2099" s="263" t="s">
        <v>634</v>
      </c>
      <c r="E2099" s="281"/>
      <c r="F2099" s="257"/>
      <c r="G2099" s="249"/>
      <c r="H2099" s="246">
        <v>1530</v>
      </c>
      <c r="I2099" s="262">
        <f t="shared" si="52"/>
        <v>3.3425818714089089E-2</v>
      </c>
      <c r="J2099" s="248"/>
      <c r="K2099" s="226"/>
    </row>
    <row r="2100" spans="1:11" ht="9.75" customHeight="1" x14ac:dyDescent="0.2">
      <c r="A2100" s="248"/>
      <c r="B2100" s="248"/>
      <c r="C2100" s="261"/>
      <c r="D2100" s="243" t="s">
        <v>33</v>
      </c>
      <c r="E2100" s="281"/>
      <c r="F2100" s="257"/>
      <c r="G2100" s="249"/>
      <c r="H2100" s="333">
        <f>SUM(H2092:H2099)</f>
        <v>45773</v>
      </c>
      <c r="I2100" s="283">
        <f>SUM(I2092:I2099)</f>
        <v>1</v>
      </c>
      <c r="J2100" s="248"/>
      <c r="K2100" s="226"/>
    </row>
    <row r="2101" spans="1:11" ht="9.75" customHeight="1" x14ac:dyDescent="0.2">
      <c r="A2101" s="248"/>
      <c r="B2101" s="248"/>
      <c r="C2101" s="261"/>
      <c r="D2101" s="243"/>
      <c r="E2101" s="281"/>
      <c r="F2101" s="257"/>
      <c r="G2101" s="249"/>
      <c r="H2101" s="246"/>
      <c r="I2101" s="262"/>
      <c r="J2101" s="248"/>
      <c r="K2101" s="226"/>
    </row>
    <row r="2102" spans="1:11" ht="9.75" customHeight="1" x14ac:dyDescent="0.2">
      <c r="A2102" s="261" t="s">
        <v>22</v>
      </c>
      <c r="B2102" s="261">
        <v>835</v>
      </c>
      <c r="C2102" s="261" t="s">
        <v>291</v>
      </c>
      <c r="D2102" s="263" t="s">
        <v>633</v>
      </c>
      <c r="E2102" s="281"/>
      <c r="F2102" s="257">
        <v>5085920</v>
      </c>
      <c r="G2102" s="249">
        <v>12021</v>
      </c>
      <c r="H2102" s="246"/>
      <c r="I2102" s="262"/>
      <c r="J2102" s="248"/>
      <c r="K2102" s="226"/>
    </row>
    <row r="2103" spans="1:11" ht="9.75" customHeight="1" x14ac:dyDescent="0.2">
      <c r="A2103" s="248"/>
      <c r="B2103" s="248"/>
      <c r="C2103" s="261"/>
      <c r="D2103" s="244" t="s">
        <v>615</v>
      </c>
      <c r="E2103" s="281"/>
      <c r="F2103" s="257"/>
      <c r="G2103" s="249"/>
      <c r="H2103" s="246">
        <v>1964</v>
      </c>
      <c r="I2103" s="262">
        <f>H2103/H2105</f>
        <v>0.68336812804453728</v>
      </c>
      <c r="J2103" s="248" t="s">
        <v>93</v>
      </c>
      <c r="K2103" s="226"/>
    </row>
    <row r="2104" spans="1:11" ht="9.75" customHeight="1" x14ac:dyDescent="0.2">
      <c r="A2104" s="248"/>
      <c r="B2104" s="248"/>
      <c r="C2104" s="261"/>
      <c r="D2104" s="263" t="s">
        <v>634</v>
      </c>
      <c r="E2104" s="281"/>
      <c r="F2104" s="257"/>
      <c r="G2104" s="249"/>
      <c r="H2104" s="246">
        <v>910</v>
      </c>
      <c r="I2104" s="262">
        <f>H2104/H2105</f>
        <v>0.31663187195546277</v>
      </c>
      <c r="J2104" s="248"/>
      <c r="K2104" s="226"/>
    </row>
    <row r="2105" spans="1:11" ht="10.15" customHeight="1" x14ac:dyDescent="0.2">
      <c r="A2105" s="248"/>
      <c r="B2105" s="248"/>
      <c r="C2105" s="261"/>
      <c r="D2105" s="243" t="s">
        <v>33</v>
      </c>
      <c r="E2105" s="281"/>
      <c r="F2105" s="257"/>
      <c r="G2105" s="249"/>
      <c r="H2105" s="333">
        <f>SUM(H2103:H2104)</f>
        <v>2874</v>
      </c>
      <c r="I2105" s="283">
        <f>SUM(I2103:I2104)</f>
        <v>1</v>
      </c>
      <c r="J2105" s="248"/>
      <c r="K2105" s="226"/>
    </row>
    <row r="2106" spans="1:11" ht="10.15" customHeight="1" x14ac:dyDescent="0.2">
      <c r="A2106" s="248"/>
      <c r="B2106" s="248"/>
      <c r="C2106" s="261"/>
      <c r="D2106" s="243"/>
      <c r="E2106" s="281"/>
      <c r="F2106" s="257"/>
      <c r="G2106" s="249"/>
      <c r="H2106" s="246"/>
      <c r="I2106" s="262"/>
      <c r="J2106" s="248"/>
      <c r="K2106" s="226"/>
    </row>
    <row r="2107" spans="1:11" ht="10.15" customHeight="1" x14ac:dyDescent="0.2">
      <c r="A2107" s="261" t="s">
        <v>22</v>
      </c>
      <c r="B2107" s="248"/>
      <c r="C2107" s="261" t="s">
        <v>291</v>
      </c>
      <c r="D2107" s="244" t="s">
        <v>645</v>
      </c>
      <c r="E2107" s="281">
        <v>41954</v>
      </c>
      <c r="F2107" s="257">
        <v>56163409</v>
      </c>
      <c r="G2107" s="249">
        <v>136076</v>
      </c>
      <c r="H2107" s="246"/>
      <c r="I2107" s="262"/>
      <c r="J2107" s="248"/>
      <c r="K2107" s="226"/>
    </row>
    <row r="2108" spans="1:11" ht="10.15" customHeight="1" x14ac:dyDescent="0.2">
      <c r="A2108" s="248"/>
      <c r="B2108" s="248"/>
      <c r="C2108" s="261"/>
      <c r="D2108" s="244" t="s">
        <v>597</v>
      </c>
      <c r="E2108" s="281"/>
      <c r="F2108" s="257"/>
      <c r="G2108" s="249"/>
      <c r="H2108" s="246">
        <v>5707</v>
      </c>
      <c r="I2108" s="262">
        <f>H2108/$H$2119</f>
        <v>7.206172028890348E-2</v>
      </c>
      <c r="J2108" s="248"/>
      <c r="K2108" s="226"/>
    </row>
    <row r="2109" spans="1:11" ht="10.15" customHeight="1" x14ac:dyDescent="0.2">
      <c r="A2109" s="248"/>
      <c r="B2109" s="248"/>
      <c r="C2109" s="261"/>
      <c r="D2109" s="244" t="s">
        <v>646</v>
      </c>
      <c r="E2109" s="281"/>
      <c r="F2109" s="257"/>
      <c r="G2109" s="249"/>
      <c r="H2109" s="246">
        <v>0</v>
      </c>
      <c r="I2109" s="262">
        <f>H2109/$H2119</f>
        <v>0</v>
      </c>
      <c r="J2109" s="248"/>
      <c r="K2109" s="226"/>
    </row>
    <row r="2110" spans="1:11" ht="10.15" customHeight="1" x14ac:dyDescent="0.2">
      <c r="A2110" s="248"/>
      <c r="B2110" s="248"/>
      <c r="C2110" s="261"/>
      <c r="D2110" s="244" t="s">
        <v>620</v>
      </c>
      <c r="E2110" s="281"/>
      <c r="F2110" s="257"/>
      <c r="G2110" s="249"/>
      <c r="H2110" s="246">
        <v>11536</v>
      </c>
      <c r="I2110" s="262">
        <f>H2110/$H2119</f>
        <v>0.14566392242032425</v>
      </c>
      <c r="J2110" s="248"/>
      <c r="K2110" s="226"/>
    </row>
    <row r="2111" spans="1:11" ht="10.15" customHeight="1" x14ac:dyDescent="0.2">
      <c r="A2111" s="248"/>
      <c r="B2111" s="248"/>
      <c r="C2111" s="261"/>
      <c r="D2111" s="244" t="s">
        <v>599</v>
      </c>
      <c r="E2111" s="281"/>
      <c r="F2111" s="257"/>
      <c r="G2111" s="249"/>
      <c r="H2111" s="246">
        <v>2004</v>
      </c>
      <c r="I2111" s="262">
        <f>H2111/$H2119</f>
        <v>2.5304308298398907E-2</v>
      </c>
      <c r="J2111" s="248"/>
      <c r="K2111" s="226"/>
    </row>
    <row r="2112" spans="1:11" ht="10.15" customHeight="1" x14ac:dyDescent="0.2">
      <c r="A2112" s="248"/>
      <c r="B2112" s="248"/>
      <c r="C2112" s="261"/>
      <c r="D2112" s="244" t="s">
        <v>610</v>
      </c>
      <c r="E2112" s="281"/>
      <c r="F2112" s="257"/>
      <c r="G2112" s="249"/>
      <c r="H2112" s="246">
        <v>0</v>
      </c>
      <c r="I2112" s="262">
        <f>H2112/$H2119</f>
        <v>0</v>
      </c>
      <c r="J2112" s="248"/>
      <c r="K2112" s="226"/>
    </row>
    <row r="2113" spans="1:11" ht="10.15" customHeight="1" x14ac:dyDescent="0.2">
      <c r="A2113" s="248"/>
      <c r="B2113" s="248"/>
      <c r="C2113" s="261"/>
      <c r="D2113" s="244" t="s">
        <v>600</v>
      </c>
      <c r="E2113" s="281"/>
      <c r="F2113" s="257"/>
      <c r="G2113" s="249"/>
      <c r="H2113" s="246">
        <v>0</v>
      </c>
      <c r="I2113" s="262">
        <f>H2113/$H2119</f>
        <v>0</v>
      </c>
      <c r="J2113" s="248"/>
      <c r="K2113" s="226"/>
    </row>
    <row r="2114" spans="1:11" ht="10.15" customHeight="1" x14ac:dyDescent="0.2">
      <c r="A2114" s="248"/>
      <c r="B2114" s="248"/>
      <c r="C2114" s="261"/>
      <c r="D2114" s="244" t="s">
        <v>615</v>
      </c>
      <c r="E2114" s="281"/>
      <c r="F2114" s="257"/>
      <c r="G2114" s="249"/>
      <c r="H2114" s="246">
        <v>0</v>
      </c>
      <c r="I2114" s="262">
        <f>H2114/$H2119</f>
        <v>0</v>
      </c>
      <c r="J2114" s="248"/>
      <c r="K2114" s="226"/>
    </row>
    <row r="2115" spans="1:11" ht="10.15" customHeight="1" x14ac:dyDescent="0.2">
      <c r="A2115" s="248"/>
      <c r="B2115" s="248"/>
      <c r="C2115" s="261"/>
      <c r="D2115" s="244" t="s">
        <v>647</v>
      </c>
      <c r="E2115" s="281"/>
      <c r="F2115" s="257"/>
      <c r="G2115" s="249"/>
      <c r="H2115" s="246">
        <v>3429</v>
      </c>
      <c r="I2115" s="262">
        <f>H2115/$H2119</f>
        <v>4.3297641295014899E-2</v>
      </c>
      <c r="J2115" s="248"/>
      <c r="K2115" s="226"/>
    </row>
    <row r="2116" spans="1:11" ht="10.15" customHeight="1" x14ac:dyDescent="0.2">
      <c r="A2116" s="248"/>
      <c r="B2116" s="248"/>
      <c r="C2116" s="261"/>
      <c r="D2116" s="244" t="s">
        <v>605</v>
      </c>
      <c r="E2116" s="281"/>
      <c r="F2116" s="257"/>
      <c r="G2116" s="249"/>
      <c r="H2116" s="246">
        <v>24436</v>
      </c>
      <c r="I2116" s="262">
        <f>H2116/$H2119</f>
        <v>0.30855093691600588</v>
      </c>
      <c r="J2116" s="248" t="s">
        <v>612</v>
      </c>
      <c r="K2116" s="226"/>
    </row>
    <row r="2117" spans="1:11" ht="10.15" customHeight="1" x14ac:dyDescent="0.2">
      <c r="A2117" s="248"/>
      <c r="B2117" s="248"/>
      <c r="C2117" s="261"/>
      <c r="D2117" s="244" t="s">
        <v>611</v>
      </c>
      <c r="E2117" s="281"/>
      <c r="F2117" s="257"/>
      <c r="G2117" s="249"/>
      <c r="H2117" s="246">
        <v>3907</v>
      </c>
      <c r="I2117" s="262">
        <f>H2117/$H2119</f>
        <v>4.9333299661599071E-2</v>
      </c>
      <c r="J2117" s="248"/>
      <c r="K2117" s="226"/>
    </row>
    <row r="2118" spans="1:11" ht="10.15" customHeight="1" x14ac:dyDescent="0.2">
      <c r="A2118" s="248"/>
      <c r="B2118" s="248"/>
      <c r="C2118" s="261"/>
      <c r="D2118" s="244" t="s">
        <v>634</v>
      </c>
      <c r="E2118" s="281"/>
      <c r="F2118" s="257"/>
      <c r="G2118" s="249"/>
      <c r="H2118" s="246">
        <v>28177</v>
      </c>
      <c r="I2118" s="262">
        <f>H2118/$H2119</f>
        <v>0.35578817111975353</v>
      </c>
      <c r="J2118" s="248"/>
      <c r="K2118" s="226"/>
    </row>
    <row r="2119" spans="1:11" ht="10.15" customHeight="1" x14ac:dyDescent="0.2">
      <c r="A2119" s="248"/>
      <c r="B2119" s="248"/>
      <c r="C2119" s="261"/>
      <c r="D2119" s="243" t="s">
        <v>33</v>
      </c>
      <c r="E2119" s="281"/>
      <c r="F2119" s="257"/>
      <c r="G2119" s="249"/>
      <c r="H2119" s="333">
        <f>SUM(H2108:H2118)</f>
        <v>79196</v>
      </c>
      <c r="I2119" s="283">
        <f>SUM(I2108:I2118)</f>
        <v>1</v>
      </c>
      <c r="J2119" s="248"/>
      <c r="K2119" s="226"/>
    </row>
    <row r="2120" spans="1:11" ht="10.15" customHeight="1" x14ac:dyDescent="0.2">
      <c r="A2120" s="248"/>
      <c r="B2120" s="248"/>
      <c r="C2120" s="261"/>
      <c r="D2120" s="243"/>
      <c r="E2120" s="281"/>
      <c r="F2120" s="257"/>
      <c r="G2120" s="249"/>
      <c r="H2120" s="246"/>
      <c r="I2120" s="262"/>
      <c r="J2120" s="248"/>
      <c r="K2120" s="226"/>
    </row>
    <row r="2121" spans="1:11" ht="10.15" customHeight="1" x14ac:dyDescent="0.2">
      <c r="A2121" s="261" t="s">
        <v>22</v>
      </c>
      <c r="B2121" s="261"/>
      <c r="C2121" s="261" t="s">
        <v>291</v>
      </c>
      <c r="D2121" s="244" t="s">
        <v>659</v>
      </c>
      <c r="E2121" s="281">
        <v>41865</v>
      </c>
      <c r="F2121" s="257">
        <v>36099868</v>
      </c>
      <c r="G2121" s="249">
        <v>113051</v>
      </c>
      <c r="H2121" s="246"/>
      <c r="I2121" s="262"/>
      <c r="J2121" s="248"/>
      <c r="K2121" s="226"/>
    </row>
    <row r="2122" spans="1:11" ht="10.15" customHeight="1" x14ac:dyDescent="0.2">
      <c r="A2122" s="248"/>
      <c r="B2122" s="248"/>
      <c r="C2122" s="261"/>
      <c r="D2122" s="244" t="s">
        <v>597</v>
      </c>
      <c r="E2122" s="281"/>
      <c r="F2122" s="257"/>
      <c r="G2122" s="249"/>
      <c r="H2122" s="246">
        <v>3814</v>
      </c>
      <c r="I2122" s="262">
        <f>(H2122/H2127)</f>
        <v>6.7422086301684669E-2</v>
      </c>
      <c r="J2122" s="248"/>
      <c r="K2122" s="226"/>
    </row>
    <row r="2123" spans="1:11" ht="10.15" customHeight="1" x14ac:dyDescent="0.2">
      <c r="A2123" s="248"/>
      <c r="B2123" s="248"/>
      <c r="C2123" s="261"/>
      <c r="D2123" s="244" t="s">
        <v>646</v>
      </c>
      <c r="E2123" s="281"/>
      <c r="F2123" s="257"/>
      <c r="G2123" s="249"/>
      <c r="H2123" s="246">
        <v>3615</v>
      </c>
      <c r="I2123" s="262">
        <f>H2123/H2127</f>
        <v>6.3904258516148421E-2</v>
      </c>
      <c r="J2123" s="248"/>
      <c r="K2123" s="226"/>
    </row>
    <row r="2124" spans="1:11" s="10" customFormat="1" ht="10.15" customHeight="1" x14ac:dyDescent="0.2">
      <c r="A2124" s="248"/>
      <c r="B2124" s="248"/>
      <c r="C2124" s="261"/>
      <c r="D2124" s="244" t="s">
        <v>605</v>
      </c>
      <c r="E2124" s="281"/>
      <c r="F2124" s="257"/>
      <c r="G2124" s="249"/>
      <c r="H2124" s="246">
        <v>40090</v>
      </c>
      <c r="I2124" s="262">
        <f>(H2124/H2127)</f>
        <v>0.70869203980978979</v>
      </c>
      <c r="J2124" s="248" t="s">
        <v>605</v>
      </c>
      <c r="K2124" s="226"/>
    </row>
    <row r="2125" spans="1:11" ht="10.15" customHeight="1" x14ac:dyDescent="0.2">
      <c r="A2125" s="248"/>
      <c r="B2125" s="248"/>
      <c r="C2125" s="261"/>
      <c r="D2125" s="244" t="s">
        <v>602</v>
      </c>
      <c r="E2125" s="281"/>
      <c r="F2125" s="257"/>
      <c r="G2125" s="249"/>
      <c r="H2125" s="246">
        <v>268</v>
      </c>
      <c r="I2125" s="262">
        <f>(H2125/H2127)</f>
        <v>4.7375771182096198E-3</v>
      </c>
      <c r="J2125" s="248"/>
      <c r="K2125" s="226"/>
    </row>
    <row r="2126" spans="1:11" ht="10.15" customHeight="1" x14ac:dyDescent="0.2">
      <c r="A2126" s="248"/>
      <c r="B2126" s="248"/>
      <c r="C2126" s="261"/>
      <c r="D2126" s="244" t="s">
        <v>634</v>
      </c>
      <c r="E2126" s="281"/>
      <c r="F2126" s="257"/>
      <c r="G2126" s="249"/>
      <c r="H2126" s="246">
        <v>8782</v>
      </c>
      <c r="I2126" s="262">
        <f>(H2126/H2127)</f>
        <v>0.15524403825416747</v>
      </c>
      <c r="J2126" s="248"/>
      <c r="K2126" s="226"/>
    </row>
    <row r="2127" spans="1:11" ht="10.15" customHeight="1" x14ac:dyDescent="0.2">
      <c r="A2127" s="248"/>
      <c r="B2127" s="248"/>
      <c r="C2127" s="261"/>
      <c r="D2127" s="243" t="s">
        <v>33</v>
      </c>
      <c r="E2127" s="281"/>
      <c r="F2127" s="257"/>
      <c r="G2127" s="249"/>
      <c r="H2127" s="333">
        <f>SUM(H2122:H2126)</f>
        <v>56569</v>
      </c>
      <c r="I2127" s="283">
        <f>SUM(I2122:I2126)</f>
        <v>1</v>
      </c>
      <c r="J2127" s="248"/>
      <c r="K2127" s="226"/>
    </row>
    <row r="2128" spans="1:11" ht="10.15" customHeight="1" x14ac:dyDescent="0.2">
      <c r="A2128" s="248"/>
      <c r="B2128" s="248"/>
      <c r="C2128" s="261"/>
      <c r="D2128" s="243"/>
      <c r="E2128" s="281"/>
      <c r="F2128" s="257"/>
      <c r="G2128" s="249"/>
      <c r="H2128" s="246"/>
      <c r="I2128" s="262"/>
      <c r="J2128" s="248"/>
      <c r="K2128" s="226"/>
    </row>
    <row r="2129" spans="1:11" ht="10.15" customHeight="1" x14ac:dyDescent="0.2">
      <c r="A2129" s="261" t="s">
        <v>22</v>
      </c>
      <c r="B2129" s="261"/>
      <c r="C2129" s="261" t="s">
        <v>291</v>
      </c>
      <c r="D2129" s="244" t="s">
        <v>660</v>
      </c>
      <c r="E2129" s="281">
        <v>42169</v>
      </c>
      <c r="F2129" s="257">
        <v>46163143</v>
      </c>
      <c r="G2129" s="249">
        <v>159384</v>
      </c>
      <c r="H2129" s="246"/>
      <c r="I2129" s="262"/>
      <c r="J2129" s="248"/>
      <c r="K2129" s="226"/>
    </row>
    <row r="2130" spans="1:11" ht="10.15" customHeight="1" x14ac:dyDescent="0.2">
      <c r="A2130" s="248"/>
      <c r="B2130" s="248"/>
      <c r="C2130" s="261"/>
      <c r="D2130" s="244" t="s">
        <v>597</v>
      </c>
      <c r="E2130" s="281"/>
      <c r="F2130" s="257"/>
      <c r="G2130" s="249"/>
      <c r="H2130" s="246">
        <v>5944</v>
      </c>
      <c r="I2130" s="262">
        <f>(H2130/H2135)</f>
        <v>9.5895715023231798E-2</v>
      </c>
      <c r="J2130" s="248"/>
      <c r="K2130" s="226"/>
    </row>
    <row r="2131" spans="1:11" ht="10.15" customHeight="1" x14ac:dyDescent="0.2">
      <c r="A2131" s="248"/>
      <c r="B2131" s="248"/>
      <c r="C2131" s="261"/>
      <c r="D2131" s="244" t="s">
        <v>646</v>
      </c>
      <c r="E2131" s="281"/>
      <c r="F2131" s="257"/>
      <c r="G2131" s="249"/>
      <c r="H2131" s="246">
        <v>6287</v>
      </c>
      <c r="I2131" s="262">
        <f>(H2131/H2135)</f>
        <v>0.10142940113577698</v>
      </c>
      <c r="J2131" s="248"/>
      <c r="K2131" s="226"/>
    </row>
    <row r="2132" spans="1:11" ht="10.15" customHeight="1" x14ac:dyDescent="0.2">
      <c r="A2132" s="248"/>
      <c r="B2132" s="248"/>
      <c r="C2132" s="261"/>
      <c r="D2132" s="244" t="s">
        <v>620</v>
      </c>
      <c r="E2132" s="281"/>
      <c r="F2132" s="257"/>
      <c r="G2132" s="249"/>
      <c r="H2132" s="246">
        <v>4186</v>
      </c>
      <c r="I2132" s="262">
        <f>(H2132/H2135)</f>
        <v>6.7533557046979872E-2</v>
      </c>
      <c r="J2132" s="248"/>
      <c r="K2132" s="226"/>
    </row>
    <row r="2133" spans="1:11" s="10" customFormat="1" ht="10.15" customHeight="1" x14ac:dyDescent="0.2">
      <c r="A2133" s="248"/>
      <c r="B2133" s="248"/>
      <c r="C2133" s="261"/>
      <c r="D2133" s="244" t="s">
        <v>605</v>
      </c>
      <c r="E2133" s="281"/>
      <c r="F2133" s="257"/>
      <c r="G2133" s="249"/>
      <c r="H2133" s="246">
        <v>38863</v>
      </c>
      <c r="I2133" s="262">
        <f>(H2133/H2135)</f>
        <v>0.62698438306659787</v>
      </c>
      <c r="J2133" s="248" t="s">
        <v>605</v>
      </c>
      <c r="K2133" s="226"/>
    </row>
    <row r="2134" spans="1:11" ht="10.15" customHeight="1" x14ac:dyDescent="0.2">
      <c r="A2134" s="248"/>
      <c r="B2134" s="248"/>
      <c r="C2134" s="261"/>
      <c r="D2134" s="244" t="s">
        <v>634</v>
      </c>
      <c r="E2134" s="281"/>
      <c r="F2134" s="257"/>
      <c r="G2134" s="249"/>
      <c r="H2134" s="246">
        <v>6704</v>
      </c>
      <c r="I2134" s="262">
        <f>(H2134/H2135)</f>
        <v>0.10815694372741352</v>
      </c>
      <c r="J2134" s="248"/>
      <c r="K2134" s="226"/>
    </row>
    <row r="2135" spans="1:11" ht="10.15" customHeight="1" x14ac:dyDescent="0.2">
      <c r="A2135" s="248"/>
      <c r="B2135" s="248"/>
      <c r="C2135" s="261"/>
      <c r="D2135" s="243" t="s">
        <v>33</v>
      </c>
      <c r="E2135" s="281"/>
      <c r="F2135" s="257"/>
      <c r="G2135" s="249"/>
      <c r="H2135" s="333">
        <f>SUM(H2130:H2134)</f>
        <v>61984</v>
      </c>
      <c r="I2135" s="283">
        <f>SUM(I2130:I2134)</f>
        <v>1</v>
      </c>
      <c r="J2135" s="248"/>
      <c r="K2135" s="226"/>
    </row>
    <row r="2136" spans="1:11" ht="10.15" customHeight="1" x14ac:dyDescent="0.2">
      <c r="A2136" s="248"/>
      <c r="B2136" s="248"/>
      <c r="C2136" s="261"/>
      <c r="D2136" s="243"/>
      <c r="E2136" s="281"/>
      <c r="F2136" s="257"/>
      <c r="G2136" s="249"/>
      <c r="H2136" s="246"/>
      <c r="I2136" s="262"/>
      <c r="J2136" s="248"/>
      <c r="K2136" s="226"/>
    </row>
    <row r="2137" spans="1:11" ht="10.15" customHeight="1" x14ac:dyDescent="0.2">
      <c r="A2137" s="261" t="s">
        <v>22</v>
      </c>
      <c r="B2137" s="261"/>
      <c r="C2137" s="261" t="s">
        <v>291</v>
      </c>
      <c r="D2137" s="244" t="s">
        <v>675</v>
      </c>
      <c r="E2137" s="281">
        <v>42385</v>
      </c>
      <c r="F2137" s="303">
        <v>48192018</v>
      </c>
      <c r="G2137" s="246">
        <v>800949</v>
      </c>
      <c r="H2137" s="262"/>
      <c r="I2137" s="248"/>
      <c r="J2137" s="249"/>
      <c r="K2137" s="226"/>
    </row>
    <row r="2138" spans="1:11" ht="10.15" customHeight="1" x14ac:dyDescent="0.2">
      <c r="A2138" s="248"/>
      <c r="B2138" s="248"/>
      <c r="C2138" s="261"/>
      <c r="D2138" s="244" t="s">
        <v>597</v>
      </c>
      <c r="E2138" s="281"/>
      <c r="F2138" s="257"/>
      <c r="G2138" s="249"/>
      <c r="H2138" s="246">
        <v>9707</v>
      </c>
      <c r="I2138" s="262">
        <f t="shared" ref="I2138:I2144" si="53">H2138/$H$2144</f>
        <v>1.3727320294712429E-2</v>
      </c>
      <c r="J2138" s="248"/>
      <c r="K2138" s="226"/>
    </row>
    <row r="2139" spans="1:11" ht="10.15" customHeight="1" x14ac:dyDescent="0.2">
      <c r="A2139" s="248"/>
      <c r="B2139" s="248"/>
      <c r="C2139" s="261"/>
      <c r="D2139" s="244" t="s">
        <v>646</v>
      </c>
      <c r="E2139" s="281"/>
      <c r="F2139" s="257"/>
      <c r="G2139" s="249"/>
      <c r="H2139" s="246">
        <v>4360</v>
      </c>
      <c r="I2139" s="262">
        <f t="shared" si="53"/>
        <v>6.1657686705414846E-3</v>
      </c>
      <c r="J2139" s="248"/>
      <c r="K2139" s="226"/>
    </row>
    <row r="2140" spans="1:11" s="10" customFormat="1" ht="10.15" customHeight="1" x14ac:dyDescent="0.2">
      <c r="A2140" s="248"/>
      <c r="B2140" s="248"/>
      <c r="C2140" s="261"/>
      <c r="D2140" s="244" t="s">
        <v>599</v>
      </c>
      <c r="E2140" s="281"/>
      <c r="F2140" s="257"/>
      <c r="G2140" s="249"/>
      <c r="H2140" s="246">
        <v>501</v>
      </c>
      <c r="I2140" s="262">
        <f t="shared" si="53"/>
        <v>7.0849773026176229E-4</v>
      </c>
      <c r="J2140" s="248"/>
      <c r="K2140" s="226"/>
    </row>
    <row r="2141" spans="1:11" ht="10.15" customHeight="1" x14ac:dyDescent="0.2">
      <c r="A2141" s="248"/>
      <c r="B2141" s="248"/>
      <c r="C2141" s="261"/>
      <c r="D2141" s="244" t="s">
        <v>605</v>
      </c>
      <c r="E2141" s="281"/>
      <c r="F2141" s="257"/>
      <c r="G2141" s="249"/>
      <c r="H2141" s="246">
        <v>5293</v>
      </c>
      <c r="I2141" s="262">
        <f t="shared" si="53"/>
        <v>7.4851865993523113E-3</v>
      </c>
      <c r="J2141" s="248"/>
      <c r="K2141" s="226"/>
    </row>
    <row r="2142" spans="1:11" ht="10.15" customHeight="1" x14ac:dyDescent="0.2">
      <c r="A2142" s="248"/>
      <c r="B2142" s="248"/>
      <c r="C2142" s="261"/>
      <c r="D2142" s="244" t="s">
        <v>602</v>
      </c>
      <c r="E2142" s="281"/>
      <c r="F2142" s="257"/>
      <c r="G2142" s="249"/>
      <c r="H2142" s="246">
        <v>672350</v>
      </c>
      <c r="I2142" s="262">
        <f t="shared" si="53"/>
        <v>0.95081526734829525</v>
      </c>
      <c r="J2142" s="248" t="s">
        <v>683</v>
      </c>
      <c r="K2142" s="226"/>
    </row>
    <row r="2143" spans="1:11" ht="10.15" customHeight="1" x14ac:dyDescent="0.2">
      <c r="A2143" s="248"/>
      <c r="B2143" s="248"/>
      <c r="C2143" s="261"/>
      <c r="D2143" s="244" t="s">
        <v>634</v>
      </c>
      <c r="E2143" s="281"/>
      <c r="F2143" s="257"/>
      <c r="G2143" s="249"/>
      <c r="H2143" s="246">
        <v>14919</v>
      </c>
      <c r="I2143" s="262">
        <f t="shared" si="53"/>
        <v>2.1097959356836792E-2</v>
      </c>
      <c r="J2143" s="248"/>
      <c r="K2143" s="226"/>
    </row>
    <row r="2144" spans="1:11" ht="10.15" customHeight="1" x14ac:dyDescent="0.2">
      <c r="A2144" s="248"/>
      <c r="B2144" s="248"/>
      <c r="C2144" s="261"/>
      <c r="D2144" s="243" t="s">
        <v>33</v>
      </c>
      <c r="E2144" s="281"/>
      <c r="F2144" s="257"/>
      <c r="G2144" s="249"/>
      <c r="H2144" s="333">
        <v>707130</v>
      </c>
      <c r="I2144" s="283">
        <f t="shared" si="53"/>
        <v>1</v>
      </c>
      <c r="J2144" s="248"/>
      <c r="K2144" s="226"/>
    </row>
    <row r="2145" spans="1:11" ht="10.15" customHeight="1" x14ac:dyDescent="0.2">
      <c r="A2145" s="248"/>
      <c r="B2145" s="248"/>
      <c r="C2145" s="261"/>
      <c r="D2145" s="243"/>
      <c r="E2145" s="281"/>
      <c r="F2145" s="257"/>
      <c r="G2145" s="249"/>
      <c r="H2145" s="246"/>
      <c r="I2145" s="262"/>
      <c r="J2145" s="248"/>
      <c r="K2145" s="226"/>
    </row>
    <row r="2146" spans="1:11" ht="10.15" customHeight="1" x14ac:dyDescent="0.2">
      <c r="A2146" s="261" t="s">
        <v>22</v>
      </c>
      <c r="B2146" s="261"/>
      <c r="C2146" s="261" t="s">
        <v>291</v>
      </c>
      <c r="D2146" s="244" t="s">
        <v>682</v>
      </c>
      <c r="E2146" s="277">
        <v>42552</v>
      </c>
      <c r="F2146" s="257">
        <v>33662314</v>
      </c>
      <c r="G2146" s="249">
        <v>94476</v>
      </c>
      <c r="H2146" s="246"/>
      <c r="I2146" s="262"/>
      <c r="J2146" s="248"/>
      <c r="K2146" s="226"/>
    </row>
    <row r="2147" spans="1:11" ht="10.15" customHeight="1" x14ac:dyDescent="0.2">
      <c r="A2147" s="248"/>
      <c r="B2147" s="248"/>
      <c r="C2147" s="261"/>
      <c r="D2147" s="244" t="s">
        <v>597</v>
      </c>
      <c r="E2147" s="281"/>
      <c r="F2147" s="257"/>
      <c r="G2147" s="249"/>
      <c r="H2147" s="246">
        <v>13049</v>
      </c>
      <c r="I2147" s="262">
        <f>H2147/$H$2151</f>
        <v>0.31953082912973213</v>
      </c>
      <c r="J2147" s="248" t="s">
        <v>16</v>
      </c>
      <c r="K2147" s="226"/>
    </row>
    <row r="2148" spans="1:11" ht="10.15" customHeight="1" x14ac:dyDescent="0.2">
      <c r="A2148" s="248"/>
      <c r="B2148" s="248"/>
      <c r="C2148" s="261"/>
      <c r="D2148" s="244" t="s">
        <v>599</v>
      </c>
      <c r="E2148" s="281"/>
      <c r="F2148" s="257"/>
      <c r="G2148" s="249"/>
      <c r="H2148" s="246">
        <v>50</v>
      </c>
      <c r="I2148" s="262">
        <f>H2148/$H$2151</f>
        <v>1.2243498702189136E-3</v>
      </c>
      <c r="J2148" s="248"/>
      <c r="K2148" s="226"/>
    </row>
    <row r="2149" spans="1:11" ht="10.15" customHeight="1" x14ac:dyDescent="0.2">
      <c r="A2149" s="248"/>
      <c r="B2149" s="248"/>
      <c r="C2149" s="261"/>
      <c r="D2149" s="244" t="s">
        <v>605</v>
      </c>
      <c r="E2149" s="281"/>
      <c r="F2149" s="257"/>
      <c r="G2149" s="249"/>
      <c r="H2149" s="246">
        <v>23609</v>
      </c>
      <c r="I2149" s="262">
        <f>H2149/$H$2151</f>
        <v>0.57811352171996666</v>
      </c>
      <c r="J2149" s="248" t="s">
        <v>63</v>
      </c>
      <c r="K2149" s="226"/>
    </row>
    <row r="2150" spans="1:11" ht="10.15" customHeight="1" x14ac:dyDescent="0.2">
      <c r="A2150" s="248"/>
      <c r="B2150" s="248"/>
      <c r="C2150" s="261"/>
      <c r="D2150" s="244" t="s">
        <v>634</v>
      </c>
      <c r="E2150" s="281"/>
      <c r="F2150" s="257"/>
      <c r="G2150" s="249"/>
      <c r="H2150" s="246">
        <v>4130</v>
      </c>
      <c r="I2150" s="262">
        <f>H2150/$H$2151</f>
        <v>0.10113129928008227</v>
      </c>
      <c r="J2150" s="248"/>
      <c r="K2150" s="226"/>
    </row>
    <row r="2151" spans="1:11" ht="10.15" customHeight="1" x14ac:dyDescent="0.2">
      <c r="A2151" s="248"/>
      <c r="B2151" s="248"/>
      <c r="C2151" s="261"/>
      <c r="D2151" s="243" t="s">
        <v>33</v>
      </c>
      <c r="E2151" s="281"/>
      <c r="F2151" s="257"/>
      <c r="G2151" s="249"/>
      <c r="H2151" s="333">
        <f>SUM(H2147:H2150)</f>
        <v>40838</v>
      </c>
      <c r="I2151" s="283">
        <f>H2151/$H$2151</f>
        <v>1</v>
      </c>
      <c r="J2151" s="248"/>
      <c r="K2151" s="226"/>
    </row>
    <row r="2152" spans="1:11" ht="10.15" customHeight="1" x14ac:dyDescent="0.2">
      <c r="A2152" s="248"/>
      <c r="B2152" s="248"/>
      <c r="C2152" s="261"/>
      <c r="D2152" s="243"/>
      <c r="E2152" s="281"/>
      <c r="F2152" s="257"/>
      <c r="G2152" s="249"/>
      <c r="H2152" s="319"/>
      <c r="I2152" s="293"/>
      <c r="J2152" s="248"/>
      <c r="K2152" s="226"/>
    </row>
    <row r="2153" spans="1:11" ht="10.15" customHeight="1" x14ac:dyDescent="0.2">
      <c r="A2153" s="261" t="s">
        <v>22</v>
      </c>
      <c r="B2153" s="261"/>
      <c r="C2153" s="261" t="s">
        <v>291</v>
      </c>
      <c r="D2153" s="244" t="s">
        <v>692</v>
      </c>
      <c r="E2153" s="277">
        <v>43041</v>
      </c>
      <c r="F2153" s="257">
        <v>20097653</v>
      </c>
      <c r="G2153" s="249">
        <v>61738</v>
      </c>
      <c r="H2153" s="246"/>
      <c r="I2153" s="262"/>
      <c r="J2153" s="248"/>
      <c r="K2153" s="226"/>
    </row>
    <row r="2154" spans="1:11" ht="10.15" customHeight="1" x14ac:dyDescent="0.2">
      <c r="A2154" s="248"/>
      <c r="B2154" s="248"/>
      <c r="C2154" s="261"/>
      <c r="D2154" s="244" t="s">
        <v>605</v>
      </c>
      <c r="E2154" s="281"/>
      <c r="F2154" s="257"/>
      <c r="G2154" s="249"/>
      <c r="H2154" s="246">
        <v>560</v>
      </c>
      <c r="I2154" s="262">
        <f>H2154/$H$2156</f>
        <v>1.3855213023900243E-2</v>
      </c>
      <c r="J2154" s="248"/>
      <c r="K2154" s="226"/>
    </row>
    <row r="2155" spans="1:11" ht="10.15" customHeight="1" x14ac:dyDescent="0.2">
      <c r="A2155" s="248"/>
      <c r="B2155" s="248"/>
      <c r="C2155" s="261"/>
      <c r="D2155" s="244" t="s">
        <v>634</v>
      </c>
      <c r="E2155" s="281"/>
      <c r="F2155" s="257"/>
      <c r="G2155" s="249"/>
      <c r="H2155" s="246">
        <v>39858</v>
      </c>
      <c r="I2155" s="262">
        <f>H2155/$H$2156</f>
        <v>0.98614478697609975</v>
      </c>
      <c r="J2155" s="248" t="s">
        <v>701</v>
      </c>
      <c r="K2155" s="226"/>
    </row>
    <row r="2156" spans="1:11" ht="10.15" customHeight="1" x14ac:dyDescent="0.2">
      <c r="A2156" s="248"/>
      <c r="B2156" s="248"/>
      <c r="C2156" s="261"/>
      <c r="D2156" s="243" t="s">
        <v>33</v>
      </c>
      <c r="E2156" s="281"/>
      <c r="F2156" s="257"/>
      <c r="G2156" s="249"/>
      <c r="H2156" s="333">
        <f>SUM(H2154:H2155)</f>
        <v>40418</v>
      </c>
      <c r="I2156" s="283">
        <f>H2156/$H$2156</f>
        <v>1</v>
      </c>
      <c r="J2156" s="248"/>
      <c r="K2156" s="226"/>
    </row>
    <row r="2157" spans="1:11" ht="9.75" customHeight="1" x14ac:dyDescent="0.2">
      <c r="A2157" s="248"/>
      <c r="B2157" s="248"/>
      <c r="C2157" s="261"/>
      <c r="D2157" s="243"/>
      <c r="E2157" s="281"/>
      <c r="F2157" s="257"/>
      <c r="G2157" s="249"/>
      <c r="H2157" s="319"/>
      <c r="I2157" s="293"/>
      <c r="J2157" s="248"/>
      <c r="K2157" s="226"/>
    </row>
    <row r="2158" spans="1:11" ht="10.15" customHeight="1" x14ac:dyDescent="0.2">
      <c r="A2158" s="248"/>
      <c r="B2158" s="248"/>
      <c r="C2158" s="261"/>
      <c r="D2158" s="249"/>
      <c r="E2158" s="281"/>
      <c r="F2158" s="257"/>
      <c r="G2158" s="249"/>
      <c r="H2158" s="242"/>
      <c r="I2158" s="251"/>
      <c r="J2158" s="253"/>
      <c r="K2158" s="226"/>
    </row>
    <row r="2159" spans="1:11" ht="10.15" customHeight="1" x14ac:dyDescent="0.2">
      <c r="A2159" s="243" t="s">
        <v>21</v>
      </c>
      <c r="B2159" s="243" t="s">
        <v>407</v>
      </c>
      <c r="C2159" s="243" t="s">
        <v>236</v>
      </c>
      <c r="D2159" s="244" t="s">
        <v>205</v>
      </c>
      <c r="E2159" s="277" t="s">
        <v>408</v>
      </c>
      <c r="F2159" s="245">
        <v>160000</v>
      </c>
      <c r="G2159" s="246">
        <v>2983</v>
      </c>
      <c r="H2159" s="242"/>
      <c r="I2159" s="251"/>
      <c r="J2159" s="253"/>
      <c r="K2159" s="226"/>
    </row>
    <row r="2160" spans="1:11" ht="10.15" customHeight="1" x14ac:dyDescent="0.2">
      <c r="A2160" s="248"/>
      <c r="B2160" s="248"/>
      <c r="C2160" s="261"/>
      <c r="D2160" s="244" t="s">
        <v>245</v>
      </c>
      <c r="E2160" s="281"/>
      <c r="F2160" s="257"/>
      <c r="G2160" s="249"/>
      <c r="H2160" s="255">
        <v>2267</v>
      </c>
      <c r="I2160" s="256">
        <f>ROUND(H2160/H2160,4)</f>
        <v>1</v>
      </c>
      <c r="J2160" s="252" t="s">
        <v>245</v>
      </c>
      <c r="K2160" s="226"/>
    </row>
    <row r="2161" spans="1:11" ht="10.15" customHeight="1" x14ac:dyDescent="0.2">
      <c r="A2161" s="248"/>
      <c r="B2161" s="248"/>
      <c r="C2161" s="261"/>
      <c r="D2161" s="249"/>
      <c r="E2161" s="281"/>
      <c r="F2161" s="257"/>
      <c r="G2161" s="249"/>
      <c r="H2161" s="242"/>
      <c r="I2161" s="251"/>
      <c r="J2161" s="253"/>
      <c r="K2161" s="226"/>
    </row>
    <row r="2162" spans="1:11" ht="10.15" customHeight="1" x14ac:dyDescent="0.2">
      <c r="A2162" s="243" t="s">
        <v>21</v>
      </c>
      <c r="B2162" s="243" t="s">
        <v>409</v>
      </c>
      <c r="C2162" s="243" t="s">
        <v>236</v>
      </c>
      <c r="D2162" s="254" t="s">
        <v>410</v>
      </c>
      <c r="E2162" s="277" t="s">
        <v>349</v>
      </c>
      <c r="F2162" s="245">
        <v>4217500</v>
      </c>
      <c r="G2162" s="246">
        <v>53428</v>
      </c>
      <c r="H2162" s="242"/>
      <c r="I2162" s="251"/>
      <c r="J2162" s="253"/>
      <c r="K2162" s="226"/>
    </row>
    <row r="2163" spans="1:11" ht="10.15" customHeight="1" x14ac:dyDescent="0.2">
      <c r="A2163" s="248"/>
      <c r="B2163" s="248"/>
      <c r="C2163" s="261"/>
      <c r="D2163" s="244" t="s">
        <v>263</v>
      </c>
      <c r="E2163" s="281"/>
      <c r="F2163" s="257"/>
      <c r="G2163" s="249"/>
      <c r="H2163" s="250">
        <v>11330</v>
      </c>
      <c r="I2163" s="251">
        <f>ROUND(H2163/$H$2168,4)</f>
        <v>0.30030000000000001</v>
      </c>
      <c r="J2163" s="252" t="s">
        <v>263</v>
      </c>
      <c r="K2163" s="226"/>
    </row>
    <row r="2164" spans="1:11" ht="10.15" customHeight="1" x14ac:dyDescent="0.2">
      <c r="A2164" s="248"/>
      <c r="B2164" s="248"/>
      <c r="C2164" s="261"/>
      <c r="D2164" s="244" t="s">
        <v>240</v>
      </c>
      <c r="E2164" s="281"/>
      <c r="F2164" s="257"/>
      <c r="G2164" s="249"/>
      <c r="H2164" s="250">
        <v>12500</v>
      </c>
      <c r="I2164" s="251">
        <f>ROUND(H2164/$H$2168,4)-0.0001</f>
        <v>0.33119999999999999</v>
      </c>
      <c r="J2164" s="252" t="s">
        <v>240</v>
      </c>
      <c r="K2164" s="226"/>
    </row>
    <row r="2165" spans="1:11" ht="10.15" customHeight="1" x14ac:dyDescent="0.2">
      <c r="A2165" s="248"/>
      <c r="B2165" s="248"/>
      <c r="C2165" s="261"/>
      <c r="D2165" s="244" t="s">
        <v>241</v>
      </c>
      <c r="E2165" s="281"/>
      <c r="F2165" s="257"/>
      <c r="G2165" s="249"/>
      <c r="H2165" s="250">
        <v>1500</v>
      </c>
      <c r="I2165" s="251">
        <f>ROUND(H2165/$H$2168,4)</f>
        <v>3.9800000000000002E-2</v>
      </c>
      <c r="J2165" s="253"/>
      <c r="K2165" s="226"/>
    </row>
    <row r="2166" spans="1:11" ht="10.15" customHeight="1" x14ac:dyDescent="0.2">
      <c r="A2166" s="248"/>
      <c r="B2166" s="248"/>
      <c r="C2166" s="261"/>
      <c r="D2166" s="244" t="s">
        <v>242</v>
      </c>
      <c r="E2166" s="281"/>
      <c r="F2166" s="257"/>
      <c r="G2166" s="249"/>
      <c r="H2166" s="250">
        <v>7654</v>
      </c>
      <c r="I2166" s="251">
        <f>ROUND(H2166/$H$2168,4)</f>
        <v>0.20280000000000001</v>
      </c>
      <c r="J2166" s="252" t="s">
        <v>242</v>
      </c>
      <c r="K2166" s="226"/>
    </row>
    <row r="2167" spans="1:11" ht="10.15" customHeight="1" x14ac:dyDescent="0.2">
      <c r="A2167" s="248"/>
      <c r="B2167" s="248"/>
      <c r="C2167" s="261"/>
      <c r="D2167" s="254" t="s">
        <v>246</v>
      </c>
      <c r="E2167" s="281"/>
      <c r="F2167" s="257"/>
      <c r="G2167" s="249"/>
      <c r="H2167" s="250">
        <v>4750</v>
      </c>
      <c r="I2167" s="251">
        <f>ROUND(H2167/$H$2168,4)</f>
        <v>0.12590000000000001</v>
      </c>
      <c r="J2167" s="253"/>
      <c r="K2167" s="226"/>
    </row>
    <row r="2168" spans="1:11" ht="10.15" customHeight="1" x14ac:dyDescent="0.2">
      <c r="A2168" s="248"/>
      <c r="B2168" s="248"/>
      <c r="C2168" s="261"/>
      <c r="D2168" s="243" t="s">
        <v>33</v>
      </c>
      <c r="E2168" s="281"/>
      <c r="F2168" s="257"/>
      <c r="G2168" s="249"/>
      <c r="H2168" s="255">
        <f>SUM(H2163:H2167)</f>
        <v>37734</v>
      </c>
      <c r="I2168" s="256">
        <f>SUM(I2163:I2167)</f>
        <v>1</v>
      </c>
      <c r="J2168" s="253"/>
      <c r="K2168" s="226"/>
    </row>
    <row r="2169" spans="1:11" ht="10.15" customHeight="1" x14ac:dyDescent="0.2">
      <c r="A2169" s="248"/>
      <c r="B2169" s="248"/>
      <c r="C2169" s="261"/>
      <c r="D2169" s="249"/>
      <c r="E2169" s="281"/>
      <c r="F2169" s="257"/>
      <c r="G2169" s="249"/>
      <c r="H2169" s="242"/>
      <c r="I2169" s="251"/>
      <c r="J2169" s="253"/>
      <c r="K2169" s="226"/>
    </row>
    <row r="2170" spans="1:11" ht="10.15" customHeight="1" x14ac:dyDescent="0.2">
      <c r="A2170" s="243" t="s">
        <v>21</v>
      </c>
      <c r="B2170" s="243" t="s">
        <v>411</v>
      </c>
      <c r="C2170" s="243" t="s">
        <v>236</v>
      </c>
      <c r="D2170" s="244" t="s">
        <v>412</v>
      </c>
      <c r="E2170" s="277" t="s">
        <v>413</v>
      </c>
      <c r="F2170" s="245">
        <v>2153169</v>
      </c>
      <c r="G2170" s="246">
        <v>31158</v>
      </c>
      <c r="H2170" s="242"/>
      <c r="I2170" s="251"/>
      <c r="J2170" s="253"/>
      <c r="K2170" s="226"/>
    </row>
    <row r="2171" spans="1:11" ht="10.15" customHeight="1" x14ac:dyDescent="0.2">
      <c r="A2171" s="248"/>
      <c r="B2171" s="248"/>
      <c r="C2171" s="261"/>
      <c r="D2171" s="244" t="s">
        <v>242</v>
      </c>
      <c r="E2171" s="281"/>
      <c r="F2171" s="257"/>
      <c r="G2171" s="249"/>
      <c r="H2171" s="250">
        <v>2500</v>
      </c>
      <c r="I2171" s="251">
        <f>ROUND(H2171/$H$2173,4)</f>
        <v>0.1515</v>
      </c>
      <c r="J2171" s="253"/>
      <c r="K2171" s="226"/>
    </row>
    <row r="2172" spans="1:11" ht="10.15" customHeight="1" x14ac:dyDescent="0.2">
      <c r="A2172" s="248"/>
      <c r="B2172" s="248"/>
      <c r="C2172" s="261"/>
      <c r="D2172" s="244" t="s">
        <v>245</v>
      </c>
      <c r="E2172" s="281"/>
      <c r="F2172" s="257"/>
      <c r="G2172" s="249"/>
      <c r="H2172" s="250">
        <v>14000</v>
      </c>
      <c r="I2172" s="251">
        <f>ROUND(H2172/$H$2173,4)</f>
        <v>0.84850000000000003</v>
      </c>
      <c r="J2172" s="252" t="s">
        <v>245</v>
      </c>
      <c r="K2172" s="226"/>
    </row>
    <row r="2173" spans="1:11" ht="10.15" customHeight="1" x14ac:dyDescent="0.2">
      <c r="A2173" s="248"/>
      <c r="B2173" s="248"/>
      <c r="C2173" s="261"/>
      <c r="D2173" s="243" t="s">
        <v>33</v>
      </c>
      <c r="E2173" s="281"/>
      <c r="F2173" s="257"/>
      <c r="G2173" s="249"/>
      <c r="H2173" s="255">
        <f>SUM(H2171:H2172)</f>
        <v>16500</v>
      </c>
      <c r="I2173" s="256">
        <f>SUM(I2171:I2172)</f>
        <v>1</v>
      </c>
      <c r="J2173" s="253"/>
      <c r="K2173" s="226"/>
    </row>
    <row r="2174" spans="1:11" ht="10.15" customHeight="1" x14ac:dyDescent="0.2">
      <c r="A2174" s="248"/>
      <c r="B2174" s="248"/>
      <c r="C2174" s="261"/>
      <c r="D2174" s="249"/>
      <c r="E2174" s="281"/>
      <c r="F2174" s="257"/>
      <c r="G2174" s="249"/>
      <c r="H2174" s="242"/>
      <c r="I2174" s="251"/>
      <c r="J2174" s="253"/>
      <c r="K2174" s="226"/>
    </row>
    <row r="2175" spans="1:11" ht="10.15" customHeight="1" x14ac:dyDescent="0.2">
      <c r="A2175" s="243" t="s">
        <v>21</v>
      </c>
      <c r="B2175" s="243" t="s">
        <v>414</v>
      </c>
      <c r="C2175" s="243" t="s">
        <v>236</v>
      </c>
      <c r="D2175" s="244" t="s">
        <v>93</v>
      </c>
      <c r="E2175" s="277" t="s">
        <v>415</v>
      </c>
      <c r="F2175" s="245">
        <v>7689800</v>
      </c>
      <c r="G2175" s="246">
        <v>100078</v>
      </c>
      <c r="H2175" s="242"/>
      <c r="I2175" s="251"/>
      <c r="J2175" s="253"/>
      <c r="K2175" s="226"/>
    </row>
    <row r="2176" spans="1:11" ht="10.15" customHeight="1" x14ac:dyDescent="0.2">
      <c r="A2176" s="248"/>
      <c r="B2176" s="248"/>
      <c r="C2176" s="261"/>
      <c r="D2176" s="244" t="s">
        <v>240</v>
      </c>
      <c r="E2176" s="281"/>
      <c r="F2176" s="257"/>
      <c r="G2176" s="249"/>
      <c r="H2176" s="250">
        <v>1050</v>
      </c>
      <c r="I2176" s="251">
        <f>ROUND(H2176/$H$2180,4)</f>
        <v>1.18E-2</v>
      </c>
      <c r="J2176" s="253"/>
      <c r="K2176" s="226"/>
    </row>
    <row r="2177" spans="1:11" ht="10.15" customHeight="1" x14ac:dyDescent="0.2">
      <c r="A2177" s="248"/>
      <c r="B2177" s="248"/>
      <c r="C2177" s="261"/>
      <c r="D2177" s="244" t="s">
        <v>242</v>
      </c>
      <c r="E2177" s="281"/>
      <c r="F2177" s="257"/>
      <c r="G2177" s="249"/>
      <c r="H2177" s="250">
        <v>3109</v>
      </c>
      <c r="I2177" s="251">
        <f>ROUND(H2177/$H$2180,4)</f>
        <v>3.49E-2</v>
      </c>
      <c r="J2177" s="253"/>
      <c r="K2177" s="226"/>
    </row>
    <row r="2178" spans="1:11" ht="10.15" customHeight="1" x14ac:dyDescent="0.2">
      <c r="A2178" s="248"/>
      <c r="B2178" s="248"/>
      <c r="C2178" s="261"/>
      <c r="D2178" s="244" t="s">
        <v>245</v>
      </c>
      <c r="E2178" s="281"/>
      <c r="F2178" s="257"/>
      <c r="G2178" s="249"/>
      <c r="H2178" s="250">
        <v>918</v>
      </c>
      <c r="I2178" s="251">
        <f>ROUND(H2178/$H$2180,4)+0.0001</f>
        <v>1.04E-2</v>
      </c>
      <c r="J2178" s="253"/>
      <c r="K2178" s="226"/>
    </row>
    <row r="2179" spans="1:11" ht="10.15" customHeight="1" x14ac:dyDescent="0.2">
      <c r="A2179" s="248"/>
      <c r="B2179" s="248"/>
      <c r="C2179" s="261"/>
      <c r="D2179" s="244" t="s">
        <v>305</v>
      </c>
      <c r="E2179" s="281"/>
      <c r="F2179" s="257"/>
      <c r="G2179" s="249"/>
      <c r="H2179" s="250">
        <v>83882</v>
      </c>
      <c r="I2179" s="251">
        <f>ROUND(H2179/$H$2180,4)</f>
        <v>0.94289999999999996</v>
      </c>
      <c r="J2179" s="252" t="s">
        <v>305</v>
      </c>
      <c r="K2179" s="226"/>
    </row>
    <row r="2180" spans="1:11" ht="10.15" customHeight="1" x14ac:dyDescent="0.2">
      <c r="A2180" s="248"/>
      <c r="B2180" s="248"/>
      <c r="C2180" s="261"/>
      <c r="D2180" s="243" t="s">
        <v>33</v>
      </c>
      <c r="E2180" s="281"/>
      <c r="F2180" s="257"/>
      <c r="G2180" s="249"/>
      <c r="H2180" s="255">
        <f>SUM(H2176:H2179)</f>
        <v>88959</v>
      </c>
      <c r="I2180" s="256">
        <f>SUM(I2176:I2179)</f>
        <v>1</v>
      </c>
      <c r="J2180" s="253"/>
      <c r="K2180" s="226"/>
    </row>
    <row r="2181" spans="1:11" ht="10.15" customHeight="1" x14ac:dyDescent="0.2">
      <c r="A2181" s="248"/>
      <c r="B2181" s="248"/>
      <c r="C2181" s="261"/>
      <c r="D2181" s="249"/>
      <c r="E2181" s="281"/>
      <c r="F2181" s="257"/>
      <c r="G2181" s="249"/>
      <c r="H2181" s="242"/>
      <c r="I2181" s="251"/>
      <c r="J2181" s="253"/>
      <c r="K2181" s="226"/>
    </row>
    <row r="2182" spans="1:11" ht="10.15" customHeight="1" x14ac:dyDescent="0.2">
      <c r="A2182" s="243" t="s">
        <v>21</v>
      </c>
      <c r="B2182" s="243" t="s">
        <v>416</v>
      </c>
      <c r="C2182" s="243" t="s">
        <v>236</v>
      </c>
      <c r="D2182" s="244" t="s">
        <v>177</v>
      </c>
      <c r="E2182" s="277" t="s">
        <v>279</v>
      </c>
      <c r="F2182" s="245">
        <v>5573200</v>
      </c>
      <c r="G2182" s="246">
        <v>67000</v>
      </c>
      <c r="H2182" s="242"/>
      <c r="I2182" s="251"/>
      <c r="J2182" s="253"/>
      <c r="K2182" s="226"/>
    </row>
    <row r="2183" spans="1:11" ht="10.15" customHeight="1" x14ac:dyDescent="0.2">
      <c r="A2183" s="248"/>
      <c r="B2183" s="248"/>
      <c r="C2183" s="261"/>
      <c r="D2183" s="244" t="s">
        <v>263</v>
      </c>
      <c r="E2183" s="281"/>
      <c r="F2183" s="257"/>
      <c r="G2183" s="249"/>
      <c r="H2183" s="250">
        <v>8500</v>
      </c>
      <c r="I2183" s="251">
        <f>ROUND(H2183/$H$2189,4)</f>
        <v>0.17710000000000001</v>
      </c>
      <c r="J2183" s="253"/>
      <c r="K2183" s="226"/>
    </row>
    <row r="2184" spans="1:11" ht="12.75" x14ac:dyDescent="0.2">
      <c r="A2184" s="248"/>
      <c r="B2184" s="248"/>
      <c r="C2184" s="261"/>
      <c r="D2184" s="244" t="s">
        <v>240</v>
      </c>
      <c r="E2184" s="281"/>
      <c r="F2184" s="257"/>
      <c r="G2184" s="249"/>
      <c r="H2184" s="250">
        <v>20710</v>
      </c>
      <c r="I2184" s="251">
        <f>ROUND(H2184/$H$2189,4)-0.0001</f>
        <v>0.43140000000000001</v>
      </c>
      <c r="J2184" s="252" t="s">
        <v>240</v>
      </c>
      <c r="K2184" s="226"/>
    </row>
    <row r="2185" spans="1:11" ht="12.75" x14ac:dyDescent="0.2">
      <c r="A2185" s="248"/>
      <c r="B2185" s="248"/>
      <c r="C2185" s="261"/>
      <c r="D2185" s="244" t="s">
        <v>243</v>
      </c>
      <c r="E2185" s="281"/>
      <c r="F2185" s="257"/>
      <c r="G2185" s="249"/>
      <c r="H2185" s="250">
        <v>940</v>
      </c>
      <c r="I2185" s="251">
        <f>ROUND(H2185/$H$2189,4)</f>
        <v>1.9599999999999999E-2</v>
      </c>
      <c r="J2185" s="253"/>
      <c r="K2185" s="226"/>
    </row>
    <row r="2186" spans="1:11" ht="12.75" x14ac:dyDescent="0.2">
      <c r="A2186" s="248"/>
      <c r="B2186" s="248"/>
      <c r="C2186" s="261"/>
      <c r="D2186" s="244" t="s">
        <v>241</v>
      </c>
      <c r="E2186" s="281"/>
      <c r="F2186" s="257"/>
      <c r="G2186" s="249"/>
      <c r="H2186" s="250">
        <v>3920</v>
      </c>
      <c r="I2186" s="251">
        <f>ROUND(H2186/$H$2189,4)</f>
        <v>8.1699999999999995E-2</v>
      </c>
      <c r="J2186" s="253"/>
      <c r="K2186" s="226"/>
    </row>
    <row r="2187" spans="1:11" ht="12.75" x14ac:dyDescent="0.2">
      <c r="A2187" s="248"/>
      <c r="B2187" s="248"/>
      <c r="C2187" s="261"/>
      <c r="D2187" s="244" t="s">
        <v>242</v>
      </c>
      <c r="E2187" s="281"/>
      <c r="F2187" s="257"/>
      <c r="G2187" s="249"/>
      <c r="H2187" s="250">
        <v>10930</v>
      </c>
      <c r="I2187" s="251">
        <f>ROUND(H2187/$H$2189,4)</f>
        <v>0.22770000000000001</v>
      </c>
      <c r="J2187" s="253" t="s">
        <v>242</v>
      </c>
      <c r="K2187" s="226"/>
    </row>
    <row r="2188" spans="1:11" ht="12.75" x14ac:dyDescent="0.2">
      <c r="A2188" s="248"/>
      <c r="B2188" s="248"/>
      <c r="C2188" s="261"/>
      <c r="D2188" s="254" t="s">
        <v>246</v>
      </c>
      <c r="E2188" s="281"/>
      <c r="F2188" s="257"/>
      <c r="G2188" s="249"/>
      <c r="H2188" s="250">
        <v>3000</v>
      </c>
      <c r="I2188" s="251">
        <f>ROUND(H2188/$H$2189,4)</f>
        <v>6.25E-2</v>
      </c>
      <c r="J2188" s="253"/>
      <c r="K2188" s="226"/>
    </row>
    <row r="2189" spans="1:11" ht="12.75" x14ac:dyDescent="0.2">
      <c r="A2189" s="248"/>
      <c r="B2189" s="248"/>
      <c r="C2189" s="261"/>
      <c r="D2189" s="243" t="s">
        <v>33</v>
      </c>
      <c r="E2189" s="281"/>
      <c r="F2189" s="257"/>
      <c r="G2189" s="249"/>
      <c r="H2189" s="255">
        <f>SUM(H2183:H2188)</f>
        <v>48000</v>
      </c>
      <c r="I2189" s="256">
        <f>SUM(I2183:I2188)</f>
        <v>1</v>
      </c>
      <c r="J2189" s="253"/>
      <c r="K2189" s="226"/>
    </row>
    <row r="2190" spans="1:11" ht="12.75" x14ac:dyDescent="0.2">
      <c r="A2190" s="243" t="s">
        <v>21</v>
      </c>
      <c r="B2190" s="243">
        <v>973</v>
      </c>
      <c r="C2190" s="243" t="s">
        <v>236</v>
      </c>
      <c r="D2190" s="244" t="s">
        <v>100</v>
      </c>
      <c r="E2190" s="277" t="s">
        <v>417</v>
      </c>
      <c r="F2190" s="245">
        <v>2000000</v>
      </c>
      <c r="G2190" s="246">
        <v>34523</v>
      </c>
      <c r="H2190" s="242"/>
      <c r="I2190" s="251"/>
      <c r="J2190" s="253"/>
      <c r="K2190" s="226"/>
    </row>
    <row r="2191" spans="1:11" ht="12.75" x14ac:dyDescent="0.2">
      <c r="A2191" s="248"/>
      <c r="B2191" s="261"/>
      <c r="C2191" s="261"/>
      <c r="D2191" s="244" t="s">
        <v>242</v>
      </c>
      <c r="E2191" s="281"/>
      <c r="F2191" s="257"/>
      <c r="G2191" s="249"/>
      <c r="H2191" s="250">
        <v>9485</v>
      </c>
      <c r="I2191" s="251">
        <f>ROUND(H2191/$H$2193,4)</f>
        <v>0.2747</v>
      </c>
      <c r="J2191" s="253"/>
      <c r="K2191" s="226"/>
    </row>
    <row r="2192" spans="1:11" ht="12.75" x14ac:dyDescent="0.2">
      <c r="A2192" s="248"/>
      <c r="B2192" s="261"/>
      <c r="C2192" s="261"/>
      <c r="D2192" s="254" t="s">
        <v>246</v>
      </c>
      <c r="E2192" s="281"/>
      <c r="F2192" s="257"/>
      <c r="G2192" s="249"/>
      <c r="H2192" s="250">
        <v>25038</v>
      </c>
      <c r="I2192" s="251">
        <f>ROUND(H2192/$H$2193,4)</f>
        <v>0.72529999999999994</v>
      </c>
      <c r="J2192" s="252" t="s">
        <v>246</v>
      </c>
      <c r="K2192" s="226"/>
    </row>
    <row r="2193" spans="1:11" ht="12.75" x14ac:dyDescent="0.2">
      <c r="A2193" s="248"/>
      <c r="B2193" s="261"/>
      <c r="C2193" s="261"/>
      <c r="D2193" s="243" t="s">
        <v>33</v>
      </c>
      <c r="E2193" s="281"/>
      <c r="F2193" s="257"/>
      <c r="G2193" s="249"/>
      <c r="H2193" s="255">
        <f>SUM(H2191:H2192)</f>
        <v>34523</v>
      </c>
      <c r="I2193" s="256">
        <f>SUM(I2191:I2192)</f>
        <v>1</v>
      </c>
      <c r="J2193" s="253"/>
      <c r="K2193" s="226"/>
    </row>
    <row r="2194" spans="1:11" ht="12.75" x14ac:dyDescent="0.2">
      <c r="A2194" s="248"/>
      <c r="B2194" s="261"/>
      <c r="C2194" s="261"/>
      <c r="D2194" s="249"/>
      <c r="E2194" s="281"/>
      <c r="F2194" s="257"/>
      <c r="G2194" s="249"/>
      <c r="H2194" s="242"/>
      <c r="I2194" s="251"/>
      <c r="J2194" s="253"/>
      <c r="K2194" s="226"/>
    </row>
    <row r="2195" spans="1:11" ht="12.75" x14ac:dyDescent="0.2">
      <c r="A2195" s="243" t="s">
        <v>21</v>
      </c>
      <c r="B2195" s="243">
        <v>979</v>
      </c>
      <c r="C2195" s="243" t="s">
        <v>236</v>
      </c>
      <c r="D2195" s="244" t="s">
        <v>65</v>
      </c>
      <c r="E2195" s="277" t="s">
        <v>395</v>
      </c>
      <c r="F2195" s="245">
        <v>654151</v>
      </c>
      <c r="G2195" s="246">
        <v>8218</v>
      </c>
      <c r="H2195" s="242"/>
      <c r="I2195" s="251"/>
      <c r="J2195" s="253"/>
      <c r="K2195" s="226"/>
    </row>
    <row r="2196" spans="1:11" ht="12.75" x14ac:dyDescent="0.2">
      <c r="A2196" s="248"/>
      <c r="B2196" s="261"/>
      <c r="C2196" s="261"/>
      <c r="D2196" s="244" t="s">
        <v>242</v>
      </c>
      <c r="E2196" s="281"/>
      <c r="F2196" s="257"/>
      <c r="G2196" s="249"/>
      <c r="H2196" s="255">
        <v>5277</v>
      </c>
      <c r="I2196" s="256">
        <v>1</v>
      </c>
      <c r="J2196" s="252" t="s">
        <v>242</v>
      </c>
      <c r="K2196" s="226"/>
    </row>
    <row r="2197" spans="1:11" ht="12.75" x14ac:dyDescent="0.2">
      <c r="A2197" s="248"/>
      <c r="B2197" s="261"/>
      <c r="C2197" s="261"/>
      <c r="D2197" s="249"/>
      <c r="E2197" s="281"/>
      <c r="F2197" s="257"/>
      <c r="G2197" s="249"/>
      <c r="H2197" s="242"/>
      <c r="I2197" s="251"/>
      <c r="J2197" s="253"/>
      <c r="K2197" s="226"/>
    </row>
    <row r="2198" spans="1:11" ht="12.75" x14ac:dyDescent="0.2">
      <c r="A2198" s="243" t="s">
        <v>21</v>
      </c>
      <c r="B2198" s="243">
        <v>977</v>
      </c>
      <c r="C2198" s="243" t="s">
        <v>236</v>
      </c>
      <c r="D2198" s="244" t="s">
        <v>27</v>
      </c>
      <c r="E2198" s="277" t="s">
        <v>418</v>
      </c>
      <c r="F2198" s="245">
        <v>4929000</v>
      </c>
      <c r="G2198" s="246">
        <v>62241</v>
      </c>
      <c r="H2198" s="242"/>
      <c r="I2198" s="251"/>
      <c r="J2198" s="253"/>
      <c r="K2198" s="226"/>
    </row>
    <row r="2199" spans="1:11" ht="12.75" x14ac:dyDescent="0.2">
      <c r="A2199" s="249"/>
      <c r="B2199" s="249"/>
      <c r="C2199" s="284"/>
      <c r="D2199" s="244" t="s">
        <v>263</v>
      </c>
      <c r="E2199" s="281"/>
      <c r="F2199" s="257"/>
      <c r="G2199" s="249"/>
      <c r="H2199" s="250">
        <v>8016</v>
      </c>
      <c r="I2199" s="251">
        <f t="shared" ref="I2199:I2204" si="54">ROUND(H2199/$H$2205,4)</f>
        <v>0.21629999999999999</v>
      </c>
      <c r="J2199" s="253" t="s">
        <v>263</v>
      </c>
      <c r="K2199" s="226"/>
    </row>
    <row r="2200" spans="1:11" ht="12.75" x14ac:dyDescent="0.2">
      <c r="A2200" s="249"/>
      <c r="B2200" s="249"/>
      <c r="C2200" s="284"/>
      <c r="D2200" s="244" t="s">
        <v>240</v>
      </c>
      <c r="E2200" s="281"/>
      <c r="F2200" s="257"/>
      <c r="G2200" s="249"/>
      <c r="H2200" s="250">
        <v>6112</v>
      </c>
      <c r="I2200" s="251">
        <f t="shared" si="54"/>
        <v>0.16489999999999999</v>
      </c>
      <c r="J2200" s="253"/>
      <c r="K2200" s="226"/>
    </row>
    <row r="2201" spans="1:11" ht="12.75" x14ac:dyDescent="0.2">
      <c r="A2201" s="249"/>
      <c r="B2201" s="249"/>
      <c r="C2201" s="284"/>
      <c r="D2201" s="244" t="s">
        <v>286</v>
      </c>
      <c r="E2201" s="281"/>
      <c r="F2201" s="257"/>
      <c r="G2201" s="249"/>
      <c r="H2201" s="250">
        <v>314</v>
      </c>
      <c r="I2201" s="251">
        <f t="shared" si="54"/>
        <v>8.5000000000000006E-3</v>
      </c>
      <c r="J2201" s="253"/>
      <c r="K2201" s="226"/>
    </row>
    <row r="2202" spans="1:11" ht="12.75" x14ac:dyDescent="0.2">
      <c r="A2202" s="249"/>
      <c r="B2202" s="249"/>
      <c r="C2202" s="284"/>
      <c r="D2202" s="244" t="s">
        <v>242</v>
      </c>
      <c r="E2202" s="281"/>
      <c r="F2202" s="257"/>
      <c r="G2202" s="249"/>
      <c r="H2202" s="250">
        <v>18297</v>
      </c>
      <c r="I2202" s="251">
        <f t="shared" si="54"/>
        <v>0.49359999999999998</v>
      </c>
      <c r="J2202" s="252" t="s">
        <v>242</v>
      </c>
      <c r="K2202" s="226"/>
    </row>
    <row r="2203" spans="1:11" ht="12.75" x14ac:dyDescent="0.2">
      <c r="A2203" s="249"/>
      <c r="B2203" s="249"/>
      <c r="C2203" s="284"/>
      <c r="D2203" s="244" t="s">
        <v>264</v>
      </c>
      <c r="E2203" s="281"/>
      <c r="F2203" s="257"/>
      <c r="G2203" s="249"/>
      <c r="H2203" s="250">
        <v>4216</v>
      </c>
      <c r="I2203" s="251">
        <f t="shared" si="54"/>
        <v>0.1137</v>
      </c>
      <c r="J2203" s="253"/>
      <c r="K2203" s="226"/>
    </row>
    <row r="2204" spans="1:11" ht="12.75" x14ac:dyDescent="0.2">
      <c r="A2204" s="249"/>
      <c r="B2204" s="249"/>
      <c r="C2204" s="284"/>
      <c r="D2204" s="244" t="s">
        <v>287</v>
      </c>
      <c r="E2204" s="281"/>
      <c r="F2204" s="257"/>
      <c r="G2204" s="249"/>
      <c r="H2204" s="250">
        <v>111</v>
      </c>
      <c r="I2204" s="251">
        <f t="shared" si="54"/>
        <v>3.0000000000000001E-3</v>
      </c>
      <c r="J2204" s="253"/>
      <c r="K2204" s="226"/>
    </row>
    <row r="2205" spans="1:11" ht="12.75" x14ac:dyDescent="0.2">
      <c r="A2205" s="249"/>
      <c r="B2205" s="249"/>
      <c r="C2205" s="284"/>
      <c r="D2205" s="243" t="s">
        <v>33</v>
      </c>
      <c r="E2205" s="281"/>
      <c r="F2205" s="257"/>
      <c r="G2205" s="249"/>
      <c r="H2205" s="255">
        <f>SUM(H2199:H2204)</f>
        <v>37066</v>
      </c>
      <c r="I2205" s="256">
        <f>SUM(I2199:I2204)</f>
        <v>1</v>
      </c>
      <c r="J2205" s="253"/>
      <c r="K2205" s="226"/>
    </row>
    <row r="2206" spans="1:11" ht="12.75" x14ac:dyDescent="0.2">
      <c r="A2206" s="249"/>
      <c r="B2206" s="249"/>
      <c r="C2206" s="284"/>
      <c r="D2206" s="249"/>
      <c r="E2206" s="281"/>
      <c r="F2206" s="257"/>
      <c r="G2206" s="249"/>
      <c r="H2206" s="242"/>
      <c r="I2206" s="251"/>
      <c r="J2206" s="253"/>
      <c r="K2206" s="226"/>
    </row>
    <row r="2207" spans="1:11" ht="12.75" x14ac:dyDescent="0.2">
      <c r="A2207" s="261" t="s">
        <v>21</v>
      </c>
      <c r="B2207" s="261">
        <v>905</v>
      </c>
      <c r="C2207" s="243" t="s">
        <v>236</v>
      </c>
      <c r="D2207" s="249" t="s">
        <v>71</v>
      </c>
      <c r="E2207" s="336" t="s">
        <v>419</v>
      </c>
      <c r="F2207" s="257">
        <v>9197000</v>
      </c>
      <c r="G2207" s="249">
        <v>88647</v>
      </c>
      <c r="H2207" s="242"/>
      <c r="I2207" s="251"/>
      <c r="J2207" s="242"/>
      <c r="K2207" s="226"/>
    </row>
    <row r="2208" spans="1:11" ht="12.75" x14ac:dyDescent="0.2">
      <c r="A2208" s="249"/>
      <c r="B2208" s="249"/>
      <c r="C2208" s="284"/>
      <c r="D2208" s="244" t="s">
        <v>263</v>
      </c>
      <c r="E2208" s="281"/>
      <c r="F2208" s="257"/>
      <c r="G2208" s="249"/>
      <c r="H2208" s="242">
        <v>1588</v>
      </c>
      <c r="I2208" s="251">
        <f t="shared" ref="I2208:I2214" si="55">ROUND(H2208/$H$2215,4)</f>
        <v>3.04E-2</v>
      </c>
      <c r="J2208" s="242"/>
      <c r="K2208" s="226"/>
    </row>
    <row r="2209" spans="1:11" ht="12.75" x14ac:dyDescent="0.2">
      <c r="A2209" s="249"/>
      <c r="B2209" s="249"/>
      <c r="C2209" s="284"/>
      <c r="D2209" s="244" t="s">
        <v>240</v>
      </c>
      <c r="E2209" s="281"/>
      <c r="F2209" s="257"/>
      <c r="G2209" s="249"/>
      <c r="H2209" s="242">
        <v>2034</v>
      </c>
      <c r="I2209" s="251">
        <f t="shared" si="55"/>
        <v>3.9E-2</v>
      </c>
      <c r="J2209" s="242"/>
      <c r="K2209" s="226"/>
    </row>
    <row r="2210" spans="1:11" ht="12.75" x14ac:dyDescent="0.2">
      <c r="A2210" s="249"/>
      <c r="B2210" s="249"/>
      <c r="C2210" s="284"/>
      <c r="D2210" s="244" t="s">
        <v>286</v>
      </c>
      <c r="E2210" s="281"/>
      <c r="F2210" s="257"/>
      <c r="G2210" s="249"/>
      <c r="H2210" s="242">
        <v>566</v>
      </c>
      <c r="I2210" s="251">
        <f t="shared" si="55"/>
        <v>1.0800000000000001E-2</v>
      </c>
      <c r="J2210" s="242"/>
      <c r="K2210" s="226"/>
    </row>
    <row r="2211" spans="1:11" ht="12.75" x14ac:dyDescent="0.2">
      <c r="A2211" s="249"/>
      <c r="B2211" s="249"/>
      <c r="C2211" s="284"/>
      <c r="D2211" s="244" t="s">
        <v>242</v>
      </c>
      <c r="E2211" s="281"/>
      <c r="F2211" s="257"/>
      <c r="G2211" s="249"/>
      <c r="H2211" s="242">
        <v>20223</v>
      </c>
      <c r="I2211" s="251">
        <f t="shared" si="55"/>
        <v>0.38769999999999999</v>
      </c>
      <c r="J2211" s="253" t="s">
        <v>242</v>
      </c>
      <c r="K2211" s="226"/>
    </row>
    <row r="2212" spans="1:11" ht="12.75" x14ac:dyDescent="0.2">
      <c r="A2212" s="249"/>
      <c r="B2212" s="249"/>
      <c r="C2212" s="284"/>
      <c r="D2212" s="244" t="s">
        <v>264</v>
      </c>
      <c r="E2212" s="281"/>
      <c r="F2212" s="257"/>
      <c r="G2212" s="249"/>
      <c r="H2212" s="242">
        <v>22687</v>
      </c>
      <c r="I2212" s="251">
        <f t="shared" si="55"/>
        <v>0.43490000000000001</v>
      </c>
      <c r="J2212" s="252" t="s">
        <v>264</v>
      </c>
      <c r="K2212" s="226"/>
    </row>
    <row r="2213" spans="1:11" ht="12.75" x14ac:dyDescent="0.2">
      <c r="A2213" s="249"/>
      <c r="B2213" s="249"/>
      <c r="C2213" s="284"/>
      <c r="D2213" s="244" t="s">
        <v>244</v>
      </c>
      <c r="E2213" s="281"/>
      <c r="F2213" s="257"/>
      <c r="G2213" s="249"/>
      <c r="H2213" s="242">
        <v>705</v>
      </c>
      <c r="I2213" s="251">
        <f t="shared" si="55"/>
        <v>1.35E-2</v>
      </c>
      <c r="J2213" s="242"/>
      <c r="K2213" s="226"/>
    </row>
    <row r="2214" spans="1:11" ht="12.75" x14ac:dyDescent="0.2">
      <c r="A2214" s="249"/>
      <c r="B2214" s="249"/>
      <c r="C2214" s="284"/>
      <c r="D2214" s="254" t="s">
        <v>246</v>
      </c>
      <c r="E2214" s="281"/>
      <c r="F2214" s="257"/>
      <c r="G2214" s="249"/>
      <c r="H2214" s="242">
        <v>4364</v>
      </c>
      <c r="I2214" s="251">
        <f t="shared" si="55"/>
        <v>8.3699999999999997E-2</v>
      </c>
      <c r="J2214" s="242"/>
      <c r="K2214" s="226"/>
    </row>
    <row r="2215" spans="1:11" ht="12.75" x14ac:dyDescent="0.2">
      <c r="A2215" s="249"/>
      <c r="B2215" s="249"/>
      <c r="C2215" s="284"/>
      <c r="D2215" s="243" t="s">
        <v>33</v>
      </c>
      <c r="E2215" s="281"/>
      <c r="F2215" s="257"/>
      <c r="G2215" s="249"/>
      <c r="H2215" s="265">
        <f>SUM(H2208:H2214)</f>
        <v>52167</v>
      </c>
      <c r="I2215" s="256">
        <f>SUM(I2208:I2214)</f>
        <v>1</v>
      </c>
      <c r="J2215" s="242"/>
      <c r="K2215" s="226"/>
    </row>
    <row r="2216" spans="1:11" ht="12.75" x14ac:dyDescent="0.2">
      <c r="A2216" s="249"/>
      <c r="B2216" s="249"/>
      <c r="C2216" s="284"/>
      <c r="D2216" s="243"/>
      <c r="E2216" s="281"/>
      <c r="F2216" s="257"/>
      <c r="G2216" s="249"/>
      <c r="H2216" s="249"/>
      <c r="I2216" s="262"/>
      <c r="J2216" s="242"/>
      <c r="K2216" s="226"/>
    </row>
    <row r="2217" spans="1:11" ht="12.75" x14ac:dyDescent="0.2">
      <c r="A2217" s="261" t="s">
        <v>21</v>
      </c>
      <c r="B2217" s="261">
        <v>929</v>
      </c>
      <c r="C2217" s="243" t="s">
        <v>236</v>
      </c>
      <c r="D2217" s="249" t="s">
        <v>154</v>
      </c>
      <c r="E2217" s="336">
        <v>36312</v>
      </c>
      <c r="F2217" s="257">
        <v>16755145</v>
      </c>
      <c r="G2217" s="249">
        <v>125070</v>
      </c>
      <c r="H2217" s="242"/>
      <c r="I2217" s="251"/>
      <c r="J2217" s="242"/>
      <c r="K2217" s="226"/>
    </row>
    <row r="2218" spans="1:11" ht="12.75" x14ac:dyDescent="0.2">
      <c r="A2218" s="249"/>
      <c r="B2218" s="249"/>
      <c r="C2218" s="284"/>
      <c r="D2218" s="244" t="s">
        <v>263</v>
      </c>
      <c r="E2218" s="281"/>
      <c r="F2218" s="257"/>
      <c r="G2218" s="249"/>
      <c r="H2218" s="242">
        <v>11779</v>
      </c>
      <c r="I2218" s="251">
        <f>(H2218/H2224)</f>
        <v>0.13148700088186374</v>
      </c>
      <c r="J2218" s="242"/>
      <c r="K2218" s="226"/>
    </row>
    <row r="2219" spans="1:11" ht="12.75" x14ac:dyDescent="0.2">
      <c r="A2219" s="249"/>
      <c r="B2219" s="249"/>
      <c r="C2219" s="284"/>
      <c r="D2219" s="244" t="s">
        <v>240</v>
      </c>
      <c r="E2219" s="281"/>
      <c r="F2219" s="257"/>
      <c r="G2219" s="249"/>
      <c r="H2219" s="242">
        <v>11452</v>
      </c>
      <c r="I2219" s="251">
        <f>(H2219/H2224)</f>
        <v>0.12783675474141298</v>
      </c>
      <c r="J2219" s="242"/>
      <c r="K2219" s="226"/>
    </row>
    <row r="2220" spans="1:11" ht="12.75" x14ac:dyDescent="0.2">
      <c r="A2220" s="249"/>
      <c r="B2220" s="249"/>
      <c r="C2220" s="284"/>
      <c r="D2220" s="244" t="s">
        <v>286</v>
      </c>
      <c r="E2220" s="281"/>
      <c r="F2220" s="257"/>
      <c r="G2220" s="249"/>
      <c r="H2220" s="242">
        <v>1100</v>
      </c>
      <c r="I2220" s="251">
        <f>(H2220/H2224)</f>
        <v>1.2279115457173794E-2</v>
      </c>
      <c r="J2220" s="242"/>
      <c r="K2220" s="226"/>
    </row>
    <row r="2221" spans="1:11" ht="12.75" x14ac:dyDescent="0.2">
      <c r="A2221" s="249"/>
      <c r="B2221" s="249"/>
      <c r="C2221" s="284"/>
      <c r="D2221" s="244" t="s">
        <v>242</v>
      </c>
      <c r="E2221" s="281"/>
      <c r="F2221" s="257"/>
      <c r="G2221" s="249"/>
      <c r="H2221" s="242">
        <v>18498</v>
      </c>
      <c r="I2221" s="251">
        <f>(H2221/H2224)</f>
        <v>0.20649007066072805</v>
      </c>
      <c r="J2221" s="253" t="s">
        <v>242</v>
      </c>
      <c r="K2221" s="226"/>
    </row>
    <row r="2222" spans="1:11" ht="12.75" x14ac:dyDescent="0.2">
      <c r="A2222" s="249"/>
      <c r="B2222" s="249"/>
      <c r="C2222" s="284"/>
      <c r="D2222" s="244" t="s">
        <v>264</v>
      </c>
      <c r="E2222" s="281"/>
      <c r="F2222" s="257"/>
      <c r="G2222" s="249"/>
      <c r="H2222" s="242">
        <v>37323</v>
      </c>
      <c r="I2222" s="251">
        <f>(H2222/H2224)</f>
        <v>0.41663038746190684</v>
      </c>
      <c r="J2222" s="252" t="s">
        <v>264</v>
      </c>
      <c r="K2222" s="226"/>
    </row>
    <row r="2223" spans="1:11" ht="12.75" x14ac:dyDescent="0.2">
      <c r="A2223" s="249"/>
      <c r="B2223" s="249"/>
      <c r="C2223" s="284"/>
      <c r="D2223" s="254" t="s">
        <v>294</v>
      </c>
      <c r="E2223" s="281"/>
      <c r="F2223" s="257"/>
      <c r="G2223" s="249"/>
      <c r="H2223" s="242">
        <v>9431</v>
      </c>
      <c r="I2223" s="251">
        <f>(H2223/H2224)</f>
        <v>0.10527667079691459</v>
      </c>
      <c r="J2223" s="242"/>
      <c r="K2223" s="226"/>
    </row>
    <row r="2224" spans="1:11" ht="12.75" x14ac:dyDescent="0.2">
      <c r="A2224" s="249"/>
      <c r="B2224" s="249"/>
      <c r="C2224" s="284"/>
      <c r="D2224" s="243" t="s">
        <v>33</v>
      </c>
      <c r="E2224" s="281"/>
      <c r="F2224" s="257"/>
      <c r="G2224" s="249"/>
      <c r="H2224" s="265">
        <f>SUM(H2218:H2223)</f>
        <v>89583</v>
      </c>
      <c r="I2224" s="256">
        <f>SUM(I2218:I2223)</f>
        <v>1</v>
      </c>
      <c r="J2224" s="242"/>
      <c r="K2224" s="226"/>
    </row>
    <row r="2225" spans="1:11" ht="12.75" x14ac:dyDescent="0.2">
      <c r="A2225" s="249"/>
      <c r="B2225" s="249"/>
      <c r="C2225" s="284"/>
      <c r="D2225" s="243"/>
      <c r="E2225" s="281"/>
      <c r="F2225" s="257"/>
      <c r="G2225" s="249"/>
      <c r="H2225" s="249"/>
      <c r="I2225" s="262"/>
      <c r="J2225" s="242"/>
      <c r="K2225" s="226"/>
    </row>
    <row r="2226" spans="1:11" ht="12.75" x14ac:dyDescent="0.2">
      <c r="A2226" s="261" t="s">
        <v>21</v>
      </c>
      <c r="B2226" s="261">
        <v>958</v>
      </c>
      <c r="C2226" s="243" t="s">
        <v>236</v>
      </c>
      <c r="D2226" s="249" t="s">
        <v>445</v>
      </c>
      <c r="E2226" s="336">
        <v>37124</v>
      </c>
      <c r="F2226" s="257">
        <v>15722202</v>
      </c>
      <c r="G2226" s="249">
        <v>130738</v>
      </c>
      <c r="H2226" s="242"/>
      <c r="I2226" s="251"/>
      <c r="J2226" s="242"/>
      <c r="K2226" s="226"/>
    </row>
    <row r="2227" spans="1:11" ht="12.75" x14ac:dyDescent="0.2">
      <c r="A2227" s="249"/>
      <c r="B2227" s="249"/>
      <c r="C2227" s="284"/>
      <c r="D2227" s="244" t="s">
        <v>263</v>
      </c>
      <c r="E2227" s="281"/>
      <c r="F2227" s="257"/>
      <c r="G2227" s="249"/>
      <c r="H2227" s="242">
        <v>8453</v>
      </c>
      <c r="I2227" s="251">
        <f>(H2227/H2231)</f>
        <v>0.10150583601517844</v>
      </c>
      <c r="J2227" s="242"/>
      <c r="K2227" s="226"/>
    </row>
    <row r="2228" spans="1:11" ht="12.75" x14ac:dyDescent="0.2">
      <c r="A2228" s="249"/>
      <c r="B2228" s="249"/>
      <c r="C2228" s="284"/>
      <c r="D2228" s="244" t="s">
        <v>240</v>
      </c>
      <c r="E2228" s="281"/>
      <c r="F2228" s="257"/>
      <c r="G2228" s="249"/>
      <c r="H2228" s="242">
        <v>46349</v>
      </c>
      <c r="I2228" s="251">
        <f>(H2228/H2231)</f>
        <v>0.5565709207935059</v>
      </c>
      <c r="J2228" s="253" t="s">
        <v>292</v>
      </c>
      <c r="K2228" s="226"/>
    </row>
    <row r="2229" spans="1:11" ht="12.75" x14ac:dyDescent="0.2">
      <c r="A2229" s="249"/>
      <c r="B2229" s="249"/>
      <c r="C2229" s="284"/>
      <c r="D2229" s="244" t="s">
        <v>446</v>
      </c>
      <c r="E2229" s="281"/>
      <c r="F2229" s="257"/>
      <c r="G2229" s="249"/>
      <c r="H2229" s="242">
        <v>9652</v>
      </c>
      <c r="I2229" s="251">
        <f>(H2229/H2231)</f>
        <v>0.11590374177434075</v>
      </c>
      <c r="J2229" s="242"/>
      <c r="K2229" s="226"/>
    </row>
    <row r="2230" spans="1:11" ht="12.75" x14ac:dyDescent="0.2">
      <c r="A2230" s="249"/>
      <c r="B2230" s="249"/>
      <c r="C2230" s="284"/>
      <c r="D2230" s="244" t="s">
        <v>290</v>
      </c>
      <c r="E2230" s="281"/>
      <c r="F2230" s="257"/>
      <c r="G2230" s="249"/>
      <c r="H2230" s="242">
        <v>18822</v>
      </c>
      <c r="I2230" s="251">
        <f>(H2230/H2231)</f>
        <v>0.22601950141697488</v>
      </c>
      <c r="J2230" s="242"/>
      <c r="K2230" s="226"/>
    </row>
    <row r="2231" spans="1:11" ht="12.75" x14ac:dyDescent="0.2">
      <c r="A2231" s="249"/>
      <c r="B2231" s="249"/>
      <c r="C2231" s="284"/>
      <c r="D2231" s="243" t="s">
        <v>33</v>
      </c>
      <c r="E2231" s="281"/>
      <c r="F2231" s="257"/>
      <c r="G2231" s="249"/>
      <c r="H2231" s="265">
        <f>SUM(H2227:H2230)</f>
        <v>83276</v>
      </c>
      <c r="I2231" s="256">
        <f>SUM(I2227:I2230)</f>
        <v>1</v>
      </c>
      <c r="J2231" s="242"/>
      <c r="K2231" s="226"/>
    </row>
    <row r="2232" spans="1:11" ht="12.75" x14ac:dyDescent="0.2">
      <c r="A2232" s="249"/>
      <c r="B2232" s="249"/>
      <c r="C2232" s="284"/>
      <c r="D2232" s="243"/>
      <c r="E2232" s="281"/>
      <c r="F2232" s="257"/>
      <c r="G2232" s="249"/>
      <c r="H2232" s="249"/>
      <c r="I2232" s="262"/>
      <c r="J2232" s="242"/>
      <c r="K2232" s="226"/>
    </row>
    <row r="2233" spans="1:11" ht="12.75" x14ac:dyDescent="0.2">
      <c r="A2233" s="261" t="s">
        <v>21</v>
      </c>
      <c r="B2233" s="261">
        <v>917</v>
      </c>
      <c r="C2233" s="243" t="s">
        <v>291</v>
      </c>
      <c r="D2233" s="249" t="s">
        <v>507</v>
      </c>
      <c r="E2233" s="336">
        <v>38081</v>
      </c>
      <c r="F2233" s="257">
        <f>18121650</f>
        <v>18121650</v>
      </c>
      <c r="G2233" s="249">
        <v>79823</v>
      </c>
      <c r="H2233" s="242"/>
      <c r="I2233" s="251"/>
      <c r="J2233" s="242"/>
      <c r="K2233" s="226"/>
    </row>
    <row r="2234" spans="1:11" ht="12.75" x14ac:dyDescent="0.2">
      <c r="A2234" s="249"/>
      <c r="B2234" s="249"/>
      <c r="C2234" s="284"/>
      <c r="D2234" s="244" t="s">
        <v>263</v>
      </c>
      <c r="E2234" s="281"/>
      <c r="F2234" s="257"/>
      <c r="G2234" s="249"/>
      <c r="H2234" s="242">
        <v>4210</v>
      </c>
      <c r="I2234" s="251">
        <f>(H2234/H$2239)</f>
        <v>6.3911829001700268E-2</v>
      </c>
      <c r="J2234" s="242"/>
      <c r="K2234" s="226"/>
    </row>
    <row r="2235" spans="1:11" ht="12.75" x14ac:dyDescent="0.2">
      <c r="A2235" s="249"/>
      <c r="B2235" s="249"/>
      <c r="C2235" s="284"/>
      <c r="D2235" s="244" t="s">
        <v>286</v>
      </c>
      <c r="E2235" s="281"/>
      <c r="F2235" s="257"/>
      <c r="G2235" s="249"/>
      <c r="H2235" s="242">
        <v>43857</v>
      </c>
      <c r="I2235" s="251">
        <f>(H2235/H$2239)</f>
        <v>0.66579123147923247</v>
      </c>
      <c r="J2235" s="253" t="s">
        <v>286</v>
      </c>
      <c r="K2235" s="226"/>
    </row>
    <row r="2236" spans="1:11" ht="12.75" x14ac:dyDescent="0.2">
      <c r="A2236" s="249"/>
      <c r="B2236" s="249"/>
      <c r="C2236" s="284"/>
      <c r="D2236" s="244" t="s">
        <v>290</v>
      </c>
      <c r="E2236" s="281"/>
      <c r="F2236" s="257"/>
      <c r="G2236" s="249"/>
      <c r="H2236" s="242">
        <v>9515</v>
      </c>
      <c r="I2236" s="251">
        <f>(H2236/H$2239)</f>
        <v>0.14444680592664561</v>
      </c>
      <c r="J2236" s="242"/>
      <c r="K2236" s="226"/>
    </row>
    <row r="2237" spans="1:11" ht="12.75" x14ac:dyDescent="0.2">
      <c r="A2237" s="249"/>
      <c r="B2237" s="249"/>
      <c r="C2237" s="284"/>
      <c r="D2237" s="244" t="s">
        <v>294</v>
      </c>
      <c r="E2237" s="281"/>
      <c r="F2237" s="257"/>
      <c r="G2237" s="249"/>
      <c r="H2237" s="242">
        <v>5240</v>
      </c>
      <c r="I2237" s="251">
        <f>(H2237/H$2239)</f>
        <v>7.9548214719455917E-2</v>
      </c>
      <c r="J2237" s="242"/>
      <c r="K2237" s="226"/>
    </row>
    <row r="2238" spans="1:11" ht="12.75" x14ac:dyDescent="0.2">
      <c r="A2238" s="249"/>
      <c r="B2238" s="249"/>
      <c r="C2238" s="284"/>
      <c r="D2238" s="244" t="s">
        <v>287</v>
      </c>
      <c r="E2238" s="281"/>
      <c r="F2238" s="257"/>
      <c r="G2238" s="249"/>
      <c r="H2238" s="242">
        <v>3050</v>
      </c>
      <c r="I2238" s="251">
        <f>(H2238/H$2239)</f>
        <v>4.6301918872965753E-2</v>
      </c>
      <c r="J2238" s="242"/>
      <c r="K2238" s="226"/>
    </row>
    <row r="2239" spans="1:11" ht="12.75" x14ac:dyDescent="0.2">
      <c r="A2239" s="249"/>
      <c r="B2239" s="249"/>
      <c r="C2239" s="284"/>
      <c r="D2239" s="243" t="s">
        <v>33</v>
      </c>
      <c r="E2239" s="281"/>
      <c r="F2239" s="257"/>
      <c r="G2239" s="249"/>
      <c r="H2239" s="265">
        <f>SUM(H2234:H2238)</f>
        <v>65872</v>
      </c>
      <c r="I2239" s="256">
        <f>SUM(I2234:I2238)</f>
        <v>1</v>
      </c>
      <c r="J2239" s="242"/>
      <c r="K2239" s="226"/>
    </row>
    <row r="2240" spans="1:11" ht="12.75" x14ac:dyDescent="0.2">
      <c r="A2240" s="249"/>
      <c r="B2240" s="249"/>
      <c r="C2240" s="284"/>
      <c r="D2240" s="243"/>
      <c r="E2240" s="281"/>
      <c r="F2240" s="257"/>
      <c r="G2240" s="249"/>
      <c r="H2240" s="249"/>
      <c r="I2240" s="262"/>
      <c r="J2240" s="242"/>
      <c r="K2240" s="226"/>
    </row>
    <row r="2241" spans="1:11" ht="12.75" x14ac:dyDescent="0.2">
      <c r="A2241" s="261" t="s">
        <v>21</v>
      </c>
      <c r="B2241" s="261">
        <v>987</v>
      </c>
      <c r="C2241" s="243" t="s">
        <v>291</v>
      </c>
      <c r="D2241" s="58" t="s">
        <v>524</v>
      </c>
      <c r="E2241" s="336">
        <v>38534</v>
      </c>
      <c r="F2241" s="269">
        <v>9907462</v>
      </c>
      <c r="G2241" s="249">
        <v>67550</v>
      </c>
      <c r="H2241" s="242"/>
      <c r="I2241" s="251"/>
      <c r="J2241" s="242"/>
      <c r="K2241" s="226"/>
    </row>
    <row r="2242" spans="1:11" ht="12.75" x14ac:dyDescent="0.2">
      <c r="A2242" s="249"/>
      <c r="B2242" s="249"/>
      <c r="C2242" s="284"/>
      <c r="D2242" s="244" t="s">
        <v>263</v>
      </c>
      <c r="E2242" s="281"/>
      <c r="F2242" s="257"/>
      <c r="G2242" s="249"/>
      <c r="H2242" s="267">
        <v>8650</v>
      </c>
      <c r="I2242" s="251">
        <f>ROUND(H2242/$H$2249,4)</f>
        <v>0.19950000000000001</v>
      </c>
      <c r="J2242" s="266"/>
      <c r="K2242" s="226"/>
    </row>
    <row r="2243" spans="1:11" ht="12.75" x14ac:dyDescent="0.2">
      <c r="A2243" s="249"/>
      <c r="B2243" s="249"/>
      <c r="C2243" s="284"/>
      <c r="D2243" s="244" t="s">
        <v>240</v>
      </c>
      <c r="E2243" s="281"/>
      <c r="F2243" s="257"/>
      <c r="G2243" s="249"/>
      <c r="H2243" s="267">
        <v>4579</v>
      </c>
      <c r="I2243" s="251">
        <f t="shared" ref="I2243:I2249" si="56">ROUND(H2243/$H$2249,4)</f>
        <v>0.1056</v>
      </c>
      <c r="J2243" s="242"/>
      <c r="K2243" s="226"/>
    </row>
    <row r="2244" spans="1:11" ht="12.75" x14ac:dyDescent="0.2">
      <c r="A2244" s="249"/>
      <c r="B2244" s="249"/>
      <c r="C2244" s="284"/>
      <c r="D2244" s="244" t="s">
        <v>446</v>
      </c>
      <c r="E2244" s="281"/>
      <c r="F2244" s="257"/>
      <c r="G2244" s="249"/>
      <c r="H2244" s="267">
        <v>3913</v>
      </c>
      <c r="I2244" s="251">
        <f t="shared" si="56"/>
        <v>9.0300000000000005E-2</v>
      </c>
      <c r="J2244" s="242"/>
      <c r="K2244" s="226"/>
    </row>
    <row r="2245" spans="1:11" ht="12.75" x14ac:dyDescent="0.2">
      <c r="A2245" s="249"/>
      <c r="B2245" s="249"/>
      <c r="C2245" s="284"/>
      <c r="D2245" s="254" t="s">
        <v>525</v>
      </c>
      <c r="E2245" s="281"/>
      <c r="F2245" s="257"/>
      <c r="G2245" s="249"/>
      <c r="H2245" s="267">
        <v>665</v>
      </c>
      <c r="I2245" s="251">
        <f t="shared" si="56"/>
        <v>1.5299999999999999E-2</v>
      </c>
      <c r="J2245" s="242"/>
      <c r="K2245" s="226"/>
    </row>
    <row r="2246" spans="1:11" ht="12.75" x14ac:dyDescent="0.2">
      <c r="A2246" s="249"/>
      <c r="B2246" s="249"/>
      <c r="C2246" s="284"/>
      <c r="D2246" s="244" t="s">
        <v>242</v>
      </c>
      <c r="E2246" s="281"/>
      <c r="F2246" s="257"/>
      <c r="G2246" s="249"/>
      <c r="H2246" s="267">
        <v>20937</v>
      </c>
      <c r="I2246" s="251">
        <f t="shared" si="56"/>
        <v>0.4829</v>
      </c>
      <c r="J2246" s="253" t="s">
        <v>242</v>
      </c>
      <c r="K2246" s="226"/>
    </row>
    <row r="2247" spans="1:11" ht="12.75" x14ac:dyDescent="0.2">
      <c r="A2247" s="249"/>
      <c r="B2247" s="249"/>
      <c r="C2247" s="284"/>
      <c r="D2247" s="254" t="s">
        <v>246</v>
      </c>
      <c r="E2247" s="281"/>
      <c r="F2247" s="257"/>
      <c r="G2247" s="249"/>
      <c r="H2247" s="267">
        <v>1241</v>
      </c>
      <c r="I2247" s="251">
        <f t="shared" si="56"/>
        <v>2.86E-2</v>
      </c>
      <c r="J2247" s="252"/>
      <c r="K2247" s="226"/>
    </row>
    <row r="2248" spans="1:11" ht="12.75" x14ac:dyDescent="0.2">
      <c r="A2248" s="249"/>
      <c r="B2248" s="249"/>
      <c r="C2248" s="284"/>
      <c r="D2248" s="244" t="s">
        <v>480</v>
      </c>
      <c r="E2248" s="281"/>
      <c r="F2248" s="257"/>
      <c r="G2248" s="249"/>
      <c r="H2248" s="267">
        <v>3369</v>
      </c>
      <c r="I2248" s="251">
        <f t="shared" si="56"/>
        <v>7.7700000000000005E-2</v>
      </c>
      <c r="J2248" s="242"/>
      <c r="K2248" s="226"/>
    </row>
    <row r="2249" spans="1:11" ht="12.75" x14ac:dyDescent="0.2">
      <c r="A2249" s="249"/>
      <c r="B2249" s="249"/>
      <c r="C2249" s="284"/>
      <c r="D2249" s="243" t="s">
        <v>33</v>
      </c>
      <c r="E2249" s="281"/>
      <c r="F2249" s="257"/>
      <c r="G2249" s="249"/>
      <c r="H2249" s="265">
        <f>SUM(H2242:H2248)</f>
        <v>43354</v>
      </c>
      <c r="I2249" s="256">
        <f t="shared" si="56"/>
        <v>1</v>
      </c>
      <c r="J2249" s="242"/>
      <c r="K2249" s="226"/>
    </row>
    <row r="2250" spans="1:11" ht="12.75" x14ac:dyDescent="0.2">
      <c r="A2250" s="249"/>
      <c r="B2250" s="249"/>
      <c r="C2250" s="284"/>
      <c r="D2250" s="243"/>
      <c r="E2250" s="281"/>
      <c r="F2250" s="257"/>
      <c r="G2250" s="249"/>
      <c r="H2250" s="249"/>
      <c r="I2250" s="262"/>
      <c r="J2250" s="242"/>
      <c r="K2250" s="226"/>
    </row>
    <row r="2251" spans="1:11" ht="12.75" x14ac:dyDescent="0.2">
      <c r="A2251" s="261" t="s">
        <v>21</v>
      </c>
      <c r="B2251" s="264"/>
      <c r="C2251" s="243" t="s">
        <v>291</v>
      </c>
      <c r="D2251" s="249" t="s">
        <v>558</v>
      </c>
      <c r="E2251" s="336">
        <v>39083</v>
      </c>
      <c r="F2251" s="257">
        <v>1595078</v>
      </c>
      <c r="G2251" s="249">
        <v>2887</v>
      </c>
      <c r="H2251" s="242"/>
      <c r="I2251" s="251"/>
      <c r="J2251" s="242"/>
      <c r="K2251" s="226"/>
    </row>
    <row r="2252" spans="1:11" ht="12.75" x14ac:dyDescent="0.2">
      <c r="A2252" s="249"/>
      <c r="B2252" s="249"/>
      <c r="C2252" s="284"/>
      <c r="D2252" s="244" t="s">
        <v>290</v>
      </c>
      <c r="E2252" s="281"/>
      <c r="F2252" s="257"/>
      <c r="G2252" s="249"/>
      <c r="H2252" s="242">
        <v>1354</v>
      </c>
      <c r="I2252" s="251">
        <f>H2252/H$2255</f>
        <v>0.7342733188720173</v>
      </c>
      <c r="J2252" s="252" t="s">
        <v>290</v>
      </c>
      <c r="K2252" s="226"/>
    </row>
    <row r="2253" spans="1:11" ht="12.75" x14ac:dyDescent="0.2">
      <c r="A2253" s="249"/>
      <c r="B2253" s="249"/>
      <c r="C2253" s="284"/>
      <c r="D2253" s="244" t="s">
        <v>294</v>
      </c>
      <c r="E2253" s="281"/>
      <c r="F2253" s="257"/>
      <c r="G2253" s="249"/>
      <c r="H2253" s="242">
        <v>237</v>
      </c>
      <c r="I2253" s="251">
        <f>H2253/H$2255</f>
        <v>0.12852494577006507</v>
      </c>
      <c r="J2253" s="252"/>
      <c r="K2253" s="226"/>
    </row>
    <row r="2254" spans="1:11" ht="12.75" x14ac:dyDescent="0.2">
      <c r="A2254" s="249"/>
      <c r="B2254" s="249"/>
      <c r="C2254" s="284"/>
      <c r="D2254" s="244" t="s">
        <v>480</v>
      </c>
      <c r="E2254" s="281"/>
      <c r="F2254" s="257"/>
      <c r="G2254" s="249"/>
      <c r="H2254" s="242">
        <v>253</v>
      </c>
      <c r="I2254" s="251">
        <f>H2254/H$2255</f>
        <v>0.13720173535791758</v>
      </c>
      <c r="J2254" s="252"/>
      <c r="K2254" s="226"/>
    </row>
    <row r="2255" spans="1:11" ht="12.75" x14ac:dyDescent="0.2">
      <c r="A2255" s="249"/>
      <c r="B2255" s="249"/>
      <c r="C2255" s="284"/>
      <c r="D2255" s="243" t="s">
        <v>33</v>
      </c>
      <c r="E2255" s="281"/>
      <c r="F2255" s="257"/>
      <c r="G2255" s="249"/>
      <c r="H2255" s="265">
        <f>SUM(H2252:H2254)</f>
        <v>1844</v>
      </c>
      <c r="I2255" s="256">
        <f>SUM(I2252:I2254)</f>
        <v>1</v>
      </c>
      <c r="J2255" s="242"/>
      <c r="K2255" s="226"/>
    </row>
    <row r="2256" spans="1:11" ht="12.75" x14ac:dyDescent="0.2">
      <c r="A2256" s="249"/>
      <c r="B2256" s="249"/>
      <c r="C2256" s="284"/>
      <c r="D2256" s="243"/>
      <c r="E2256" s="281"/>
      <c r="F2256" s="257"/>
      <c r="G2256" s="249"/>
      <c r="H2256" s="249"/>
      <c r="I2256" s="262"/>
      <c r="J2256" s="242"/>
      <c r="K2256" s="226"/>
    </row>
    <row r="2257" spans="1:11" ht="12.75" x14ac:dyDescent="0.2">
      <c r="A2257" s="261" t="s">
        <v>21</v>
      </c>
      <c r="B2257" s="261"/>
      <c r="C2257" s="243" t="s">
        <v>291</v>
      </c>
      <c r="D2257" s="58" t="s">
        <v>559</v>
      </c>
      <c r="E2257" s="336">
        <v>39252</v>
      </c>
      <c r="F2257" s="269">
        <v>10146781</v>
      </c>
      <c r="G2257" s="249">
        <v>37919</v>
      </c>
      <c r="H2257" s="242"/>
      <c r="I2257" s="251"/>
      <c r="J2257" s="242"/>
      <c r="K2257" s="226"/>
    </row>
    <row r="2258" spans="1:11" ht="12.75" x14ac:dyDescent="0.2">
      <c r="A2258" s="249"/>
      <c r="B2258" s="249"/>
      <c r="C2258" s="284"/>
      <c r="D2258" s="244" t="s">
        <v>263</v>
      </c>
      <c r="E2258" s="281"/>
      <c r="F2258" s="257"/>
      <c r="G2258" s="249"/>
      <c r="H2258" s="267">
        <v>3850</v>
      </c>
      <c r="I2258" s="251">
        <f>ROUND(H2258/$H$2265,4)</f>
        <v>0.17269999999999999</v>
      </c>
      <c r="J2258" s="266"/>
      <c r="K2258" s="226"/>
    </row>
    <row r="2259" spans="1:11" ht="12.75" x14ac:dyDescent="0.2">
      <c r="A2259" s="249"/>
      <c r="B2259" s="249"/>
      <c r="C2259" s="284"/>
      <c r="D2259" s="244" t="s">
        <v>240</v>
      </c>
      <c r="E2259" s="281"/>
      <c r="F2259" s="257"/>
      <c r="G2259" s="249"/>
      <c r="H2259" s="267">
        <v>2744</v>
      </c>
      <c r="I2259" s="251">
        <f t="shared" ref="I2259:I2264" si="57">ROUND(H2259/$H$2265,4)</f>
        <v>0.1231</v>
      </c>
      <c r="J2259" s="242"/>
      <c r="K2259" s="226"/>
    </row>
    <row r="2260" spans="1:11" ht="12.75" x14ac:dyDescent="0.2">
      <c r="A2260" s="249"/>
      <c r="B2260" s="249"/>
      <c r="C2260" s="284"/>
      <c r="D2260" s="244" t="s">
        <v>286</v>
      </c>
      <c r="E2260" s="281"/>
      <c r="F2260" s="257"/>
      <c r="G2260" s="249"/>
      <c r="H2260" s="267">
        <v>2391</v>
      </c>
      <c r="I2260" s="251">
        <f t="shared" si="57"/>
        <v>0.10730000000000001</v>
      </c>
      <c r="J2260" s="242"/>
      <c r="K2260" s="226"/>
    </row>
    <row r="2261" spans="1:11" ht="12.75" x14ac:dyDescent="0.2">
      <c r="A2261" s="249"/>
      <c r="B2261" s="249"/>
      <c r="C2261" s="284"/>
      <c r="D2261" s="254" t="s">
        <v>525</v>
      </c>
      <c r="E2261" s="281"/>
      <c r="F2261" s="257"/>
      <c r="G2261" s="249"/>
      <c r="H2261" s="267">
        <v>310</v>
      </c>
      <c r="I2261" s="251">
        <f t="shared" si="57"/>
        <v>1.3899999999999999E-2</v>
      </c>
      <c r="J2261" s="242"/>
      <c r="K2261" s="226"/>
    </row>
    <row r="2262" spans="1:11" ht="12.75" x14ac:dyDescent="0.2">
      <c r="A2262" s="249"/>
      <c r="B2262" s="249"/>
      <c r="C2262" s="284"/>
      <c r="D2262" s="244" t="s">
        <v>242</v>
      </c>
      <c r="E2262" s="281"/>
      <c r="F2262" s="257"/>
      <c r="G2262" s="249"/>
      <c r="H2262" s="267">
        <v>9202</v>
      </c>
      <c r="I2262" s="251">
        <f t="shared" si="57"/>
        <v>0.4128</v>
      </c>
      <c r="J2262" s="253" t="s">
        <v>242</v>
      </c>
      <c r="K2262" s="226"/>
    </row>
    <row r="2263" spans="1:11" ht="12.75" x14ac:dyDescent="0.2">
      <c r="A2263" s="249"/>
      <c r="B2263" s="249"/>
      <c r="C2263" s="284"/>
      <c r="D2263" s="254" t="s">
        <v>246</v>
      </c>
      <c r="E2263" s="281"/>
      <c r="F2263" s="257"/>
      <c r="G2263" s="249"/>
      <c r="H2263" s="267">
        <v>396</v>
      </c>
      <c r="I2263" s="251">
        <f t="shared" si="57"/>
        <v>1.78E-2</v>
      </c>
      <c r="J2263" s="252"/>
      <c r="K2263" s="226"/>
    </row>
    <row r="2264" spans="1:11" ht="12.75" x14ac:dyDescent="0.2">
      <c r="A2264" s="249"/>
      <c r="B2264" s="249"/>
      <c r="C2264" s="284"/>
      <c r="D2264" s="244" t="s">
        <v>480</v>
      </c>
      <c r="E2264" s="281"/>
      <c r="F2264" s="257"/>
      <c r="G2264" s="249"/>
      <c r="H2264" s="267">
        <v>3396</v>
      </c>
      <c r="I2264" s="251">
        <f t="shared" si="57"/>
        <v>0.15240000000000001</v>
      </c>
      <c r="J2264" s="242"/>
      <c r="K2264" s="226"/>
    </row>
    <row r="2265" spans="1:11" ht="12.75" x14ac:dyDescent="0.2">
      <c r="A2265" s="249"/>
      <c r="B2265" s="249"/>
      <c r="C2265" s="284"/>
      <c r="D2265" s="243" t="s">
        <v>33</v>
      </c>
      <c r="E2265" s="281"/>
      <c r="F2265" s="257"/>
      <c r="G2265" s="249"/>
      <c r="H2265" s="265">
        <f>SUM(H2258:H2264)</f>
        <v>22289</v>
      </c>
      <c r="I2265" s="298">
        <f>SUM(I2258:I2264)</f>
        <v>1.0000000000000002</v>
      </c>
      <c r="J2265" s="242"/>
      <c r="K2265" s="226"/>
    </row>
    <row r="2266" spans="1:11" ht="12.75" x14ac:dyDescent="0.2">
      <c r="A2266" s="249"/>
      <c r="B2266" s="249"/>
      <c r="C2266" s="284"/>
      <c r="D2266" s="243"/>
      <c r="E2266" s="281"/>
      <c r="F2266" s="257"/>
      <c r="G2266" s="249"/>
      <c r="H2266" s="249"/>
      <c r="I2266" s="262"/>
      <c r="J2266" s="242"/>
      <c r="K2266" s="226"/>
    </row>
    <row r="2267" spans="1:11" ht="12.75" x14ac:dyDescent="0.2">
      <c r="A2267" s="261" t="s">
        <v>21</v>
      </c>
      <c r="B2267" s="261"/>
      <c r="C2267" s="243" t="s">
        <v>291</v>
      </c>
      <c r="D2267" s="58" t="s">
        <v>560</v>
      </c>
      <c r="E2267" s="336">
        <v>39387</v>
      </c>
      <c r="F2267" s="269">
        <v>21194717</v>
      </c>
      <c r="G2267" s="249">
        <v>97969</v>
      </c>
      <c r="H2267" s="242"/>
      <c r="I2267" s="251"/>
      <c r="J2267" s="242"/>
      <c r="K2267" s="226"/>
    </row>
    <row r="2268" spans="1:11" ht="12.75" x14ac:dyDescent="0.2">
      <c r="A2268" s="249"/>
      <c r="B2268" s="249"/>
      <c r="C2268" s="284"/>
      <c r="D2268" s="244" t="s">
        <v>263</v>
      </c>
      <c r="E2268" s="281"/>
      <c r="F2268" s="257"/>
      <c r="G2268" s="249"/>
      <c r="H2268" s="267">
        <v>18963</v>
      </c>
      <c r="I2268" s="251">
        <f t="shared" ref="I2268:I2273" si="58">ROUND(H2268/$H$2274,4)</f>
        <v>0.32950000000000002</v>
      </c>
      <c r="J2268" s="253" t="s">
        <v>263</v>
      </c>
      <c r="K2268" s="226"/>
    </row>
    <row r="2269" spans="1:11" ht="12.75" x14ac:dyDescent="0.2">
      <c r="A2269" s="249"/>
      <c r="B2269" s="249"/>
      <c r="C2269" s="284"/>
      <c r="D2269" s="244" t="s">
        <v>240</v>
      </c>
      <c r="E2269" s="281"/>
      <c r="F2269" s="257"/>
      <c r="G2269" s="249"/>
      <c r="H2269" s="267">
        <v>3065</v>
      </c>
      <c r="I2269" s="251">
        <f t="shared" si="58"/>
        <v>5.33E-2</v>
      </c>
      <c r="J2269" s="242"/>
      <c r="K2269" s="226"/>
    </row>
    <row r="2270" spans="1:11" ht="12.75" x14ac:dyDescent="0.2">
      <c r="A2270" s="249"/>
      <c r="B2270" s="249"/>
      <c r="C2270" s="284"/>
      <c r="D2270" s="244" t="s">
        <v>286</v>
      </c>
      <c r="E2270" s="281"/>
      <c r="F2270" s="257"/>
      <c r="G2270" s="249"/>
      <c r="H2270" s="267">
        <v>493</v>
      </c>
      <c r="I2270" s="251">
        <f t="shared" si="58"/>
        <v>8.6E-3</v>
      </c>
      <c r="J2270" s="242"/>
      <c r="K2270" s="226"/>
    </row>
    <row r="2271" spans="1:11" ht="12.75" x14ac:dyDescent="0.2">
      <c r="A2271" s="249"/>
      <c r="B2271" s="249"/>
      <c r="C2271" s="284"/>
      <c r="D2271" s="254" t="s">
        <v>525</v>
      </c>
      <c r="E2271" s="281"/>
      <c r="F2271" s="257"/>
      <c r="G2271" s="249"/>
      <c r="H2271" s="267">
        <v>669</v>
      </c>
      <c r="I2271" s="251">
        <f t="shared" si="58"/>
        <v>1.1599999999999999E-2</v>
      </c>
      <c r="J2271" s="242"/>
      <c r="K2271" s="226"/>
    </row>
    <row r="2272" spans="1:11" ht="12.75" x14ac:dyDescent="0.2">
      <c r="A2272" s="249"/>
      <c r="B2272" s="249"/>
      <c r="C2272" s="284"/>
      <c r="D2272" s="244" t="s">
        <v>242</v>
      </c>
      <c r="E2272" s="281"/>
      <c r="F2272" s="257"/>
      <c r="G2272" s="249"/>
      <c r="H2272" s="267">
        <v>28686</v>
      </c>
      <c r="I2272" s="251">
        <f t="shared" si="58"/>
        <v>0.4985</v>
      </c>
      <c r="J2272" s="253" t="s">
        <v>242</v>
      </c>
      <c r="K2272" s="226"/>
    </row>
    <row r="2273" spans="1:11" ht="12.75" x14ac:dyDescent="0.2">
      <c r="A2273" s="249"/>
      <c r="B2273" s="249"/>
      <c r="C2273" s="284"/>
      <c r="D2273" s="254" t="s">
        <v>246</v>
      </c>
      <c r="E2273" s="281"/>
      <c r="F2273" s="257"/>
      <c r="G2273" s="249"/>
      <c r="H2273" s="267">
        <v>5669</v>
      </c>
      <c r="I2273" s="251">
        <f t="shared" si="58"/>
        <v>9.8500000000000004E-2</v>
      </c>
      <c r="J2273" s="252"/>
      <c r="K2273" s="226"/>
    </row>
    <row r="2274" spans="1:11" ht="12.75" x14ac:dyDescent="0.2">
      <c r="A2274" s="249"/>
      <c r="B2274" s="249"/>
      <c r="C2274" s="284"/>
      <c r="D2274" s="243" t="s">
        <v>33</v>
      </c>
      <c r="E2274" s="281"/>
      <c r="F2274" s="257"/>
      <c r="G2274" s="249"/>
      <c r="H2274" s="265">
        <f>SUM(H2268:H2273)</f>
        <v>57545</v>
      </c>
      <c r="I2274" s="298">
        <f>SUM(I2268:I2273)</f>
        <v>1</v>
      </c>
      <c r="J2274" s="242"/>
      <c r="K2274" s="226"/>
    </row>
    <row r="2275" spans="1:11" ht="12.75" x14ac:dyDescent="0.2">
      <c r="A2275" s="249"/>
      <c r="B2275" s="249"/>
      <c r="C2275" s="284"/>
      <c r="D2275" s="243"/>
      <c r="E2275" s="281"/>
      <c r="F2275" s="257"/>
      <c r="G2275" s="249"/>
      <c r="H2275" s="249"/>
      <c r="I2275" s="299"/>
      <c r="J2275" s="242"/>
      <c r="K2275" s="226"/>
    </row>
    <row r="2276" spans="1:11" ht="12.75" x14ac:dyDescent="0.2">
      <c r="A2276" s="261" t="s">
        <v>21</v>
      </c>
      <c r="B2276" s="261"/>
      <c r="C2276" s="243" t="s">
        <v>291</v>
      </c>
      <c r="D2276" s="58" t="s">
        <v>593</v>
      </c>
      <c r="E2276" s="336">
        <v>40542</v>
      </c>
      <c r="F2276" s="269">
        <v>33893000</v>
      </c>
      <c r="G2276" s="249">
        <v>121798</v>
      </c>
      <c r="H2276" s="242"/>
      <c r="I2276" s="251"/>
      <c r="J2276" s="242"/>
      <c r="K2276" s="226"/>
    </row>
    <row r="2277" spans="1:11" ht="12.75" x14ac:dyDescent="0.2">
      <c r="A2277" s="249"/>
      <c r="B2277" s="249"/>
      <c r="C2277" s="284"/>
      <c r="D2277" s="244" t="s">
        <v>263</v>
      </c>
      <c r="E2277" s="281"/>
      <c r="F2277" s="257"/>
      <c r="G2277" s="249"/>
      <c r="H2277" s="267">
        <v>7213</v>
      </c>
      <c r="I2277" s="251">
        <f>ROUND(H2277/$H$2282,4)</f>
        <v>0.11</v>
      </c>
      <c r="J2277" s="253"/>
      <c r="K2277" s="226"/>
    </row>
    <row r="2278" spans="1:11" ht="12.75" x14ac:dyDescent="0.2">
      <c r="A2278" s="249"/>
      <c r="B2278" s="249"/>
      <c r="C2278" s="284"/>
      <c r="D2278" s="244" t="s">
        <v>240</v>
      </c>
      <c r="E2278" s="281"/>
      <c r="F2278" s="257"/>
      <c r="G2278" s="249"/>
      <c r="H2278" s="267">
        <v>40233</v>
      </c>
      <c r="I2278" s="251">
        <f>ROUND(H2278/$H$2282,4)</f>
        <v>0.61370000000000002</v>
      </c>
      <c r="J2278" s="253" t="s">
        <v>108</v>
      </c>
      <c r="K2278" s="226"/>
    </row>
    <row r="2279" spans="1:11" ht="12.75" x14ac:dyDescent="0.2">
      <c r="A2279" s="249"/>
      <c r="B2279" s="249"/>
      <c r="C2279" s="284"/>
      <c r="D2279" s="244" t="s">
        <v>594</v>
      </c>
      <c r="E2279" s="281"/>
      <c r="F2279" s="257"/>
      <c r="G2279" s="249"/>
      <c r="H2279" s="267">
        <v>7633</v>
      </c>
      <c r="I2279" s="251">
        <f>ROUND(H2279/$H$2282,4)</f>
        <v>0.1164</v>
      </c>
      <c r="J2279" s="242"/>
      <c r="K2279" s="226"/>
    </row>
    <row r="2280" spans="1:11" ht="12.75" x14ac:dyDescent="0.2">
      <c r="A2280" s="249"/>
      <c r="B2280" s="249"/>
      <c r="C2280" s="284"/>
      <c r="D2280" s="244" t="s">
        <v>242</v>
      </c>
      <c r="E2280" s="281"/>
      <c r="F2280" s="257"/>
      <c r="G2280" s="249"/>
      <c r="H2280" s="267">
        <v>8200</v>
      </c>
      <c r="I2280" s="251">
        <f>ROUND(H2280/$H$2282,4)</f>
        <v>0.12509999999999999</v>
      </c>
      <c r="J2280" s="253"/>
      <c r="K2280" s="226"/>
    </row>
    <row r="2281" spans="1:11" ht="12.75" x14ac:dyDescent="0.2">
      <c r="A2281" s="249"/>
      <c r="B2281" s="249"/>
      <c r="C2281" s="284"/>
      <c r="D2281" s="254" t="s">
        <v>246</v>
      </c>
      <c r="E2281" s="281"/>
      <c r="F2281" s="257"/>
      <c r="G2281" s="249"/>
      <c r="H2281" s="267">
        <v>2281</v>
      </c>
      <c r="I2281" s="251">
        <f>ROUND(H2281/$H$2282,4)</f>
        <v>3.4799999999999998E-2</v>
      </c>
      <c r="J2281" s="252"/>
      <c r="K2281" s="226"/>
    </row>
    <row r="2282" spans="1:11" ht="12.75" x14ac:dyDescent="0.2">
      <c r="A2282" s="249"/>
      <c r="B2282" s="249"/>
      <c r="C2282" s="284"/>
      <c r="D2282" s="243" t="s">
        <v>33</v>
      </c>
      <c r="E2282" s="281"/>
      <c r="F2282" s="257"/>
      <c r="G2282" s="249"/>
      <c r="H2282" s="265">
        <f>SUM(H2277:H2281)</f>
        <v>65560</v>
      </c>
      <c r="I2282" s="298">
        <f>SUM(I2277:I2281)</f>
        <v>1</v>
      </c>
      <c r="J2282" s="242"/>
      <c r="K2282" s="226"/>
    </row>
    <row r="2283" spans="1:11" ht="12.75" x14ac:dyDescent="0.2">
      <c r="A2283" s="249"/>
      <c r="B2283" s="249"/>
      <c r="C2283" s="284"/>
      <c r="D2283" s="243"/>
      <c r="E2283" s="281"/>
      <c r="F2283" s="257"/>
      <c r="G2283" s="249"/>
      <c r="H2283" s="249"/>
      <c r="I2283" s="299"/>
      <c r="J2283" s="242"/>
      <c r="K2283" s="226"/>
    </row>
    <row r="2284" spans="1:11" ht="12.75" x14ac:dyDescent="0.2">
      <c r="A2284" s="261" t="s">
        <v>21</v>
      </c>
      <c r="B2284" s="261"/>
      <c r="C2284" s="243" t="s">
        <v>291</v>
      </c>
      <c r="D2284" s="244" t="s">
        <v>635</v>
      </c>
      <c r="E2284" s="281">
        <v>40544</v>
      </c>
      <c r="F2284" s="257">
        <v>3393262</v>
      </c>
      <c r="G2284" s="249">
        <v>15991</v>
      </c>
      <c r="H2284" s="249"/>
      <c r="I2284" s="299"/>
      <c r="J2284" s="242"/>
      <c r="K2284" s="226"/>
    </row>
    <row r="2285" spans="1:11" ht="12.75" x14ac:dyDescent="0.2">
      <c r="A2285" s="249"/>
      <c r="B2285" s="249"/>
      <c r="C2285" s="284"/>
      <c r="D2285" s="244" t="s">
        <v>594</v>
      </c>
      <c r="E2285" s="281"/>
      <c r="F2285" s="257"/>
      <c r="G2285" s="249"/>
      <c r="H2285" s="249">
        <v>1874</v>
      </c>
      <c r="I2285" s="299">
        <f>H2285/H2288</f>
        <v>0.27783543365455893</v>
      </c>
      <c r="J2285" s="242"/>
      <c r="K2285" s="226"/>
    </row>
    <row r="2286" spans="1:11" ht="12.75" x14ac:dyDescent="0.2">
      <c r="A2286" s="249"/>
      <c r="B2286" s="249"/>
      <c r="C2286" s="284"/>
      <c r="D2286" s="244" t="s">
        <v>286</v>
      </c>
      <c r="E2286" s="281"/>
      <c r="F2286" s="257"/>
      <c r="G2286" s="249"/>
      <c r="H2286" s="249">
        <v>418</v>
      </c>
      <c r="I2286" s="299">
        <f>H2286/H2288</f>
        <v>6.1971830985915494E-2</v>
      </c>
      <c r="J2286" s="242"/>
      <c r="K2286" s="226"/>
    </row>
    <row r="2287" spans="1:11" ht="12.75" x14ac:dyDescent="0.2">
      <c r="A2287" s="249"/>
      <c r="B2287" s="249"/>
      <c r="C2287" s="284"/>
      <c r="D2287" s="244" t="s">
        <v>242</v>
      </c>
      <c r="E2287" s="281"/>
      <c r="F2287" s="257"/>
      <c r="G2287" s="249"/>
      <c r="H2287" s="249">
        <v>4453</v>
      </c>
      <c r="I2287" s="299">
        <f>H2287/H2288</f>
        <v>0.66019273535952561</v>
      </c>
      <c r="J2287" s="253" t="s">
        <v>242</v>
      </c>
      <c r="K2287" s="226"/>
    </row>
    <row r="2288" spans="1:11" ht="12.75" x14ac:dyDescent="0.2">
      <c r="A2288" s="249"/>
      <c r="B2288" s="249"/>
      <c r="C2288" s="284"/>
      <c r="D2288" s="243" t="s">
        <v>33</v>
      </c>
      <c r="E2288" s="281"/>
      <c r="F2288" s="257"/>
      <c r="G2288" s="249"/>
      <c r="H2288" s="265">
        <f>SUM(H2285:H2287)</f>
        <v>6745</v>
      </c>
      <c r="I2288" s="298">
        <f>SUM(I2285:I2287)</f>
        <v>1</v>
      </c>
      <c r="J2288" s="242"/>
      <c r="K2288" s="226"/>
    </row>
    <row r="2289" spans="1:11" ht="12.75" x14ac:dyDescent="0.2">
      <c r="A2289" s="249"/>
      <c r="B2289" s="249"/>
      <c r="C2289" s="284"/>
      <c r="D2289" s="243"/>
      <c r="E2289" s="281"/>
      <c r="F2289" s="257"/>
      <c r="G2289" s="249"/>
      <c r="H2289" s="265"/>
      <c r="I2289" s="298"/>
      <c r="J2289" s="242"/>
      <c r="K2289" s="226"/>
    </row>
    <row r="2290" spans="1:11" ht="12.75" x14ac:dyDescent="0.2">
      <c r="A2290" s="261" t="s">
        <v>21</v>
      </c>
      <c r="B2290" s="261"/>
      <c r="C2290" s="243" t="s">
        <v>291</v>
      </c>
      <c r="D2290" s="244" t="s">
        <v>696</v>
      </c>
      <c r="E2290" s="281">
        <v>43070</v>
      </c>
      <c r="F2290" s="257">
        <v>24605789</v>
      </c>
      <c r="G2290" s="249">
        <v>115400</v>
      </c>
      <c r="H2290" s="249"/>
      <c r="I2290" s="299"/>
      <c r="J2290" s="242"/>
      <c r="K2290" s="226"/>
    </row>
    <row r="2291" spans="1:11" ht="12.75" x14ac:dyDescent="0.2">
      <c r="A2291" s="249"/>
      <c r="B2291" s="249"/>
      <c r="C2291" s="284"/>
      <c r="D2291" s="244" t="s">
        <v>263</v>
      </c>
      <c r="E2291" s="281"/>
      <c r="F2291" s="257"/>
      <c r="G2291" s="249"/>
      <c r="H2291" s="267">
        <v>8747</v>
      </c>
      <c r="I2291" s="251">
        <f>H2291/$H$2296</f>
        <v>0.12903273392438303</v>
      </c>
      <c r="J2291" s="253"/>
      <c r="K2291" s="226"/>
    </row>
    <row r="2292" spans="1:11" ht="12.75" x14ac:dyDescent="0.2">
      <c r="A2292" s="249"/>
      <c r="B2292" s="249"/>
      <c r="C2292" s="284"/>
      <c r="D2292" s="244" t="s">
        <v>240</v>
      </c>
      <c r="E2292" s="281"/>
      <c r="F2292" s="257"/>
      <c r="G2292" s="249"/>
      <c r="H2292" s="267">
        <v>25263</v>
      </c>
      <c r="I2292" s="251">
        <f>H2292/$H$2296</f>
        <v>0.37267108232899143</v>
      </c>
      <c r="J2292" s="253" t="s">
        <v>108</v>
      </c>
      <c r="K2292" s="226"/>
    </row>
    <row r="2293" spans="1:11" ht="12.75" x14ac:dyDescent="0.2">
      <c r="A2293" s="249"/>
      <c r="B2293" s="249"/>
      <c r="C2293" s="284"/>
      <c r="D2293" s="244" t="s">
        <v>594</v>
      </c>
      <c r="E2293" s="281"/>
      <c r="F2293" s="257"/>
      <c r="G2293" s="249"/>
      <c r="H2293" s="267">
        <v>10237</v>
      </c>
      <c r="I2293" s="251">
        <f>H2293/$H$2296</f>
        <v>0.15101270117570698</v>
      </c>
      <c r="J2293" s="242"/>
      <c r="K2293" s="226"/>
    </row>
    <row r="2294" spans="1:11" ht="12.75" x14ac:dyDescent="0.2">
      <c r="A2294" s="249"/>
      <c r="B2294" s="249"/>
      <c r="C2294" s="284"/>
      <c r="D2294" s="244" t="s">
        <v>242</v>
      </c>
      <c r="E2294" s="281"/>
      <c r="F2294" s="257"/>
      <c r="G2294" s="249"/>
      <c r="H2294" s="267">
        <v>22072</v>
      </c>
      <c r="I2294" s="251">
        <f>H2294/$H$2296</f>
        <v>0.32559854843706204</v>
      </c>
      <c r="J2294" s="253" t="s">
        <v>63</v>
      </c>
      <c r="K2294" s="226"/>
    </row>
    <row r="2295" spans="1:11" ht="12.75" x14ac:dyDescent="0.2">
      <c r="A2295" s="249"/>
      <c r="B2295" s="249"/>
      <c r="C2295" s="284"/>
      <c r="D2295" s="244" t="s">
        <v>286</v>
      </c>
      <c r="E2295" s="281"/>
      <c r="F2295" s="257"/>
      <c r="G2295" s="249"/>
      <c r="H2295" s="249">
        <v>1470</v>
      </c>
      <c r="I2295" s="299">
        <f>H2295/H2296</f>
        <v>2.1684934133856526E-2</v>
      </c>
      <c r="J2295" s="242"/>
      <c r="K2295" s="226"/>
    </row>
    <row r="2296" spans="1:11" ht="12.75" x14ac:dyDescent="0.2">
      <c r="A2296" s="249"/>
      <c r="B2296" s="249"/>
      <c r="C2296" s="284"/>
      <c r="D2296" s="243" t="s">
        <v>33</v>
      </c>
      <c r="E2296" s="281"/>
      <c r="F2296" s="257"/>
      <c r="G2296" s="249"/>
      <c r="H2296" s="265">
        <f>SUM(H2291:H2295)</f>
        <v>67789</v>
      </c>
      <c r="I2296" s="298">
        <f>SUM(I2291:I2295)</f>
        <v>1</v>
      </c>
      <c r="J2296" s="242"/>
      <c r="K2296" s="226"/>
    </row>
    <row r="2297" spans="1:11" ht="12.75" x14ac:dyDescent="0.2">
      <c r="A2297" s="249"/>
      <c r="B2297" s="249"/>
      <c r="C2297" s="284"/>
      <c r="D2297" s="243"/>
      <c r="E2297" s="281"/>
      <c r="F2297" s="257"/>
      <c r="G2297" s="249"/>
      <c r="H2297" s="249"/>
      <c r="I2297" s="262"/>
      <c r="J2297" s="242"/>
      <c r="K2297" s="226"/>
    </row>
    <row r="2298" spans="1:11" ht="12.75" x14ac:dyDescent="0.2">
      <c r="A2298" s="261" t="s">
        <v>128</v>
      </c>
      <c r="B2298" s="264">
        <v>1008</v>
      </c>
      <c r="C2298" s="243" t="s">
        <v>291</v>
      </c>
      <c r="D2298" s="249" t="s">
        <v>129</v>
      </c>
      <c r="E2298" s="336">
        <v>36039</v>
      </c>
      <c r="F2298" s="257">
        <v>5788303</v>
      </c>
      <c r="G2298" s="249">
        <v>46348</v>
      </c>
      <c r="H2298" s="242"/>
      <c r="I2298" s="251"/>
      <c r="J2298" s="242"/>
      <c r="K2298" s="226"/>
    </row>
    <row r="2299" spans="1:11" ht="12.75" x14ac:dyDescent="0.2">
      <c r="A2299" s="249"/>
      <c r="B2299" s="249"/>
      <c r="C2299" s="284"/>
      <c r="D2299" s="244" t="s">
        <v>290</v>
      </c>
      <c r="E2299" s="281"/>
      <c r="F2299" s="257"/>
      <c r="G2299" s="249"/>
      <c r="H2299" s="242">
        <v>14163</v>
      </c>
      <c r="I2299" s="251">
        <f>H2299/H2301</f>
        <v>0.40199250681198911</v>
      </c>
      <c r="J2299" s="252" t="s">
        <v>290</v>
      </c>
      <c r="K2299" s="226"/>
    </row>
    <row r="2300" spans="1:11" ht="12.75" x14ac:dyDescent="0.2">
      <c r="A2300" s="249"/>
      <c r="B2300" s="249"/>
      <c r="C2300" s="284"/>
      <c r="D2300" s="244" t="s">
        <v>294</v>
      </c>
      <c r="E2300" s="281"/>
      <c r="F2300" s="257"/>
      <c r="G2300" s="249"/>
      <c r="H2300" s="242">
        <v>21069</v>
      </c>
      <c r="I2300" s="251">
        <f>H2300/H2301</f>
        <v>0.59800749318801094</v>
      </c>
      <c r="J2300" s="252" t="s">
        <v>294</v>
      </c>
      <c r="K2300" s="226"/>
    </row>
    <row r="2301" spans="1:11" ht="12.75" x14ac:dyDescent="0.2">
      <c r="A2301" s="249"/>
      <c r="B2301" s="249"/>
      <c r="C2301" s="284"/>
      <c r="D2301" s="243" t="s">
        <v>33</v>
      </c>
      <c r="E2301" s="281"/>
      <c r="F2301" s="257"/>
      <c r="G2301" s="249"/>
      <c r="H2301" s="265">
        <f>SUM(H2299:H2300)</f>
        <v>35232</v>
      </c>
      <c r="I2301" s="256">
        <f>SUM(I2299:I2300)</f>
        <v>1</v>
      </c>
      <c r="J2301" s="242"/>
      <c r="K2301" s="226"/>
    </row>
    <row r="2302" spans="1:11" ht="12.75" x14ac:dyDescent="0.2">
      <c r="A2302" s="249"/>
      <c r="B2302" s="249"/>
      <c r="C2302" s="284"/>
      <c r="D2302" s="243"/>
      <c r="E2302" s="281"/>
      <c r="F2302" s="257"/>
      <c r="G2302" s="249"/>
      <c r="H2302" s="249"/>
      <c r="I2302" s="262"/>
      <c r="J2302" s="242"/>
      <c r="K2302" s="226"/>
    </row>
    <row r="2303" spans="1:11" ht="12.75" x14ac:dyDescent="0.2">
      <c r="A2303" s="261" t="s">
        <v>128</v>
      </c>
      <c r="B2303" s="264">
        <v>1009</v>
      </c>
      <c r="C2303" s="243" t="s">
        <v>291</v>
      </c>
      <c r="D2303" s="249" t="s">
        <v>420</v>
      </c>
      <c r="E2303" s="336">
        <v>36130</v>
      </c>
      <c r="F2303" s="257">
        <v>6390000</v>
      </c>
      <c r="G2303" s="249">
        <v>53476</v>
      </c>
      <c r="H2303" s="242"/>
      <c r="I2303" s="251"/>
      <c r="J2303" s="242"/>
      <c r="K2303" s="226"/>
    </row>
    <row r="2304" spans="1:11" ht="12.75" x14ac:dyDescent="0.2">
      <c r="A2304" s="249"/>
      <c r="B2304" s="249"/>
      <c r="C2304" s="284"/>
      <c r="D2304" s="244" t="s">
        <v>263</v>
      </c>
      <c r="E2304" s="281"/>
      <c r="F2304" s="257"/>
      <c r="G2304" s="249"/>
      <c r="H2304" s="242">
        <v>10300</v>
      </c>
      <c r="I2304" s="251">
        <f>H2304/H2307</f>
        <v>0.31419681532548349</v>
      </c>
      <c r="J2304" s="252" t="s">
        <v>263</v>
      </c>
      <c r="K2304" s="226"/>
    </row>
    <row r="2305" spans="1:11" ht="12.75" x14ac:dyDescent="0.2">
      <c r="A2305" s="249"/>
      <c r="B2305" s="249"/>
      <c r="C2305" s="284"/>
      <c r="D2305" s="244" t="s">
        <v>240</v>
      </c>
      <c r="E2305" s="281"/>
      <c r="F2305" s="257"/>
      <c r="G2305" s="249"/>
      <c r="H2305" s="242">
        <v>10888</v>
      </c>
      <c r="I2305" s="251">
        <f>H2305/H2307</f>
        <v>0.33213348788969554</v>
      </c>
      <c r="J2305" s="252" t="s">
        <v>292</v>
      </c>
      <c r="K2305" s="226"/>
    </row>
    <row r="2306" spans="1:11" ht="12.75" x14ac:dyDescent="0.2">
      <c r="A2306" s="249"/>
      <c r="B2306" s="249"/>
      <c r="C2306" s="284"/>
      <c r="D2306" s="244" t="s">
        <v>290</v>
      </c>
      <c r="E2306" s="281"/>
      <c r="F2306" s="257"/>
      <c r="G2306" s="249"/>
      <c r="H2306" s="242">
        <v>11594</v>
      </c>
      <c r="I2306" s="251">
        <f>H2306/H2307</f>
        <v>0.35366969678482096</v>
      </c>
      <c r="J2306" s="252" t="s">
        <v>421</v>
      </c>
      <c r="K2306" s="226"/>
    </row>
    <row r="2307" spans="1:11" ht="12.75" x14ac:dyDescent="0.2">
      <c r="A2307" s="249"/>
      <c r="B2307" s="249"/>
      <c r="C2307" s="284"/>
      <c r="D2307" s="243" t="s">
        <v>33</v>
      </c>
      <c r="E2307" s="281"/>
      <c r="F2307" s="257"/>
      <c r="G2307" s="249"/>
      <c r="H2307" s="265">
        <f>SUM(H2304:H2306)</f>
        <v>32782</v>
      </c>
      <c r="I2307" s="256">
        <f>SUM(I2304:I2306)</f>
        <v>1</v>
      </c>
      <c r="J2307" s="242"/>
      <c r="K2307" s="226"/>
    </row>
    <row r="2308" spans="1:11" ht="12.75" x14ac:dyDescent="0.2">
      <c r="A2308" s="249"/>
      <c r="B2308" s="249"/>
      <c r="C2308" s="284"/>
      <c r="D2308" s="243"/>
      <c r="E2308" s="281"/>
      <c r="F2308" s="257"/>
      <c r="G2308" s="249"/>
      <c r="H2308" s="249"/>
      <c r="I2308" s="262"/>
      <c r="J2308" s="242"/>
      <c r="K2308" s="226"/>
    </row>
    <row r="2309" spans="1:11" ht="12.75" x14ac:dyDescent="0.2">
      <c r="A2309" s="261" t="s">
        <v>128</v>
      </c>
      <c r="B2309" s="337">
        <v>1015</v>
      </c>
      <c r="C2309" s="243" t="s">
        <v>291</v>
      </c>
      <c r="D2309" s="249" t="s">
        <v>436</v>
      </c>
      <c r="E2309" s="336">
        <v>36557</v>
      </c>
      <c r="F2309" s="257">
        <v>8148587</v>
      </c>
      <c r="G2309" s="249">
        <v>56895</v>
      </c>
      <c r="H2309" s="242"/>
      <c r="I2309" s="251"/>
      <c r="J2309" s="242"/>
      <c r="K2309" s="226"/>
    </row>
    <row r="2310" spans="1:11" ht="12.75" x14ac:dyDescent="0.2">
      <c r="A2310" s="249"/>
      <c r="B2310" s="249"/>
      <c r="C2310" s="284"/>
      <c r="D2310" s="244" t="s">
        <v>263</v>
      </c>
      <c r="E2310" s="281"/>
      <c r="F2310" s="257"/>
      <c r="G2310" s="249"/>
      <c r="H2310" s="242">
        <v>3000</v>
      </c>
      <c r="I2310" s="251">
        <f>(H2310/H2315)</f>
        <v>7.9093066174532031E-2</v>
      </c>
      <c r="J2310" s="242"/>
      <c r="K2310" s="226"/>
    </row>
    <row r="2311" spans="1:11" ht="12.75" x14ac:dyDescent="0.2">
      <c r="A2311" s="249"/>
      <c r="B2311" s="249"/>
      <c r="C2311" s="284"/>
      <c r="D2311" s="244" t="s">
        <v>240</v>
      </c>
      <c r="E2311" s="281"/>
      <c r="F2311" s="257"/>
      <c r="G2311" s="249"/>
      <c r="H2311" s="242">
        <v>13990</v>
      </c>
      <c r="I2311" s="251">
        <f>(H2311/H2315)</f>
        <v>0.36883733192723439</v>
      </c>
      <c r="J2311" s="252" t="s">
        <v>292</v>
      </c>
      <c r="K2311" s="226"/>
    </row>
    <row r="2312" spans="1:11" ht="12.75" x14ac:dyDescent="0.2">
      <c r="A2312" s="249"/>
      <c r="B2312" s="249"/>
      <c r="C2312" s="284"/>
      <c r="D2312" s="244" t="s">
        <v>293</v>
      </c>
      <c r="E2312" s="281"/>
      <c r="F2312" s="257"/>
      <c r="G2312" s="249"/>
      <c r="H2312" s="242">
        <v>7100</v>
      </c>
      <c r="I2312" s="251">
        <f>(H2312/H2315)</f>
        <v>0.1871869232797258</v>
      </c>
      <c r="J2312" s="242"/>
      <c r="K2312" s="226"/>
    </row>
    <row r="2313" spans="1:11" ht="12.75" x14ac:dyDescent="0.2">
      <c r="A2313" s="249"/>
      <c r="B2313" s="249"/>
      <c r="C2313" s="284"/>
      <c r="D2313" s="244" t="s">
        <v>295</v>
      </c>
      <c r="E2313" s="281"/>
      <c r="F2313" s="257"/>
      <c r="G2313" s="249"/>
      <c r="H2313" s="242">
        <v>3300</v>
      </c>
      <c r="I2313" s="251">
        <f>(H2313/H2315)</f>
        <v>8.7002372791985236E-2</v>
      </c>
      <c r="J2313" s="253"/>
      <c r="K2313" s="226"/>
    </row>
    <row r="2314" spans="1:11" ht="12.75" x14ac:dyDescent="0.2">
      <c r="A2314" s="249"/>
      <c r="B2314" s="249"/>
      <c r="C2314" s="284"/>
      <c r="D2314" s="244" t="s">
        <v>242</v>
      </c>
      <c r="E2314" s="281"/>
      <c r="F2314" s="257"/>
      <c r="G2314" s="249"/>
      <c r="H2314" s="242">
        <v>10540</v>
      </c>
      <c r="I2314" s="251">
        <f>(H2314/H2315)</f>
        <v>0.27788030582652257</v>
      </c>
      <c r="J2314" s="252"/>
      <c r="K2314" s="226"/>
    </row>
    <row r="2315" spans="1:11" ht="12.75" x14ac:dyDescent="0.2">
      <c r="A2315" s="249"/>
      <c r="B2315" s="249"/>
      <c r="C2315" s="284"/>
      <c r="D2315" s="243" t="s">
        <v>33</v>
      </c>
      <c r="E2315" s="281"/>
      <c r="F2315" s="257"/>
      <c r="G2315" s="249"/>
      <c r="H2315" s="265">
        <f>SUM(H2310:H2314)</f>
        <v>37930</v>
      </c>
      <c r="I2315" s="256">
        <f>SUM(I2310:I2314)</f>
        <v>1</v>
      </c>
      <c r="J2315" s="242"/>
      <c r="K2315" s="226"/>
    </row>
    <row r="2316" spans="1:11" ht="12.75" x14ac:dyDescent="0.2">
      <c r="A2316" s="249"/>
      <c r="B2316" s="249"/>
      <c r="C2316" s="284"/>
      <c r="D2316" s="249"/>
      <c r="E2316" s="281"/>
      <c r="F2316" s="257"/>
      <c r="G2316" s="249"/>
      <c r="H2316" s="242"/>
      <c r="I2316" s="251"/>
      <c r="J2316" s="242"/>
      <c r="K2316" s="226"/>
    </row>
    <row r="2317" spans="1:11" ht="12.75" x14ac:dyDescent="0.2">
      <c r="A2317" s="261" t="s">
        <v>128</v>
      </c>
      <c r="B2317" s="264">
        <v>1021</v>
      </c>
      <c r="C2317" s="243" t="s">
        <v>291</v>
      </c>
      <c r="D2317" s="249" t="s">
        <v>452</v>
      </c>
      <c r="E2317" s="336">
        <v>37136</v>
      </c>
      <c r="F2317" s="257">
        <v>11405229</v>
      </c>
      <c r="G2317" s="249">
        <v>77615</v>
      </c>
      <c r="H2317" s="242"/>
      <c r="I2317" s="251"/>
      <c r="J2317" s="242"/>
      <c r="K2317" s="226"/>
    </row>
    <row r="2318" spans="1:11" ht="12.75" x14ac:dyDescent="0.2">
      <c r="A2318" s="249"/>
      <c r="B2318" s="249"/>
      <c r="C2318" s="284"/>
      <c r="D2318" s="244" t="s">
        <v>263</v>
      </c>
      <c r="E2318" s="281"/>
      <c r="F2318" s="257"/>
      <c r="G2318" s="249"/>
      <c r="H2318" s="242">
        <v>5307</v>
      </c>
      <c r="I2318" s="251">
        <f>H2318/H2321</f>
        <v>9.8865478119935166E-2</v>
      </c>
      <c r="J2318" s="252"/>
      <c r="K2318" s="226"/>
    </row>
    <row r="2319" spans="1:11" ht="12.75" x14ac:dyDescent="0.2">
      <c r="A2319" s="249"/>
      <c r="B2319" s="249"/>
      <c r="C2319" s="284"/>
      <c r="D2319" s="244" t="s">
        <v>316</v>
      </c>
      <c r="E2319" s="281"/>
      <c r="F2319" s="257"/>
      <c r="G2319" s="249"/>
      <c r="H2319" s="242">
        <v>46946</v>
      </c>
      <c r="I2319" s="251">
        <f>H2319/H2321</f>
        <v>0.87456919838298031</v>
      </c>
      <c r="J2319" s="252" t="s">
        <v>316</v>
      </c>
      <c r="K2319" s="226"/>
    </row>
    <row r="2320" spans="1:11" ht="12.75" x14ac:dyDescent="0.2">
      <c r="A2320" s="249"/>
      <c r="B2320" s="249"/>
      <c r="C2320" s="284"/>
      <c r="D2320" s="244" t="s">
        <v>290</v>
      </c>
      <c r="E2320" s="281"/>
      <c r="F2320" s="257"/>
      <c r="G2320" s="249"/>
      <c r="H2320" s="242">
        <v>1426</v>
      </c>
      <c r="I2320" s="251">
        <f>H2320/H2321</f>
        <v>2.6565323497084521E-2</v>
      </c>
      <c r="J2320" s="252"/>
      <c r="K2320" s="226"/>
    </row>
    <row r="2321" spans="1:11" ht="12.75" x14ac:dyDescent="0.2">
      <c r="A2321" s="249"/>
      <c r="B2321" s="249"/>
      <c r="C2321" s="284"/>
      <c r="D2321" s="243" t="s">
        <v>33</v>
      </c>
      <c r="E2321" s="281"/>
      <c r="F2321" s="257"/>
      <c r="G2321" s="249"/>
      <c r="H2321" s="265">
        <f>SUM(H2318:H2320)</f>
        <v>53679</v>
      </c>
      <c r="I2321" s="256">
        <f>SUM(I2318:I2320)</f>
        <v>1</v>
      </c>
      <c r="J2321" s="242"/>
      <c r="K2321" s="226"/>
    </row>
    <row r="2322" spans="1:11" ht="12.75" x14ac:dyDescent="0.2">
      <c r="A2322" s="249"/>
      <c r="B2322" s="249"/>
      <c r="C2322" s="284"/>
      <c r="D2322" s="249"/>
      <c r="E2322" s="281"/>
      <c r="F2322" s="257"/>
      <c r="G2322" s="249"/>
      <c r="H2322" s="242"/>
      <c r="I2322" s="251"/>
      <c r="J2322" s="242"/>
      <c r="K2322" s="226"/>
    </row>
    <row r="2323" spans="1:11" ht="12.75" x14ac:dyDescent="0.2">
      <c r="A2323" s="261" t="s">
        <v>128</v>
      </c>
      <c r="B2323" s="264">
        <v>1011</v>
      </c>
      <c r="C2323" s="243" t="s">
        <v>291</v>
      </c>
      <c r="D2323" s="249" t="s">
        <v>453</v>
      </c>
      <c r="E2323" s="336">
        <v>37135</v>
      </c>
      <c r="F2323" s="257">
        <v>5623040</v>
      </c>
      <c r="G2323" s="249">
        <v>33000</v>
      </c>
      <c r="H2323" s="242"/>
      <c r="I2323" s="251"/>
      <c r="J2323" s="242"/>
      <c r="K2323" s="226"/>
    </row>
    <row r="2324" spans="1:11" ht="12.75" x14ac:dyDescent="0.2">
      <c r="A2324" s="249"/>
      <c r="B2324" s="249"/>
      <c r="C2324" s="284"/>
      <c r="D2324" s="244" t="s">
        <v>240</v>
      </c>
      <c r="E2324" s="281"/>
      <c r="F2324" s="257"/>
      <c r="G2324" s="249"/>
      <c r="H2324" s="242">
        <v>16000</v>
      </c>
      <c r="I2324" s="251">
        <f>H2324/H2327</f>
        <v>0.72727272727272729</v>
      </c>
      <c r="J2324" s="252" t="s">
        <v>292</v>
      </c>
      <c r="K2324" s="226"/>
    </row>
    <row r="2325" spans="1:11" ht="12.75" x14ac:dyDescent="0.2">
      <c r="A2325" s="249"/>
      <c r="B2325" s="249"/>
      <c r="C2325" s="284"/>
      <c r="D2325" s="244" t="s">
        <v>264</v>
      </c>
      <c r="E2325" s="281"/>
      <c r="F2325" s="257"/>
      <c r="G2325" s="249"/>
      <c r="H2325" s="242">
        <v>3000</v>
      </c>
      <c r="I2325" s="251">
        <f>H2325/H2327</f>
        <v>0.13636363636363635</v>
      </c>
      <c r="J2325" s="252"/>
      <c r="K2325" s="226"/>
    </row>
    <row r="2326" spans="1:11" ht="12.75" x14ac:dyDescent="0.2">
      <c r="A2326" s="249"/>
      <c r="B2326" s="249"/>
      <c r="C2326" s="284"/>
      <c r="D2326" s="244" t="s">
        <v>290</v>
      </c>
      <c r="E2326" s="281"/>
      <c r="F2326" s="257"/>
      <c r="G2326" s="249"/>
      <c r="H2326" s="242">
        <v>3000</v>
      </c>
      <c r="I2326" s="251">
        <f>H2326/H2327</f>
        <v>0.13636363636363635</v>
      </c>
      <c r="J2326" s="252"/>
      <c r="K2326" s="226"/>
    </row>
    <row r="2327" spans="1:11" ht="12.75" x14ac:dyDescent="0.2">
      <c r="A2327" s="249"/>
      <c r="B2327" s="249"/>
      <c r="C2327" s="284"/>
      <c r="D2327" s="243" t="s">
        <v>33</v>
      </c>
      <c r="E2327" s="281"/>
      <c r="F2327" s="257"/>
      <c r="G2327" s="249"/>
      <c r="H2327" s="265">
        <f>SUM(H2324:H2326)</f>
        <v>22000</v>
      </c>
      <c r="I2327" s="256">
        <f>SUM(I2324:I2326)</f>
        <v>1</v>
      </c>
      <c r="J2327" s="242"/>
      <c r="K2327" s="226"/>
    </row>
    <row r="2328" spans="1:11" ht="12.75" x14ac:dyDescent="0.2">
      <c r="A2328" s="249"/>
      <c r="B2328" s="249"/>
      <c r="C2328" s="284"/>
      <c r="D2328" s="249"/>
      <c r="E2328" s="281"/>
      <c r="F2328" s="257"/>
      <c r="G2328" s="249"/>
      <c r="H2328" s="242"/>
      <c r="I2328" s="251"/>
      <c r="J2328" s="242"/>
      <c r="K2328" s="226"/>
    </row>
    <row r="2329" spans="1:11" ht="12.75" x14ac:dyDescent="0.2">
      <c r="A2329" s="261" t="s">
        <v>128</v>
      </c>
      <c r="B2329" s="264">
        <v>1020</v>
      </c>
      <c r="C2329" s="243" t="s">
        <v>291</v>
      </c>
      <c r="D2329" s="249" t="s">
        <v>470</v>
      </c>
      <c r="E2329" s="281">
        <v>37288</v>
      </c>
      <c r="F2329" s="257">
        <v>7048127</v>
      </c>
      <c r="G2329" s="249">
        <v>52261</v>
      </c>
      <c r="H2329" s="242"/>
      <c r="I2329" s="251"/>
      <c r="J2329" s="242"/>
      <c r="K2329" s="226"/>
    </row>
    <row r="2330" spans="1:11" ht="12.75" x14ac:dyDescent="0.2">
      <c r="A2330" s="249"/>
      <c r="B2330" s="249"/>
      <c r="C2330" s="284"/>
      <c r="D2330" s="244" t="s">
        <v>290</v>
      </c>
      <c r="E2330" s="281"/>
      <c r="F2330" s="257"/>
      <c r="G2330" s="249"/>
      <c r="H2330" s="242">
        <v>6000</v>
      </c>
      <c r="I2330" s="251">
        <f>H2330/$H$2332</f>
        <v>0.16666666666666666</v>
      </c>
      <c r="J2330" s="252"/>
      <c r="K2330" s="226"/>
    </row>
    <row r="2331" spans="1:11" ht="12.75" x14ac:dyDescent="0.2">
      <c r="A2331" s="249"/>
      <c r="B2331" s="249"/>
      <c r="C2331" s="284"/>
      <c r="D2331" s="244" t="s">
        <v>287</v>
      </c>
      <c r="E2331" s="281"/>
      <c r="F2331" s="257"/>
      <c r="G2331" s="249"/>
      <c r="H2331" s="249">
        <v>30000</v>
      </c>
      <c r="I2331" s="262">
        <f>H2331/$H$2332</f>
        <v>0.83333333333333337</v>
      </c>
      <c r="J2331" s="266" t="s">
        <v>287</v>
      </c>
      <c r="K2331" s="226"/>
    </row>
    <row r="2332" spans="1:11" ht="12.75" x14ac:dyDescent="0.2">
      <c r="A2332" s="249"/>
      <c r="B2332" s="249"/>
      <c r="C2332" s="284"/>
      <c r="D2332" s="243" t="s">
        <v>33</v>
      </c>
      <c r="E2332" s="281"/>
      <c r="F2332" s="257"/>
      <c r="G2332" s="249"/>
      <c r="H2332" s="265">
        <f>SUM(H2330:H2331)</f>
        <v>36000</v>
      </c>
      <c r="I2332" s="256">
        <f>SUM(I2330:I2331)</f>
        <v>1</v>
      </c>
      <c r="J2332" s="249"/>
      <c r="K2332" s="226"/>
    </row>
    <row r="2333" spans="1:11" ht="12.75" x14ac:dyDescent="0.2">
      <c r="A2333" s="249"/>
      <c r="B2333" s="249"/>
      <c r="C2333" s="284"/>
      <c r="D2333" s="243"/>
      <c r="E2333" s="281"/>
      <c r="F2333" s="257"/>
      <c r="G2333" s="249"/>
      <c r="H2333" s="249"/>
      <c r="I2333" s="262"/>
      <c r="J2333" s="249"/>
      <c r="K2333" s="226"/>
    </row>
    <row r="2334" spans="1:11" ht="12.75" x14ac:dyDescent="0.2">
      <c r="A2334" s="261" t="s">
        <v>128</v>
      </c>
      <c r="B2334" s="264">
        <v>1029</v>
      </c>
      <c r="C2334" s="243" t="s">
        <v>291</v>
      </c>
      <c r="D2334" s="249" t="s">
        <v>477</v>
      </c>
      <c r="E2334" s="336">
        <v>37841</v>
      </c>
      <c r="F2334" s="257">
        <v>1383789</v>
      </c>
      <c r="G2334" s="249">
        <v>6500</v>
      </c>
      <c r="H2334" s="242"/>
      <c r="I2334" s="251"/>
      <c r="J2334" s="242"/>
      <c r="K2334" s="226"/>
    </row>
    <row r="2335" spans="1:11" ht="12.75" x14ac:dyDescent="0.2">
      <c r="A2335" s="249"/>
      <c r="B2335" s="249"/>
      <c r="C2335" s="284"/>
      <c r="D2335" s="244" t="s">
        <v>264</v>
      </c>
      <c r="E2335" s="281"/>
      <c r="F2335" s="257"/>
      <c r="G2335" s="249"/>
      <c r="H2335" s="242">
        <v>3030</v>
      </c>
      <c r="I2335" s="251">
        <f>H2335/H2337</f>
        <v>0.6499356499356499</v>
      </c>
      <c r="J2335" s="252" t="s">
        <v>264</v>
      </c>
      <c r="K2335" s="226"/>
    </row>
    <row r="2336" spans="1:11" ht="12.75" x14ac:dyDescent="0.2">
      <c r="A2336" s="249"/>
      <c r="B2336" s="249"/>
      <c r="C2336" s="284"/>
      <c r="D2336" s="244" t="s">
        <v>290</v>
      </c>
      <c r="E2336" s="281"/>
      <c r="F2336" s="257"/>
      <c r="G2336" s="249"/>
      <c r="H2336" s="242">
        <v>1632</v>
      </c>
      <c r="I2336" s="251">
        <f>H2336/H2337</f>
        <v>0.35006435006435005</v>
      </c>
      <c r="J2336" s="252"/>
      <c r="K2336" s="226"/>
    </row>
    <row r="2337" spans="1:11" ht="12.75" x14ac:dyDescent="0.2">
      <c r="A2337" s="249"/>
      <c r="B2337" s="249"/>
      <c r="C2337" s="284"/>
      <c r="D2337" s="243" t="s">
        <v>33</v>
      </c>
      <c r="E2337" s="281"/>
      <c r="F2337" s="257"/>
      <c r="G2337" s="249"/>
      <c r="H2337" s="265">
        <f>SUM(H2335:H2336)</f>
        <v>4662</v>
      </c>
      <c r="I2337" s="256">
        <f>SUM(I2335:I2336)</f>
        <v>1</v>
      </c>
      <c r="J2337" s="242"/>
      <c r="K2337" s="226"/>
    </row>
    <row r="2338" spans="1:11" ht="12.75" x14ac:dyDescent="0.2">
      <c r="A2338" s="249"/>
      <c r="B2338" s="249"/>
      <c r="C2338" s="284"/>
      <c r="D2338" s="249"/>
      <c r="E2338" s="281"/>
      <c r="F2338" s="249"/>
      <c r="G2338" s="249"/>
      <c r="H2338" s="242"/>
      <c r="I2338" s="251"/>
      <c r="J2338" s="242"/>
      <c r="K2338" s="226"/>
    </row>
    <row r="2339" spans="1:11" ht="12.75" x14ac:dyDescent="0.2">
      <c r="A2339" s="261" t="s">
        <v>128</v>
      </c>
      <c r="B2339" s="264">
        <v>1033</v>
      </c>
      <c r="C2339" s="243" t="s">
        <v>508</v>
      </c>
      <c r="D2339" s="249" t="s">
        <v>509</v>
      </c>
      <c r="E2339" s="336">
        <v>38049</v>
      </c>
      <c r="F2339" s="257">
        <v>1611674</v>
      </c>
      <c r="G2339" s="249">
        <v>8072</v>
      </c>
      <c r="H2339" s="242"/>
      <c r="I2339" s="251"/>
      <c r="J2339" s="242"/>
      <c r="K2339" s="226"/>
    </row>
    <row r="2340" spans="1:11" ht="12.75" x14ac:dyDescent="0.2">
      <c r="A2340" s="249"/>
      <c r="B2340" s="249"/>
      <c r="C2340" s="284"/>
      <c r="D2340" s="244" t="s">
        <v>263</v>
      </c>
      <c r="E2340" s="281"/>
      <c r="F2340" s="257"/>
      <c r="G2340" s="249"/>
      <c r="H2340" s="242">
        <v>3342</v>
      </c>
      <c r="I2340" s="251">
        <f>H2340/H$2349</f>
        <v>0.11989667790772764</v>
      </c>
      <c r="J2340" s="252" t="s">
        <v>263</v>
      </c>
      <c r="K2340" s="226"/>
    </row>
    <row r="2341" spans="1:11" ht="12.75" x14ac:dyDescent="0.2">
      <c r="A2341" s="249"/>
      <c r="B2341" s="249"/>
      <c r="C2341" s="284"/>
      <c r="D2341" s="244" t="s">
        <v>264</v>
      </c>
      <c r="E2341" s="281"/>
      <c r="F2341" s="257"/>
      <c r="G2341" s="249"/>
      <c r="H2341" s="242">
        <v>1394</v>
      </c>
      <c r="I2341" s="251">
        <f>H2341/H$2349</f>
        <v>5.0010762717945037E-2</v>
      </c>
      <c r="J2341" s="252"/>
      <c r="K2341" s="226"/>
    </row>
    <row r="2342" spans="1:11" ht="12.75" x14ac:dyDescent="0.2">
      <c r="A2342" s="249"/>
      <c r="B2342" s="249"/>
      <c r="C2342" s="284"/>
      <c r="D2342" s="244" t="s">
        <v>290</v>
      </c>
      <c r="E2342" s="281"/>
      <c r="F2342" s="257"/>
      <c r="G2342" s="249"/>
      <c r="H2342" s="242">
        <v>922</v>
      </c>
      <c r="I2342" s="251">
        <f>H2342/H$2349</f>
        <v>3.3077419817751308E-2</v>
      </c>
      <c r="J2342" s="252"/>
      <c r="K2342" s="226"/>
    </row>
    <row r="2343" spans="1:11" ht="12.75" x14ac:dyDescent="0.2">
      <c r="A2343" s="249"/>
      <c r="B2343" s="249"/>
      <c r="C2343" s="284"/>
      <c r="D2343" s="243" t="s">
        <v>33</v>
      </c>
      <c r="E2343" s="281"/>
      <c r="F2343" s="257"/>
      <c r="G2343" s="249"/>
      <c r="H2343" s="265">
        <f>SUM(H2340:H2342)</f>
        <v>5658</v>
      </c>
      <c r="I2343" s="256">
        <f>SUM(I2340:I2342)</f>
        <v>0.20298486044342398</v>
      </c>
      <c r="J2343" s="242"/>
      <c r="K2343" s="226"/>
    </row>
    <row r="2344" spans="1:11" ht="12.75" x14ac:dyDescent="0.2">
      <c r="A2344" s="249"/>
      <c r="B2344" s="249"/>
      <c r="C2344" s="284"/>
      <c r="D2344" s="249"/>
      <c r="E2344" s="281"/>
      <c r="F2344" s="249"/>
      <c r="G2344" s="249"/>
      <c r="H2344" s="242"/>
      <c r="I2344" s="251"/>
      <c r="J2344" s="242"/>
      <c r="K2344" s="226"/>
    </row>
    <row r="2345" spans="1:11" ht="12.75" x14ac:dyDescent="0.2">
      <c r="A2345" s="261" t="s">
        <v>128</v>
      </c>
      <c r="B2345" s="264">
        <v>1024</v>
      </c>
      <c r="C2345" s="243" t="s">
        <v>291</v>
      </c>
      <c r="D2345" s="338" t="s">
        <v>526</v>
      </c>
      <c r="E2345" s="371">
        <v>38322</v>
      </c>
      <c r="F2345" s="269">
        <v>6832012</v>
      </c>
      <c r="G2345" s="272">
        <v>41811</v>
      </c>
      <c r="H2345" s="270"/>
      <c r="I2345" s="271"/>
      <c r="J2345" s="242"/>
      <c r="K2345" s="226"/>
    </row>
    <row r="2346" spans="1:11" ht="12.75" x14ac:dyDescent="0.2">
      <c r="A2346" s="249"/>
      <c r="B2346" s="249"/>
      <c r="C2346" s="284"/>
      <c r="D2346" s="339" t="s">
        <v>263</v>
      </c>
      <c r="E2346" s="372"/>
      <c r="F2346" s="340"/>
      <c r="G2346" s="272"/>
      <c r="H2346" s="270">
        <v>3480</v>
      </c>
      <c r="I2346" s="271">
        <f>H2346/H$2349</f>
        <v>0.12484752816244529</v>
      </c>
      <c r="J2346" s="252"/>
      <c r="K2346" s="226"/>
    </row>
    <row r="2347" spans="1:11" ht="12.75" x14ac:dyDescent="0.2">
      <c r="A2347" s="249"/>
      <c r="B2347" s="249"/>
      <c r="C2347" s="284"/>
      <c r="D2347" s="338" t="s">
        <v>244</v>
      </c>
      <c r="E2347" s="372"/>
      <c r="F2347" s="340"/>
      <c r="G2347" s="272"/>
      <c r="H2347" s="270">
        <v>200</v>
      </c>
      <c r="I2347" s="271">
        <f>H2347/H$2349</f>
        <v>7.1751452966922584E-3</v>
      </c>
      <c r="J2347" s="252"/>
      <c r="K2347" s="226"/>
    </row>
    <row r="2348" spans="1:11" ht="12.75" x14ac:dyDescent="0.2">
      <c r="A2348" s="249"/>
      <c r="B2348" s="249"/>
      <c r="C2348" s="284"/>
      <c r="D2348" s="339" t="s">
        <v>290</v>
      </c>
      <c r="E2348" s="372"/>
      <c r="F2348" s="340"/>
      <c r="G2348" s="272"/>
      <c r="H2348" s="270">
        <v>24194</v>
      </c>
      <c r="I2348" s="271">
        <f>H2348/H$2349</f>
        <v>0.86797732654086246</v>
      </c>
      <c r="J2348" s="252" t="s">
        <v>421</v>
      </c>
      <c r="K2348" s="226"/>
    </row>
    <row r="2349" spans="1:11" ht="12.75" x14ac:dyDescent="0.2">
      <c r="A2349" s="249"/>
      <c r="B2349" s="249"/>
      <c r="C2349" s="284"/>
      <c r="D2349" s="243" t="s">
        <v>33</v>
      </c>
      <c r="E2349" s="281"/>
      <c r="F2349" s="257"/>
      <c r="G2349" s="249"/>
      <c r="H2349" s="265">
        <f>SUM(H2346:H2348)</f>
        <v>27874</v>
      </c>
      <c r="I2349" s="256">
        <f>SUM(I2346:I2348)</f>
        <v>1</v>
      </c>
      <c r="J2349" s="242"/>
      <c r="K2349" s="226"/>
    </row>
    <row r="2350" spans="1:11" ht="12.75" x14ac:dyDescent="0.2">
      <c r="A2350" s="249"/>
      <c r="B2350" s="249"/>
      <c r="C2350" s="284"/>
      <c r="D2350" s="243"/>
      <c r="E2350" s="281"/>
      <c r="F2350" s="257"/>
      <c r="G2350" s="249"/>
      <c r="H2350" s="249"/>
      <c r="I2350" s="262"/>
      <c r="J2350" s="242"/>
      <c r="K2350" s="226"/>
    </row>
    <row r="2351" spans="1:11" ht="12.75" x14ac:dyDescent="0.2">
      <c r="A2351" s="261" t="s">
        <v>128</v>
      </c>
      <c r="B2351" s="337">
        <v>1042</v>
      </c>
      <c r="C2351" s="243" t="s">
        <v>291</v>
      </c>
      <c r="D2351" s="58" t="s">
        <v>561</v>
      </c>
      <c r="E2351" s="336">
        <v>39356</v>
      </c>
      <c r="F2351" s="269">
        <v>6588115</v>
      </c>
      <c r="G2351" s="249">
        <v>39805</v>
      </c>
      <c r="H2351" s="242"/>
      <c r="I2351" s="251"/>
      <c r="J2351" s="242"/>
      <c r="K2351" s="226"/>
    </row>
    <row r="2352" spans="1:11" ht="12.75" x14ac:dyDescent="0.2">
      <c r="A2352" s="249"/>
      <c r="B2352" s="341"/>
      <c r="C2352" s="284"/>
      <c r="D2352" s="244" t="s">
        <v>263</v>
      </c>
      <c r="E2352" s="281"/>
      <c r="F2352" s="257"/>
      <c r="G2352" s="249"/>
      <c r="H2352" s="267">
        <v>6478</v>
      </c>
      <c r="I2352" s="251">
        <f t="shared" ref="I2352:I2357" si="59">ROUND(H2352/$H$2368,4)</f>
        <v>0.1555</v>
      </c>
      <c r="J2352" s="266"/>
      <c r="K2352" s="226"/>
    </row>
    <row r="2353" spans="1:68" ht="12.75" x14ac:dyDescent="0.2">
      <c r="A2353" s="249"/>
      <c r="B2353" s="341"/>
      <c r="C2353" s="284"/>
      <c r="D2353" s="244" t="s">
        <v>240</v>
      </c>
      <c r="E2353" s="281"/>
      <c r="F2353" s="257"/>
      <c r="G2353" s="249"/>
      <c r="H2353" s="267">
        <v>12429</v>
      </c>
      <c r="I2353" s="251">
        <f t="shared" si="59"/>
        <v>0.2984</v>
      </c>
      <c r="J2353" s="252" t="s">
        <v>292</v>
      </c>
      <c r="K2353" s="226"/>
    </row>
    <row r="2354" spans="1:68" ht="12.75" x14ac:dyDescent="0.2">
      <c r="A2354" s="249"/>
      <c r="B2354" s="341"/>
      <c r="C2354" s="284"/>
      <c r="D2354" s="338" t="s">
        <v>244</v>
      </c>
      <c r="E2354" s="281"/>
      <c r="F2354" s="257"/>
      <c r="G2354" s="249"/>
      <c r="H2354" s="267">
        <v>311</v>
      </c>
      <c r="I2354" s="251">
        <f t="shared" si="59"/>
        <v>7.4999999999999997E-3</v>
      </c>
      <c r="J2354" s="242"/>
      <c r="K2354" s="226"/>
    </row>
    <row r="2355" spans="1:68" ht="12.75" x14ac:dyDescent="0.2">
      <c r="A2355" s="249"/>
      <c r="B2355" s="341"/>
      <c r="C2355" s="284"/>
      <c r="D2355" s="244" t="s">
        <v>264</v>
      </c>
      <c r="E2355" s="281"/>
      <c r="F2355" s="257"/>
      <c r="G2355" s="249"/>
      <c r="H2355" s="267">
        <v>1064</v>
      </c>
      <c r="I2355" s="251">
        <f t="shared" si="59"/>
        <v>2.5499999999999998E-2</v>
      </c>
      <c r="J2355" s="242"/>
      <c r="K2355" s="226"/>
    </row>
    <row r="2356" spans="1:68" ht="12.75" x14ac:dyDescent="0.2">
      <c r="A2356" s="249"/>
      <c r="B2356" s="341"/>
      <c r="C2356" s="284"/>
      <c r="D2356" s="244" t="s">
        <v>242</v>
      </c>
      <c r="E2356" s="281"/>
      <c r="F2356" s="257"/>
      <c r="G2356" s="249"/>
      <c r="H2356" s="267">
        <v>3763</v>
      </c>
      <c r="I2356" s="251">
        <f t="shared" si="59"/>
        <v>9.0300000000000005E-2</v>
      </c>
      <c r="J2356" s="253"/>
      <c r="K2356" s="226"/>
    </row>
    <row r="2357" spans="1:68" ht="12.75" x14ac:dyDescent="0.2">
      <c r="A2357" s="249"/>
      <c r="B2357" s="341"/>
      <c r="C2357" s="284"/>
      <c r="D2357" s="244" t="s">
        <v>480</v>
      </c>
      <c r="E2357" s="281"/>
      <c r="F2357" s="257"/>
      <c r="G2357" s="249"/>
      <c r="H2357" s="267">
        <v>1491</v>
      </c>
      <c r="I2357" s="251">
        <f t="shared" si="59"/>
        <v>3.5799999999999998E-2</v>
      </c>
      <c r="J2357" s="242"/>
      <c r="K2357" s="226"/>
    </row>
    <row r="2358" spans="1:68" ht="12.75" x14ac:dyDescent="0.2">
      <c r="A2358" s="249"/>
      <c r="B2358" s="341"/>
      <c r="C2358" s="284"/>
      <c r="D2358" s="243" t="s">
        <v>33</v>
      </c>
      <c r="E2358" s="281"/>
      <c r="F2358" s="257"/>
      <c r="G2358" s="249"/>
      <c r="H2358" s="265">
        <f>SUM(H2352:H2357)</f>
        <v>25536</v>
      </c>
      <c r="I2358" s="298">
        <f>SUM(I2352:I2357)</f>
        <v>0.61299999999999999</v>
      </c>
      <c r="J2358" s="242"/>
      <c r="K2358" s="226"/>
    </row>
    <row r="2359" spans="1:68" ht="12.75" x14ac:dyDescent="0.2">
      <c r="A2359" s="249"/>
      <c r="B2359" s="341"/>
      <c r="C2359" s="284"/>
      <c r="D2359" s="243"/>
      <c r="E2359" s="281"/>
      <c r="F2359" s="257"/>
      <c r="G2359" s="249"/>
      <c r="H2359" s="249"/>
      <c r="I2359" s="262"/>
      <c r="J2359" s="242"/>
      <c r="K2359" s="226"/>
    </row>
    <row r="2360" spans="1:68" ht="12.75" x14ac:dyDescent="0.2">
      <c r="A2360" s="261" t="s">
        <v>128</v>
      </c>
      <c r="B2360" s="337">
        <v>1048</v>
      </c>
      <c r="C2360" s="243" t="s">
        <v>291</v>
      </c>
      <c r="D2360" s="58" t="s">
        <v>162</v>
      </c>
      <c r="E2360" s="336">
        <v>39356</v>
      </c>
      <c r="F2360" s="269">
        <v>17851640</v>
      </c>
      <c r="G2360" s="249">
        <v>70000</v>
      </c>
      <c r="H2360" s="242"/>
      <c r="I2360" s="251"/>
      <c r="J2360" s="242"/>
      <c r="K2360" s="226"/>
    </row>
    <row r="2361" spans="1:68" ht="12.75" x14ac:dyDescent="0.2">
      <c r="A2361" s="249"/>
      <c r="B2361" s="341"/>
      <c r="C2361" s="284"/>
      <c r="D2361" s="244" t="s">
        <v>263</v>
      </c>
      <c r="E2361" s="281"/>
      <c r="F2361" s="257"/>
      <c r="G2361" s="249"/>
      <c r="H2361" s="267">
        <v>9192</v>
      </c>
      <c r="I2361" s="251">
        <f>ROUND(H2361/$H$2368,4)</f>
        <v>0.22070000000000001</v>
      </c>
      <c r="J2361" s="252" t="s">
        <v>263</v>
      </c>
      <c r="K2361" s="226"/>
    </row>
    <row r="2362" spans="1:68" ht="12.75" x14ac:dyDescent="0.2">
      <c r="A2362" s="249"/>
      <c r="B2362" s="341"/>
      <c r="C2362" s="284"/>
      <c r="D2362" s="244" t="s">
        <v>240</v>
      </c>
      <c r="E2362" s="281"/>
      <c r="F2362" s="257"/>
      <c r="G2362" s="249"/>
      <c r="H2362" s="267">
        <v>16607</v>
      </c>
      <c r="I2362" s="251">
        <f t="shared" ref="I2362:I2367" si="60">ROUND(H2362/$H$2368,4)</f>
        <v>0.3987</v>
      </c>
      <c r="J2362" s="252" t="s">
        <v>292</v>
      </c>
      <c r="K2362" s="226"/>
    </row>
    <row r="2363" spans="1:68" ht="12.75" x14ac:dyDescent="0.2">
      <c r="A2363" s="249"/>
      <c r="B2363" s="341"/>
      <c r="C2363" s="284"/>
      <c r="D2363" s="244" t="s">
        <v>293</v>
      </c>
      <c r="E2363" s="281"/>
      <c r="F2363" s="257"/>
      <c r="G2363" s="249"/>
      <c r="H2363" s="267">
        <v>3855</v>
      </c>
      <c r="I2363" s="251">
        <f t="shared" si="60"/>
        <v>9.2499999999999999E-2</v>
      </c>
      <c r="J2363" s="242"/>
      <c r="K2363" s="226"/>
    </row>
    <row r="2364" spans="1:68" s="8" customFormat="1" ht="12.75" x14ac:dyDescent="0.2">
      <c r="A2364" s="249"/>
      <c r="B2364" s="341"/>
      <c r="C2364" s="284"/>
      <c r="D2364" s="244" t="s">
        <v>286</v>
      </c>
      <c r="E2364" s="281"/>
      <c r="F2364" s="257"/>
      <c r="G2364" s="249"/>
      <c r="H2364" s="267">
        <v>2117</v>
      </c>
      <c r="I2364" s="251">
        <f t="shared" si="60"/>
        <v>5.0799999999999998E-2</v>
      </c>
      <c r="J2364" s="242"/>
      <c r="K2364" s="226"/>
      <c r="L2364" s="10"/>
      <c r="M2364" s="10"/>
      <c r="N2364" s="10"/>
      <c r="O2364" s="10"/>
      <c r="P2364" s="10"/>
      <c r="Q2364" s="10"/>
      <c r="R2364" s="9"/>
      <c r="S2364" s="9"/>
      <c r="T2364" s="9"/>
      <c r="U2364" s="9"/>
      <c r="V2364" s="9"/>
      <c r="W2364" s="9"/>
      <c r="X2364" s="9"/>
      <c r="Y2364" s="9"/>
      <c r="Z2364" s="9"/>
      <c r="AA2364" s="9"/>
      <c r="AB2364" s="9"/>
      <c r="AC2364" s="9"/>
      <c r="AD2364" s="9"/>
      <c r="AE2364" s="9"/>
      <c r="AF2364" s="9"/>
      <c r="AG2364" s="9"/>
      <c r="AH2364" s="9"/>
      <c r="AI2364" s="9"/>
      <c r="AJ2364" s="9"/>
      <c r="AK2364" s="9"/>
      <c r="AL2364" s="9"/>
      <c r="AM2364" s="9"/>
      <c r="AN2364" s="9"/>
      <c r="AO2364" s="9"/>
      <c r="AP2364" s="9"/>
      <c r="AQ2364" s="9"/>
      <c r="AR2364" s="9"/>
      <c r="AS2364" s="9"/>
      <c r="AT2364" s="9"/>
      <c r="AU2364" s="9"/>
      <c r="AV2364" s="9"/>
      <c r="AW2364" s="9"/>
      <c r="AX2364" s="9"/>
      <c r="AY2364" s="9"/>
      <c r="AZ2364" s="9"/>
      <c r="BA2364" s="9"/>
      <c r="BB2364" s="9"/>
      <c r="BC2364" s="9"/>
      <c r="BD2364" s="9"/>
      <c r="BE2364" s="9"/>
      <c r="BF2364" s="9"/>
      <c r="BG2364" s="9"/>
      <c r="BH2364" s="9"/>
      <c r="BI2364" s="9"/>
      <c r="BJ2364" s="9"/>
      <c r="BK2364" s="9"/>
      <c r="BL2364" s="9"/>
      <c r="BM2364" s="9"/>
      <c r="BN2364" s="9"/>
      <c r="BO2364" s="9"/>
      <c r="BP2364" s="9"/>
    </row>
    <row r="2365" spans="1:68" s="8" customFormat="1" ht="12.75" x14ac:dyDescent="0.2">
      <c r="A2365" s="249"/>
      <c r="B2365" s="341"/>
      <c r="C2365" s="284"/>
      <c r="D2365" s="244" t="s">
        <v>242</v>
      </c>
      <c r="E2365" s="281"/>
      <c r="F2365" s="257"/>
      <c r="G2365" s="249"/>
      <c r="H2365" s="267">
        <v>8740</v>
      </c>
      <c r="I2365" s="251">
        <f t="shared" si="60"/>
        <v>0.20979999999999999</v>
      </c>
      <c r="J2365" s="252" t="s">
        <v>421</v>
      </c>
      <c r="K2365" s="226"/>
      <c r="L2365" s="10"/>
      <c r="M2365" s="10"/>
      <c r="N2365" s="10"/>
      <c r="O2365" s="10"/>
      <c r="P2365" s="10"/>
      <c r="Q2365" s="10"/>
      <c r="R2365" s="9"/>
      <c r="S2365" s="9"/>
      <c r="T2365" s="9"/>
      <c r="U2365" s="9"/>
      <c r="V2365" s="9"/>
      <c r="W2365" s="9"/>
      <c r="X2365" s="9"/>
      <c r="Y2365" s="9"/>
      <c r="Z2365" s="9"/>
      <c r="AA2365" s="9"/>
      <c r="AB2365" s="9"/>
      <c r="AC2365" s="9"/>
      <c r="AD2365" s="9"/>
      <c r="AE2365" s="9"/>
      <c r="AF2365" s="9"/>
      <c r="AG2365" s="9"/>
      <c r="AH2365" s="9"/>
      <c r="AI2365" s="9"/>
      <c r="AJ2365" s="9"/>
      <c r="AK2365" s="9"/>
      <c r="AL2365" s="9"/>
      <c r="AM2365" s="9"/>
      <c r="AN2365" s="9"/>
      <c r="AO2365" s="9"/>
      <c r="AP2365" s="9"/>
      <c r="AQ2365" s="9"/>
      <c r="AR2365" s="9"/>
      <c r="AS2365" s="9"/>
      <c r="AT2365" s="9"/>
      <c r="AU2365" s="9"/>
      <c r="AV2365" s="9"/>
      <c r="AW2365" s="9"/>
      <c r="AX2365" s="9"/>
      <c r="AY2365" s="9"/>
      <c r="AZ2365" s="9"/>
      <c r="BA2365" s="9"/>
      <c r="BB2365" s="9"/>
      <c r="BC2365" s="9"/>
      <c r="BD2365" s="9"/>
      <c r="BE2365" s="9"/>
      <c r="BF2365" s="9"/>
      <c r="BG2365" s="9"/>
      <c r="BH2365" s="9"/>
      <c r="BI2365" s="9"/>
      <c r="BJ2365" s="9"/>
      <c r="BK2365" s="9"/>
      <c r="BL2365" s="9"/>
      <c r="BM2365" s="9"/>
      <c r="BN2365" s="9"/>
      <c r="BO2365" s="9"/>
      <c r="BP2365" s="9"/>
    </row>
    <row r="2366" spans="1:68" s="8" customFormat="1" ht="12.75" x14ac:dyDescent="0.2">
      <c r="A2366" s="249"/>
      <c r="B2366" s="341"/>
      <c r="C2366" s="284"/>
      <c r="D2366" s="254" t="s">
        <v>246</v>
      </c>
      <c r="E2366" s="281"/>
      <c r="F2366" s="257"/>
      <c r="G2366" s="249"/>
      <c r="H2366" s="267">
        <v>171</v>
      </c>
      <c r="I2366" s="251">
        <f t="shared" si="60"/>
        <v>4.1000000000000003E-3</v>
      </c>
      <c r="J2366" s="253"/>
      <c r="K2366" s="226"/>
      <c r="L2366" s="10"/>
      <c r="M2366" s="10"/>
      <c r="N2366" s="10"/>
      <c r="O2366" s="10"/>
      <c r="P2366" s="10"/>
      <c r="Q2366" s="10"/>
      <c r="R2366" s="9"/>
      <c r="S2366" s="9"/>
      <c r="T2366" s="9"/>
      <c r="U2366" s="9"/>
      <c r="V2366" s="9"/>
      <c r="W2366" s="9"/>
      <c r="X2366" s="9"/>
      <c r="Y2366" s="9"/>
      <c r="Z2366" s="9"/>
      <c r="AA2366" s="9"/>
      <c r="AB2366" s="9"/>
      <c r="AC2366" s="9"/>
      <c r="AD2366" s="9"/>
      <c r="AE2366" s="9"/>
      <c r="AF2366" s="9"/>
      <c r="AG2366" s="9"/>
      <c r="AH2366" s="9"/>
      <c r="AI2366" s="9"/>
      <c r="AJ2366" s="9"/>
      <c r="AK2366" s="9"/>
      <c r="AL2366" s="9"/>
      <c r="AM2366" s="9"/>
      <c r="AN2366" s="9"/>
      <c r="AO2366" s="9"/>
      <c r="AP2366" s="9"/>
      <c r="AQ2366" s="9"/>
      <c r="AR2366" s="9"/>
      <c r="AS2366" s="9"/>
      <c r="AT2366" s="9"/>
      <c r="AU2366" s="9"/>
      <c r="AV2366" s="9"/>
      <c r="AW2366" s="9"/>
      <c r="AX2366" s="9"/>
      <c r="AY2366" s="9"/>
      <c r="AZ2366" s="9"/>
      <c r="BA2366" s="9"/>
      <c r="BB2366" s="9"/>
      <c r="BC2366" s="9"/>
      <c r="BD2366" s="9"/>
      <c r="BE2366" s="9"/>
      <c r="BF2366" s="9"/>
      <c r="BG2366" s="9"/>
      <c r="BH2366" s="9"/>
      <c r="BI2366" s="9"/>
      <c r="BJ2366" s="9"/>
      <c r="BK2366" s="9"/>
      <c r="BL2366" s="9"/>
      <c r="BM2366" s="9"/>
      <c r="BN2366" s="9"/>
      <c r="BO2366" s="9"/>
      <c r="BP2366" s="9"/>
    </row>
    <row r="2367" spans="1:68" s="8" customFormat="1" ht="12.75" x14ac:dyDescent="0.2">
      <c r="A2367" s="249"/>
      <c r="B2367" s="341"/>
      <c r="C2367" s="284"/>
      <c r="D2367" s="244" t="s">
        <v>480</v>
      </c>
      <c r="E2367" s="281"/>
      <c r="F2367" s="257"/>
      <c r="G2367" s="249"/>
      <c r="H2367" s="267">
        <v>975</v>
      </c>
      <c r="I2367" s="251">
        <f t="shared" si="60"/>
        <v>2.3400000000000001E-2</v>
      </c>
      <c r="J2367" s="242"/>
      <c r="K2367" s="226"/>
      <c r="L2367" s="10"/>
      <c r="M2367" s="10"/>
      <c r="N2367" s="10"/>
      <c r="O2367" s="10"/>
      <c r="P2367" s="10"/>
      <c r="Q2367" s="10"/>
      <c r="R2367" s="9"/>
      <c r="S2367" s="9"/>
      <c r="T2367" s="9"/>
      <c r="U2367" s="9"/>
      <c r="V2367" s="9"/>
      <c r="W2367" s="9"/>
      <c r="X2367" s="9"/>
      <c r="Y2367" s="9"/>
      <c r="Z2367" s="9"/>
      <c r="AA2367" s="9"/>
      <c r="AB2367" s="9"/>
      <c r="AC2367" s="9"/>
      <c r="AD2367" s="9"/>
      <c r="AE2367" s="9"/>
      <c r="AF2367" s="9"/>
      <c r="AG2367" s="9"/>
      <c r="AH2367" s="9"/>
      <c r="AI2367" s="9"/>
      <c r="AJ2367" s="9"/>
      <c r="AK2367" s="9"/>
      <c r="AL2367" s="9"/>
      <c r="AM2367" s="9"/>
      <c r="AN2367" s="9"/>
      <c r="AO2367" s="9"/>
      <c r="AP2367" s="9"/>
      <c r="AQ2367" s="9"/>
      <c r="AR2367" s="9"/>
      <c r="AS2367" s="9"/>
      <c r="AT2367" s="9"/>
      <c r="AU2367" s="9"/>
      <c r="AV2367" s="9"/>
      <c r="AW2367" s="9"/>
      <c r="AX2367" s="9"/>
      <c r="AY2367" s="9"/>
      <c r="AZ2367" s="9"/>
      <c r="BA2367" s="9"/>
      <c r="BB2367" s="9"/>
      <c r="BC2367" s="9"/>
      <c r="BD2367" s="9"/>
      <c r="BE2367" s="9"/>
      <c r="BF2367" s="9"/>
      <c r="BG2367" s="9"/>
      <c r="BH2367" s="9"/>
      <c r="BI2367" s="9"/>
      <c r="BJ2367" s="9"/>
      <c r="BK2367" s="9"/>
      <c r="BL2367" s="9"/>
      <c r="BM2367" s="9"/>
      <c r="BN2367" s="9"/>
      <c r="BO2367" s="9"/>
      <c r="BP2367" s="9"/>
    </row>
    <row r="2368" spans="1:68" s="8" customFormat="1" ht="12.75" x14ac:dyDescent="0.2">
      <c r="A2368" s="249"/>
      <c r="B2368" s="341"/>
      <c r="C2368" s="284"/>
      <c r="D2368" s="243" t="s">
        <v>33</v>
      </c>
      <c r="E2368" s="281"/>
      <c r="F2368" s="257"/>
      <c r="G2368" s="249"/>
      <c r="H2368" s="265">
        <f>SUM(H2361:H2367)</f>
        <v>41657</v>
      </c>
      <c r="I2368" s="298">
        <f>SUM(I2361:I2367)</f>
        <v>0.99999999999999989</v>
      </c>
      <c r="J2368" s="242"/>
      <c r="K2368" s="226"/>
      <c r="L2368" s="10"/>
      <c r="M2368" s="10"/>
      <c r="N2368" s="10"/>
      <c r="O2368" s="10"/>
      <c r="P2368" s="10"/>
      <c r="Q2368" s="10"/>
      <c r="R2368" s="9"/>
      <c r="S2368" s="9"/>
      <c r="T2368" s="9"/>
      <c r="U2368" s="9"/>
      <c r="V2368" s="9"/>
      <c r="W2368" s="9"/>
      <c r="X2368" s="9"/>
      <c r="Y2368" s="9"/>
      <c r="Z2368" s="9"/>
      <c r="AA2368" s="9"/>
      <c r="AB2368" s="9"/>
      <c r="AC2368" s="9"/>
      <c r="AD2368" s="9"/>
      <c r="AE2368" s="9"/>
      <c r="AF2368" s="9"/>
      <c r="AG2368" s="9"/>
      <c r="AH2368" s="9"/>
      <c r="AI2368" s="9"/>
      <c r="AJ2368" s="9"/>
      <c r="AK2368" s="9"/>
      <c r="AL2368" s="9"/>
      <c r="AM2368" s="9"/>
      <c r="AN2368" s="9"/>
      <c r="AO2368" s="9"/>
      <c r="AP2368" s="9"/>
      <c r="AQ2368" s="9"/>
      <c r="AR2368" s="9"/>
      <c r="AS2368" s="9"/>
      <c r="AT2368" s="9"/>
      <c r="AU2368" s="9"/>
      <c r="AV2368" s="9"/>
      <c r="AW2368" s="9"/>
      <c r="AX2368" s="9"/>
      <c r="AY2368" s="9"/>
      <c r="AZ2368" s="9"/>
      <c r="BA2368" s="9"/>
      <c r="BB2368" s="9"/>
      <c r="BC2368" s="9"/>
      <c r="BD2368" s="9"/>
      <c r="BE2368" s="9"/>
      <c r="BF2368" s="9"/>
      <c r="BG2368" s="9"/>
      <c r="BH2368" s="9"/>
      <c r="BI2368" s="9"/>
      <c r="BJ2368" s="9"/>
      <c r="BK2368" s="9"/>
      <c r="BL2368" s="9"/>
      <c r="BM2368" s="9"/>
      <c r="BN2368" s="9"/>
      <c r="BO2368" s="9"/>
      <c r="BP2368" s="9"/>
    </row>
    <row r="2369" spans="1:68" s="8" customFormat="1" ht="12.75" x14ac:dyDescent="0.2">
      <c r="A2369" s="249"/>
      <c r="B2369" s="341"/>
      <c r="C2369" s="284"/>
      <c r="D2369" s="243"/>
      <c r="E2369" s="281"/>
      <c r="F2369" s="257"/>
      <c r="G2369" s="249"/>
      <c r="H2369" s="249"/>
      <c r="I2369" s="262"/>
      <c r="J2369" s="242"/>
      <c r="K2369" s="226"/>
      <c r="L2369" s="10"/>
      <c r="M2369" s="10"/>
      <c r="N2369" s="10"/>
      <c r="O2369" s="10"/>
      <c r="P2369" s="10"/>
      <c r="Q2369" s="10"/>
      <c r="R2369" s="9"/>
      <c r="S2369" s="9"/>
      <c r="T2369" s="9"/>
      <c r="U2369" s="9"/>
      <c r="V2369" s="9"/>
      <c r="W2369" s="9"/>
      <c r="X2369" s="9"/>
      <c r="Y2369" s="9"/>
      <c r="Z2369" s="9"/>
      <c r="AA2369" s="9"/>
      <c r="AB2369" s="9"/>
      <c r="AC2369" s="9"/>
      <c r="AD2369" s="9"/>
      <c r="AE2369" s="9"/>
      <c r="AF2369" s="9"/>
      <c r="AG2369" s="9"/>
      <c r="AH2369" s="9"/>
      <c r="AI2369" s="9"/>
      <c r="AJ2369" s="9"/>
      <c r="AK2369" s="9"/>
      <c r="AL2369" s="9"/>
      <c r="AM2369" s="9"/>
      <c r="AN2369" s="9"/>
      <c r="AO2369" s="9"/>
      <c r="AP2369" s="9"/>
      <c r="AQ2369" s="9"/>
      <c r="AR2369" s="9"/>
      <c r="AS2369" s="9"/>
      <c r="AT2369" s="9"/>
      <c r="AU2369" s="9"/>
      <c r="AV2369" s="9"/>
      <c r="AW2369" s="9"/>
      <c r="AX2369" s="9"/>
      <c r="AY2369" s="9"/>
      <c r="AZ2369" s="9"/>
      <c r="BA2369" s="9"/>
      <c r="BB2369" s="9"/>
      <c r="BC2369" s="9"/>
      <c r="BD2369" s="9"/>
      <c r="BE2369" s="9"/>
      <c r="BF2369" s="9"/>
      <c r="BG2369" s="9"/>
      <c r="BH2369" s="9"/>
      <c r="BI2369" s="9"/>
      <c r="BJ2369" s="9"/>
      <c r="BK2369" s="9"/>
      <c r="BL2369" s="9"/>
      <c r="BM2369" s="9"/>
      <c r="BN2369" s="9"/>
      <c r="BO2369" s="9"/>
      <c r="BP2369" s="9"/>
    </row>
    <row r="2370" spans="1:68" s="8" customFormat="1" ht="12.75" x14ac:dyDescent="0.2">
      <c r="A2370" s="261" t="s">
        <v>128</v>
      </c>
      <c r="B2370" s="337">
        <v>1054</v>
      </c>
      <c r="C2370" s="243" t="s">
        <v>291</v>
      </c>
      <c r="D2370" s="58" t="s">
        <v>570</v>
      </c>
      <c r="E2370" s="336">
        <v>39753</v>
      </c>
      <c r="F2370" s="269">
        <v>16092888</v>
      </c>
      <c r="G2370" s="249">
        <v>61000</v>
      </c>
      <c r="H2370" s="242"/>
      <c r="I2370" s="251"/>
      <c r="J2370" s="242"/>
      <c r="K2370" s="226"/>
      <c r="L2370" s="10"/>
      <c r="M2370" s="10"/>
      <c r="N2370" s="10"/>
      <c r="O2370" s="10"/>
      <c r="P2370" s="10"/>
      <c r="Q2370" s="10"/>
      <c r="R2370" s="9"/>
      <c r="S2370" s="9"/>
      <c r="T2370" s="9"/>
      <c r="U2370" s="9"/>
      <c r="V2370" s="9"/>
      <c r="W2370" s="9"/>
      <c r="X2370" s="9"/>
      <c r="Y2370" s="9"/>
      <c r="Z2370" s="9"/>
      <c r="AA2370" s="9"/>
      <c r="AB2370" s="9"/>
      <c r="AC2370" s="9"/>
      <c r="AD2370" s="9"/>
      <c r="AE2370" s="9"/>
      <c r="AF2370" s="9"/>
      <c r="AG2370" s="9"/>
      <c r="AH2370" s="9"/>
      <c r="AI2370" s="9"/>
      <c r="AJ2370" s="9"/>
      <c r="AK2370" s="9"/>
      <c r="AL2370" s="9"/>
      <c r="AM2370" s="9"/>
      <c r="AN2370" s="9"/>
      <c r="AO2370" s="9"/>
      <c r="AP2370" s="9"/>
      <c r="AQ2370" s="9"/>
      <c r="AR2370" s="9"/>
      <c r="AS2370" s="9"/>
      <c r="AT2370" s="9"/>
      <c r="AU2370" s="9"/>
      <c r="AV2370" s="9"/>
      <c r="AW2370" s="9"/>
      <c r="AX2370" s="9"/>
      <c r="AY2370" s="9"/>
      <c r="AZ2370" s="9"/>
      <c r="BA2370" s="9"/>
      <c r="BB2370" s="9"/>
      <c r="BC2370" s="9"/>
      <c r="BD2370" s="9"/>
      <c r="BE2370" s="9"/>
      <c r="BF2370" s="9"/>
      <c r="BG2370" s="9"/>
      <c r="BH2370" s="9"/>
      <c r="BI2370" s="9"/>
      <c r="BJ2370" s="9"/>
      <c r="BK2370" s="9"/>
      <c r="BL2370" s="9"/>
      <c r="BM2370" s="9"/>
      <c r="BN2370" s="9"/>
      <c r="BO2370" s="9"/>
      <c r="BP2370" s="9"/>
    </row>
    <row r="2371" spans="1:68" s="8" customFormat="1" ht="12.75" x14ac:dyDescent="0.2">
      <c r="A2371" s="342"/>
      <c r="B2371" s="342"/>
      <c r="C2371" s="342"/>
      <c r="D2371" s="244" t="s">
        <v>263</v>
      </c>
      <c r="E2371" s="362"/>
      <c r="F2371" s="242"/>
      <c r="G2371" s="242"/>
      <c r="H2371" s="242">
        <v>12000</v>
      </c>
      <c r="I2371" s="251">
        <f>ROUND(H2371/$H$2375,4)</f>
        <v>0.28239999999999998</v>
      </c>
      <c r="J2371" s="252" t="s">
        <v>263</v>
      </c>
      <c r="K2371" s="226"/>
      <c r="L2371" s="10"/>
      <c r="M2371" s="10"/>
      <c r="N2371" s="10"/>
      <c r="O2371" s="10"/>
      <c r="P2371" s="10"/>
      <c r="Q2371" s="10"/>
      <c r="R2371" s="9"/>
      <c r="S2371" s="9"/>
      <c r="T2371" s="9"/>
      <c r="U2371" s="9"/>
      <c r="V2371" s="9"/>
      <c r="W2371" s="9"/>
      <c r="X2371" s="9"/>
      <c r="Y2371" s="9"/>
      <c r="Z2371" s="9"/>
      <c r="AA2371" s="9"/>
      <c r="AB2371" s="9"/>
      <c r="AC2371" s="9"/>
      <c r="AD2371" s="9"/>
      <c r="AE2371" s="9"/>
      <c r="AF2371" s="9"/>
      <c r="AG2371" s="9"/>
      <c r="AH2371" s="9"/>
      <c r="AI2371" s="9"/>
      <c r="AJ2371" s="9"/>
      <c r="AK2371" s="9"/>
      <c r="AL2371" s="9"/>
      <c r="AM2371" s="9"/>
      <c r="AN2371" s="9"/>
      <c r="AO2371" s="9"/>
      <c r="AP2371" s="9"/>
      <c r="AQ2371" s="9"/>
      <c r="AR2371" s="9"/>
      <c r="AS2371" s="9"/>
      <c r="AT2371" s="9"/>
      <c r="AU2371" s="9"/>
      <c r="AV2371" s="9"/>
      <c r="AW2371" s="9"/>
      <c r="AX2371" s="9"/>
      <c r="AY2371" s="9"/>
      <c r="AZ2371" s="9"/>
      <c r="BA2371" s="9"/>
      <c r="BB2371" s="9"/>
      <c r="BC2371" s="9"/>
      <c r="BD2371" s="9"/>
      <c r="BE2371" s="9"/>
      <c r="BF2371" s="9"/>
      <c r="BG2371" s="9"/>
      <c r="BH2371" s="9"/>
      <c r="BI2371" s="9"/>
      <c r="BJ2371" s="9"/>
      <c r="BK2371" s="9"/>
      <c r="BL2371" s="9"/>
      <c r="BM2371" s="9"/>
      <c r="BN2371" s="9"/>
      <c r="BO2371" s="9"/>
      <c r="BP2371" s="9"/>
    </row>
    <row r="2372" spans="1:68" s="8" customFormat="1" ht="12.75" x14ac:dyDescent="0.2">
      <c r="A2372" s="342"/>
      <c r="B2372" s="342"/>
      <c r="C2372" s="342"/>
      <c r="D2372" s="244" t="s">
        <v>240</v>
      </c>
      <c r="E2372" s="362"/>
      <c r="F2372" s="242"/>
      <c r="G2372" s="242"/>
      <c r="H2372" s="242">
        <v>20000</v>
      </c>
      <c r="I2372" s="251">
        <f>ROUND(H2372/$H$2375,4)</f>
        <v>0.47060000000000002</v>
      </c>
      <c r="J2372" s="252" t="s">
        <v>292</v>
      </c>
      <c r="K2372" s="226"/>
      <c r="L2372" s="10"/>
      <c r="M2372" s="10"/>
      <c r="N2372" s="10"/>
      <c r="O2372" s="10"/>
      <c r="P2372" s="10"/>
      <c r="Q2372" s="10"/>
      <c r="R2372" s="9"/>
      <c r="S2372" s="9"/>
      <c r="T2372" s="9"/>
      <c r="U2372" s="9"/>
      <c r="V2372" s="9"/>
      <c r="W2372" s="9"/>
      <c r="X2372" s="9"/>
      <c r="Y2372" s="9"/>
      <c r="Z2372" s="9"/>
      <c r="AA2372" s="9"/>
      <c r="AB2372" s="9"/>
      <c r="AC2372" s="9"/>
      <c r="AD2372" s="9"/>
      <c r="AE2372" s="9"/>
      <c r="AF2372" s="9"/>
      <c r="AG2372" s="9"/>
      <c r="AH2372" s="9"/>
      <c r="AI2372" s="9"/>
      <c r="AJ2372" s="9"/>
      <c r="AK2372" s="9"/>
      <c r="AL2372" s="9"/>
      <c r="AM2372" s="9"/>
      <c r="AN2372" s="9"/>
      <c r="AO2372" s="9"/>
      <c r="AP2372" s="9"/>
      <c r="AQ2372" s="9"/>
      <c r="AR2372" s="9"/>
      <c r="AS2372" s="9"/>
      <c r="AT2372" s="9"/>
      <c r="AU2372" s="9"/>
      <c r="AV2372" s="9"/>
      <c r="AW2372" s="9"/>
      <c r="AX2372" s="9"/>
      <c r="AY2372" s="9"/>
      <c r="AZ2372" s="9"/>
      <c r="BA2372" s="9"/>
      <c r="BB2372" s="9"/>
      <c r="BC2372" s="9"/>
      <c r="BD2372" s="9"/>
      <c r="BE2372" s="9"/>
      <c r="BF2372" s="9"/>
      <c r="BG2372" s="9"/>
      <c r="BH2372" s="9"/>
      <c r="BI2372" s="9"/>
      <c r="BJ2372" s="9"/>
      <c r="BK2372" s="9"/>
      <c r="BL2372" s="9"/>
      <c r="BM2372" s="9"/>
      <c r="BN2372" s="9"/>
      <c r="BO2372" s="9"/>
      <c r="BP2372" s="9"/>
    </row>
    <row r="2373" spans="1:68" s="9" customFormat="1" ht="12.75" x14ac:dyDescent="0.2">
      <c r="A2373" s="342"/>
      <c r="B2373" s="342"/>
      <c r="C2373" s="342"/>
      <c r="D2373" s="244" t="s">
        <v>293</v>
      </c>
      <c r="E2373" s="362"/>
      <c r="F2373" s="242"/>
      <c r="G2373" s="242"/>
      <c r="H2373" s="242">
        <v>4000</v>
      </c>
      <c r="I2373" s="251">
        <f>ROUND(H2373/$H$2375,4)</f>
        <v>9.4100000000000003E-2</v>
      </c>
      <c r="J2373" s="242"/>
      <c r="K2373" s="226"/>
      <c r="L2373" s="10"/>
      <c r="M2373" s="10"/>
      <c r="N2373" s="10"/>
      <c r="O2373" s="10"/>
      <c r="P2373" s="10"/>
      <c r="Q2373" s="10"/>
    </row>
    <row r="2374" spans="1:68" s="8" customFormat="1" x14ac:dyDescent="0.2">
      <c r="A2374" s="342"/>
      <c r="B2374" s="342"/>
      <c r="C2374" s="342"/>
      <c r="D2374" s="244" t="s">
        <v>242</v>
      </c>
      <c r="E2374" s="362"/>
      <c r="F2374" s="242"/>
      <c r="G2374" s="242"/>
      <c r="H2374" s="242">
        <v>6500</v>
      </c>
      <c r="I2374" s="251">
        <f>ROUND(H2374/$H$2375,4)</f>
        <v>0.15290000000000001</v>
      </c>
      <c r="J2374" s="242"/>
      <c r="K2374" s="137"/>
      <c r="L2374" s="9"/>
      <c r="M2374" s="9"/>
      <c r="N2374" s="9"/>
      <c r="O2374" s="9"/>
      <c r="P2374" s="9"/>
      <c r="Q2374" s="9"/>
      <c r="R2374" s="9"/>
      <c r="S2374" s="9"/>
      <c r="T2374" s="9"/>
      <c r="U2374" s="9"/>
      <c r="V2374" s="9"/>
      <c r="W2374" s="9"/>
      <c r="X2374" s="9"/>
      <c r="Y2374" s="9"/>
      <c r="Z2374" s="9"/>
      <c r="AA2374" s="9"/>
      <c r="AB2374" s="9"/>
      <c r="AC2374" s="9"/>
      <c r="AD2374" s="9"/>
      <c r="AE2374" s="9"/>
      <c r="AF2374" s="9"/>
      <c r="AG2374" s="9"/>
      <c r="AH2374" s="9"/>
      <c r="AI2374" s="9"/>
      <c r="AJ2374" s="9"/>
      <c r="AK2374" s="9"/>
      <c r="AL2374" s="9"/>
      <c r="AM2374" s="9"/>
      <c r="AN2374" s="9"/>
      <c r="AO2374" s="9"/>
      <c r="AP2374" s="9"/>
      <c r="AQ2374" s="9"/>
      <c r="AR2374" s="9"/>
      <c r="AS2374" s="9"/>
      <c r="AT2374" s="9"/>
      <c r="AU2374" s="9"/>
      <c r="AV2374" s="9"/>
      <c r="AW2374" s="9"/>
      <c r="AX2374" s="9"/>
      <c r="AY2374" s="9"/>
      <c r="AZ2374" s="9"/>
      <c r="BA2374" s="9"/>
      <c r="BB2374" s="9"/>
      <c r="BC2374" s="9"/>
      <c r="BD2374" s="9"/>
      <c r="BE2374" s="9"/>
      <c r="BF2374" s="9"/>
      <c r="BG2374" s="9"/>
      <c r="BH2374" s="9"/>
      <c r="BI2374" s="9"/>
      <c r="BJ2374" s="9"/>
      <c r="BK2374" s="9"/>
      <c r="BL2374" s="9"/>
      <c r="BM2374" s="9"/>
      <c r="BN2374" s="9"/>
      <c r="BO2374" s="9"/>
      <c r="BP2374" s="9"/>
    </row>
    <row r="2375" spans="1:68" s="8" customFormat="1" x14ac:dyDescent="0.2">
      <c r="A2375" s="342"/>
      <c r="B2375" s="342"/>
      <c r="C2375" s="342"/>
      <c r="D2375" s="243" t="s">
        <v>33</v>
      </c>
      <c r="E2375" s="362"/>
      <c r="F2375" s="242"/>
      <c r="G2375" s="242"/>
      <c r="H2375" s="265">
        <f>SUM(H2371:H2374)</f>
        <v>42500</v>
      </c>
      <c r="I2375" s="256">
        <f>SUM(I2371:I2374)</f>
        <v>1</v>
      </c>
      <c r="J2375" s="242"/>
      <c r="K2375" s="137"/>
      <c r="L2375" s="9"/>
      <c r="M2375" s="9"/>
      <c r="N2375" s="9"/>
      <c r="O2375" s="9"/>
      <c r="P2375" s="9"/>
      <c r="Q2375" s="9"/>
      <c r="R2375" s="9"/>
      <c r="S2375" s="9"/>
      <c r="T2375" s="9"/>
      <c r="U2375" s="9"/>
      <c r="V2375" s="9"/>
      <c r="W2375" s="9"/>
      <c r="X2375" s="9"/>
      <c r="Y2375" s="9"/>
      <c r="Z2375" s="9"/>
      <c r="AA2375" s="9"/>
      <c r="AB2375" s="9"/>
      <c r="AC2375" s="9"/>
      <c r="AD2375" s="9"/>
      <c r="AE2375" s="9"/>
      <c r="AF2375" s="9"/>
      <c r="AG2375" s="9"/>
      <c r="AH2375" s="9"/>
      <c r="AI2375" s="9"/>
      <c r="AJ2375" s="9"/>
      <c r="AK2375" s="9"/>
      <c r="AL2375" s="9"/>
      <c r="AM2375" s="9"/>
      <c r="AN2375" s="9"/>
      <c r="AO2375" s="9"/>
      <c r="AP2375" s="9"/>
      <c r="AQ2375" s="9"/>
      <c r="AR2375" s="9"/>
      <c r="AS2375" s="9"/>
      <c r="AT2375" s="9"/>
      <c r="AU2375" s="9"/>
      <c r="AV2375" s="9"/>
      <c r="AW2375" s="9"/>
      <c r="AX2375" s="9"/>
      <c r="AY2375" s="9"/>
      <c r="AZ2375" s="9"/>
      <c r="BA2375" s="9"/>
      <c r="BB2375" s="9"/>
      <c r="BC2375" s="9"/>
      <c r="BD2375" s="9"/>
      <c r="BE2375" s="9"/>
      <c r="BF2375" s="9"/>
      <c r="BG2375" s="9"/>
      <c r="BH2375" s="9"/>
      <c r="BI2375" s="9"/>
      <c r="BJ2375" s="9"/>
      <c r="BK2375" s="9"/>
      <c r="BL2375" s="9"/>
      <c r="BM2375" s="9"/>
      <c r="BN2375" s="9"/>
      <c r="BO2375" s="9"/>
      <c r="BP2375" s="9"/>
    </row>
    <row r="2376" spans="1:68" s="8" customFormat="1" x14ac:dyDescent="0.2">
      <c r="A2376" s="284"/>
      <c r="B2376" s="284"/>
      <c r="C2376" s="284"/>
      <c r="D2376" s="243"/>
      <c r="E2376" s="281"/>
      <c r="F2376" s="249"/>
      <c r="G2376" s="249"/>
      <c r="H2376" s="249"/>
      <c r="I2376" s="262"/>
      <c r="J2376" s="249"/>
      <c r="K2376" s="137"/>
      <c r="L2376" s="9"/>
      <c r="M2376" s="9"/>
      <c r="N2376" s="9"/>
      <c r="O2376" s="9"/>
      <c r="P2376" s="9"/>
      <c r="Q2376" s="9"/>
      <c r="R2376" s="9"/>
      <c r="S2376" s="9"/>
      <c r="T2376" s="9"/>
      <c r="U2376" s="9"/>
      <c r="V2376" s="9"/>
      <c r="W2376" s="9"/>
      <c r="X2376" s="9"/>
      <c r="Y2376" s="9"/>
      <c r="Z2376" s="9"/>
      <c r="AA2376" s="9"/>
      <c r="AB2376" s="9"/>
      <c r="AC2376" s="9"/>
      <c r="AD2376" s="9"/>
      <c r="AE2376" s="9"/>
      <c r="AF2376" s="9"/>
      <c r="AG2376" s="9"/>
      <c r="AH2376" s="9"/>
      <c r="AI2376" s="9"/>
      <c r="AJ2376" s="9"/>
      <c r="AK2376" s="9"/>
      <c r="AL2376" s="9"/>
      <c r="AM2376" s="9"/>
      <c r="AN2376" s="9"/>
      <c r="AO2376" s="9"/>
      <c r="AP2376" s="9"/>
      <c r="AQ2376" s="9"/>
      <c r="AR2376" s="9"/>
      <c r="AS2376" s="9"/>
      <c r="AT2376" s="9"/>
      <c r="AU2376" s="9"/>
      <c r="AV2376" s="9"/>
      <c r="AW2376" s="9"/>
      <c r="AX2376" s="9"/>
      <c r="AY2376" s="9"/>
      <c r="AZ2376" s="9"/>
      <c r="BA2376" s="9"/>
      <c r="BB2376" s="9"/>
      <c r="BC2376" s="9"/>
      <c r="BD2376" s="9"/>
      <c r="BE2376" s="9"/>
      <c r="BF2376" s="9"/>
      <c r="BG2376" s="9"/>
      <c r="BH2376" s="9"/>
      <c r="BI2376" s="9"/>
      <c r="BJ2376" s="9"/>
      <c r="BK2376" s="9"/>
      <c r="BL2376" s="9"/>
      <c r="BM2376" s="9"/>
      <c r="BN2376" s="9"/>
      <c r="BO2376" s="9"/>
      <c r="BP2376" s="9"/>
    </row>
    <row r="2377" spans="1:68" s="8" customFormat="1" x14ac:dyDescent="0.2">
      <c r="A2377" s="261" t="s">
        <v>128</v>
      </c>
      <c r="B2377" s="261"/>
      <c r="C2377" s="261" t="s">
        <v>291</v>
      </c>
      <c r="D2377" s="249" t="s">
        <v>596</v>
      </c>
      <c r="E2377" s="281">
        <v>40513</v>
      </c>
      <c r="F2377" s="249">
        <v>14930038</v>
      </c>
      <c r="G2377" s="249">
        <v>69275</v>
      </c>
      <c r="H2377" s="249"/>
      <c r="I2377" s="262"/>
      <c r="J2377" s="249"/>
      <c r="K2377" s="137"/>
      <c r="L2377" s="9"/>
      <c r="M2377" s="9"/>
      <c r="N2377" s="9"/>
      <c r="O2377" s="9"/>
      <c r="P2377" s="9"/>
      <c r="Q2377" s="9"/>
      <c r="R2377" s="9"/>
      <c r="S2377" s="9"/>
      <c r="T2377" s="9"/>
      <c r="U2377" s="9"/>
      <c r="V2377" s="9"/>
      <c r="W2377" s="9"/>
      <c r="X2377" s="9"/>
      <c r="Y2377" s="9"/>
      <c r="Z2377" s="9"/>
      <c r="AA2377" s="9"/>
      <c r="AB2377" s="9"/>
      <c r="AC2377" s="9"/>
      <c r="AD2377" s="9"/>
      <c r="AE2377" s="9"/>
      <c r="AF2377" s="9"/>
      <c r="AG2377" s="9"/>
      <c r="AH2377" s="9"/>
      <c r="AI2377" s="9"/>
      <c r="AJ2377" s="9"/>
      <c r="AK2377" s="9"/>
      <c r="AL2377" s="9"/>
      <c r="AM2377" s="9"/>
      <c r="AN2377" s="9"/>
      <c r="AO2377" s="9"/>
      <c r="AP2377" s="9"/>
      <c r="AQ2377" s="9"/>
      <c r="AR2377" s="9"/>
      <c r="AS2377" s="9"/>
      <c r="AT2377" s="9"/>
      <c r="AU2377" s="9"/>
      <c r="AV2377" s="9"/>
      <c r="AW2377" s="9"/>
      <c r="AX2377" s="9"/>
      <c r="AY2377" s="9"/>
      <c r="AZ2377" s="9"/>
      <c r="BA2377" s="9"/>
      <c r="BB2377" s="9"/>
      <c r="BC2377" s="9"/>
      <c r="BD2377" s="9"/>
      <c r="BE2377" s="9"/>
      <c r="BF2377" s="9"/>
      <c r="BG2377" s="9"/>
      <c r="BH2377" s="9"/>
      <c r="BI2377" s="9"/>
      <c r="BJ2377" s="9"/>
      <c r="BK2377" s="9"/>
      <c r="BL2377" s="9"/>
      <c r="BM2377" s="9"/>
      <c r="BN2377" s="9"/>
      <c r="BO2377" s="9"/>
      <c r="BP2377" s="9"/>
    </row>
    <row r="2378" spans="1:68" s="8" customFormat="1" x14ac:dyDescent="0.2">
      <c r="A2378" s="284"/>
      <c r="B2378" s="284"/>
      <c r="C2378" s="284"/>
      <c r="D2378" s="249" t="s">
        <v>597</v>
      </c>
      <c r="E2378" s="281"/>
      <c r="F2378" s="249"/>
      <c r="G2378" s="249"/>
      <c r="H2378" s="249">
        <v>931</v>
      </c>
      <c r="I2378" s="251">
        <f t="shared" ref="I2378:I2383" si="61">ROUND(H2378/$H$2384,4)</f>
        <v>2.3E-2</v>
      </c>
      <c r="J2378" s="249"/>
      <c r="K2378" s="137"/>
      <c r="L2378" s="9"/>
      <c r="M2378" s="9"/>
      <c r="N2378" s="9"/>
      <c r="O2378" s="9"/>
      <c r="P2378" s="9"/>
      <c r="Q2378" s="9"/>
      <c r="R2378" s="9"/>
      <c r="S2378" s="9"/>
      <c r="T2378" s="9"/>
      <c r="U2378" s="9"/>
      <c r="V2378" s="9"/>
      <c r="W2378" s="9"/>
      <c r="X2378" s="9"/>
      <c r="Y2378" s="9"/>
      <c r="Z2378" s="9"/>
      <c r="AA2378" s="9"/>
      <c r="AB2378" s="9"/>
      <c r="AC2378" s="9"/>
      <c r="AD2378" s="9"/>
      <c r="AE2378" s="9"/>
      <c r="AF2378" s="9"/>
      <c r="AG2378" s="9"/>
      <c r="AH2378" s="9"/>
      <c r="AI2378" s="9"/>
      <c r="AJ2378" s="9"/>
      <c r="AK2378" s="9"/>
      <c r="AL2378" s="9"/>
      <c r="AM2378" s="9"/>
      <c r="AN2378" s="9"/>
      <c r="AO2378" s="9"/>
      <c r="AP2378" s="9"/>
      <c r="AQ2378" s="9"/>
      <c r="AR2378" s="9"/>
      <c r="AS2378" s="9"/>
      <c r="AT2378" s="9"/>
      <c r="AU2378" s="9"/>
      <c r="AV2378" s="9"/>
      <c r="AW2378" s="9"/>
      <c r="AX2378" s="9"/>
      <c r="AY2378" s="9"/>
      <c r="AZ2378" s="9"/>
      <c r="BA2378" s="9"/>
      <c r="BB2378" s="9"/>
      <c r="BC2378" s="9"/>
      <c r="BD2378" s="9"/>
      <c r="BE2378" s="9"/>
      <c r="BF2378" s="9"/>
      <c r="BG2378" s="9"/>
      <c r="BH2378" s="9"/>
      <c r="BI2378" s="9"/>
      <c r="BJ2378" s="9"/>
      <c r="BK2378" s="9"/>
      <c r="BL2378" s="9"/>
      <c r="BM2378" s="9"/>
      <c r="BN2378" s="9"/>
      <c r="BO2378" s="9"/>
      <c r="BP2378" s="9"/>
    </row>
    <row r="2379" spans="1:68" s="8" customFormat="1" x14ac:dyDescent="0.2">
      <c r="A2379" s="284"/>
      <c r="B2379" s="284"/>
      <c r="C2379" s="284"/>
      <c r="D2379" s="249" t="s">
        <v>598</v>
      </c>
      <c r="E2379" s="281"/>
      <c r="F2379" s="249"/>
      <c r="G2379" s="249"/>
      <c r="H2379" s="249">
        <v>16118</v>
      </c>
      <c r="I2379" s="251">
        <f t="shared" si="61"/>
        <v>0.39850000000000002</v>
      </c>
      <c r="J2379" s="252" t="s">
        <v>292</v>
      </c>
      <c r="K2379" s="137"/>
      <c r="L2379" s="9"/>
      <c r="M2379" s="9"/>
      <c r="N2379" s="9"/>
      <c r="O2379" s="9"/>
      <c r="P2379" s="9"/>
      <c r="Q2379" s="9"/>
      <c r="R2379" s="9"/>
      <c r="S2379" s="9"/>
      <c r="T2379" s="9"/>
      <c r="U2379" s="9"/>
      <c r="V2379" s="9"/>
      <c r="W2379" s="9"/>
      <c r="X2379" s="9"/>
      <c r="Y2379" s="9"/>
      <c r="Z2379" s="9"/>
      <c r="AA2379" s="9"/>
      <c r="AB2379" s="9"/>
      <c r="AC2379" s="9"/>
      <c r="AD2379" s="9"/>
      <c r="AE2379" s="9"/>
      <c r="AF2379" s="9"/>
      <c r="AG2379" s="9"/>
      <c r="AH2379" s="9"/>
      <c r="AI2379" s="9"/>
      <c r="AJ2379" s="9"/>
      <c r="AK2379" s="9"/>
      <c r="AL2379" s="9"/>
      <c r="AM2379" s="9"/>
      <c r="AN2379" s="9"/>
      <c r="AO2379" s="9"/>
      <c r="AP2379" s="9"/>
      <c r="AQ2379" s="9"/>
      <c r="AR2379" s="9"/>
      <c r="AS2379" s="9"/>
      <c r="AT2379" s="9"/>
      <c r="AU2379" s="9"/>
      <c r="AV2379" s="9"/>
      <c r="AW2379" s="9"/>
      <c r="AX2379" s="9"/>
      <c r="AY2379" s="9"/>
      <c r="AZ2379" s="9"/>
      <c r="BA2379" s="9"/>
      <c r="BB2379" s="9"/>
      <c r="BC2379" s="9"/>
      <c r="BD2379" s="9"/>
      <c r="BE2379" s="9"/>
      <c r="BF2379" s="9"/>
      <c r="BG2379" s="9"/>
      <c r="BH2379" s="9"/>
      <c r="BI2379" s="9"/>
      <c r="BJ2379" s="9"/>
      <c r="BK2379" s="9"/>
      <c r="BL2379" s="9"/>
      <c r="BM2379" s="9"/>
      <c r="BN2379" s="9"/>
      <c r="BO2379" s="9"/>
      <c r="BP2379" s="9"/>
    </row>
    <row r="2380" spans="1:68" s="8" customFormat="1" x14ac:dyDescent="0.2">
      <c r="A2380" s="284"/>
      <c r="B2380" s="284"/>
      <c r="C2380" s="284"/>
      <c r="D2380" s="249" t="s">
        <v>599</v>
      </c>
      <c r="E2380" s="281"/>
      <c r="F2380" s="249"/>
      <c r="G2380" s="249"/>
      <c r="H2380" s="249">
        <v>1009</v>
      </c>
      <c r="I2380" s="251">
        <f t="shared" si="61"/>
        <v>2.4899999999999999E-2</v>
      </c>
      <c r="J2380" s="249"/>
      <c r="K2380" s="137"/>
      <c r="L2380" s="9"/>
      <c r="M2380" s="9"/>
      <c r="N2380" s="9"/>
      <c r="O2380" s="9"/>
      <c r="P2380" s="9"/>
      <c r="Q2380" s="9"/>
      <c r="R2380" s="9"/>
      <c r="S2380" s="9"/>
      <c r="T2380" s="9"/>
      <c r="U2380" s="9"/>
      <c r="V2380" s="9"/>
      <c r="W2380" s="9"/>
      <c r="X2380" s="9"/>
      <c r="Y2380" s="9"/>
      <c r="Z2380" s="9"/>
      <c r="AA2380" s="9"/>
      <c r="AB2380" s="9"/>
      <c r="AC2380" s="9"/>
      <c r="AD2380" s="9"/>
      <c r="AE2380" s="9"/>
      <c r="AF2380" s="9"/>
      <c r="AG2380" s="9"/>
      <c r="AH2380" s="9"/>
      <c r="AI2380" s="9"/>
      <c r="AJ2380" s="9"/>
      <c r="AK2380" s="9"/>
      <c r="AL2380" s="9"/>
      <c r="AM2380" s="9"/>
      <c r="AN2380" s="9"/>
      <c r="AO2380" s="9"/>
      <c r="AP2380" s="9"/>
      <c r="AQ2380" s="9"/>
      <c r="AR2380" s="9"/>
      <c r="AS2380" s="9"/>
      <c r="AT2380" s="9"/>
      <c r="AU2380" s="9"/>
      <c r="AV2380" s="9"/>
      <c r="AW2380" s="9"/>
      <c r="AX2380" s="9"/>
      <c r="AY2380" s="9"/>
      <c r="AZ2380" s="9"/>
      <c r="BA2380" s="9"/>
      <c r="BB2380" s="9"/>
      <c r="BC2380" s="9"/>
      <c r="BD2380" s="9"/>
      <c r="BE2380" s="9"/>
      <c r="BF2380" s="9"/>
      <c r="BG2380" s="9"/>
      <c r="BH2380" s="9"/>
      <c r="BI2380" s="9"/>
      <c r="BJ2380" s="9"/>
      <c r="BK2380" s="9"/>
      <c r="BL2380" s="9"/>
      <c r="BM2380" s="9"/>
      <c r="BN2380" s="9"/>
      <c r="BO2380" s="9"/>
      <c r="BP2380" s="9"/>
    </row>
    <row r="2381" spans="1:68" s="8" customFormat="1" x14ac:dyDescent="0.2">
      <c r="A2381" s="342"/>
      <c r="B2381" s="342"/>
      <c r="C2381" s="342"/>
      <c r="D2381" s="242" t="s">
        <v>600</v>
      </c>
      <c r="E2381" s="362"/>
      <c r="F2381" s="242"/>
      <c r="G2381" s="242"/>
      <c r="H2381" s="242">
        <v>3506</v>
      </c>
      <c r="I2381" s="251">
        <f t="shared" si="61"/>
        <v>8.6699999999999999E-2</v>
      </c>
      <c r="J2381" s="242"/>
      <c r="K2381" s="137"/>
      <c r="L2381" s="9"/>
      <c r="M2381" s="9"/>
      <c r="N2381" s="9"/>
      <c r="O2381" s="9"/>
      <c r="P2381" s="9"/>
      <c r="Q2381" s="9"/>
      <c r="R2381" s="9"/>
      <c r="S2381" s="9"/>
      <c r="T2381" s="9"/>
      <c r="U2381" s="9"/>
      <c r="V2381" s="9"/>
      <c r="W2381" s="9"/>
      <c r="X2381" s="9"/>
      <c r="Y2381" s="9"/>
      <c r="Z2381" s="9"/>
      <c r="AA2381" s="9"/>
      <c r="AB2381" s="9"/>
      <c r="AC2381" s="9"/>
      <c r="AD2381" s="9"/>
      <c r="AE2381" s="9"/>
      <c r="AF2381" s="9"/>
      <c r="AG2381" s="9"/>
      <c r="AH2381" s="9"/>
      <c r="AI2381" s="9"/>
      <c r="AJ2381" s="9"/>
      <c r="AK2381" s="9"/>
      <c r="AL2381" s="9"/>
      <c r="AM2381" s="9"/>
      <c r="AN2381" s="9"/>
      <c r="AO2381" s="9"/>
      <c r="AP2381" s="9"/>
      <c r="AQ2381" s="9"/>
      <c r="AR2381" s="9"/>
      <c r="AS2381" s="9"/>
      <c r="AT2381" s="9"/>
      <c r="AU2381" s="9"/>
      <c r="AV2381" s="9"/>
      <c r="AW2381" s="9"/>
      <c r="AX2381" s="9"/>
      <c r="AY2381" s="9"/>
      <c r="AZ2381" s="9"/>
      <c r="BA2381" s="9"/>
      <c r="BB2381" s="9"/>
      <c r="BC2381" s="9"/>
      <c r="BD2381" s="9"/>
      <c r="BE2381" s="9"/>
      <c r="BF2381" s="9"/>
      <c r="BG2381" s="9"/>
      <c r="BH2381" s="9"/>
      <c r="BI2381" s="9"/>
      <c r="BJ2381" s="9"/>
      <c r="BK2381" s="9"/>
      <c r="BL2381" s="9"/>
      <c r="BM2381" s="9"/>
      <c r="BN2381" s="9"/>
      <c r="BO2381" s="9"/>
      <c r="BP2381" s="9"/>
    </row>
    <row r="2382" spans="1:68" s="8" customFormat="1" x14ac:dyDescent="0.2">
      <c r="A2382" s="342"/>
      <c r="B2382" s="342"/>
      <c r="C2382" s="342"/>
      <c r="D2382" s="242" t="s">
        <v>601</v>
      </c>
      <c r="E2382" s="362"/>
      <c r="F2382" s="242"/>
      <c r="G2382" s="242"/>
      <c r="H2382" s="242">
        <v>14437</v>
      </c>
      <c r="I2382" s="251">
        <f t="shared" si="61"/>
        <v>0.35699999999999998</v>
      </c>
      <c r="J2382" s="252" t="s">
        <v>421</v>
      </c>
      <c r="K2382" s="137"/>
      <c r="L2382" s="9"/>
      <c r="M2382" s="9"/>
      <c r="N2382" s="9"/>
      <c r="O2382" s="9"/>
      <c r="P2382" s="9"/>
      <c r="Q2382" s="9"/>
      <c r="R2382" s="9"/>
      <c r="S2382" s="9"/>
      <c r="T2382" s="9"/>
      <c r="U2382" s="9"/>
      <c r="V2382" s="9"/>
      <c r="W2382" s="9"/>
      <c r="X2382" s="9"/>
      <c r="Y2382" s="9"/>
      <c r="Z2382" s="9"/>
      <c r="AA2382" s="9"/>
      <c r="AB2382" s="9"/>
      <c r="AC2382" s="9"/>
      <c r="AD2382" s="9"/>
      <c r="AE2382" s="9"/>
      <c r="AF2382" s="9"/>
      <c r="AG2382" s="9"/>
      <c r="AH2382" s="9"/>
      <c r="AI2382" s="9"/>
      <c r="AJ2382" s="9"/>
      <c r="AK2382" s="9"/>
      <c r="AL2382" s="9"/>
      <c r="AM2382" s="9"/>
      <c r="AN2382" s="9"/>
      <c r="AO2382" s="9"/>
      <c r="AP2382" s="9"/>
      <c r="AQ2382" s="9"/>
      <c r="AR2382" s="9"/>
      <c r="AS2382" s="9"/>
      <c r="AT2382" s="9"/>
      <c r="AU2382" s="9"/>
      <c r="AV2382" s="9"/>
      <c r="AW2382" s="9"/>
      <c r="AX2382" s="9"/>
      <c r="AY2382" s="9"/>
      <c r="AZ2382" s="9"/>
      <c r="BA2382" s="9"/>
      <c r="BB2382" s="9"/>
      <c r="BC2382" s="9"/>
      <c r="BD2382" s="9"/>
      <c r="BE2382" s="9"/>
      <c r="BF2382" s="9"/>
      <c r="BG2382" s="9"/>
      <c r="BH2382" s="9"/>
      <c r="BI2382" s="9"/>
      <c r="BJ2382" s="9"/>
      <c r="BK2382" s="9"/>
      <c r="BL2382" s="9"/>
      <c r="BM2382" s="9"/>
      <c r="BN2382" s="9"/>
      <c r="BO2382" s="9"/>
      <c r="BP2382" s="9"/>
    </row>
    <row r="2383" spans="1:68" s="8" customFormat="1" x14ac:dyDescent="0.2">
      <c r="A2383" s="342"/>
      <c r="B2383" s="342"/>
      <c r="C2383" s="342"/>
      <c r="D2383" s="242" t="s">
        <v>602</v>
      </c>
      <c r="E2383" s="362"/>
      <c r="F2383" s="242"/>
      <c r="G2383" s="242"/>
      <c r="H2383" s="242">
        <v>4444</v>
      </c>
      <c r="I2383" s="251">
        <f t="shared" si="61"/>
        <v>0.1099</v>
      </c>
      <c r="J2383" s="242"/>
      <c r="K2383" s="137"/>
      <c r="L2383" s="9"/>
      <c r="M2383" s="9"/>
      <c r="N2383" s="9"/>
      <c r="O2383" s="9"/>
      <c r="P2383" s="9"/>
      <c r="Q2383" s="9"/>
      <c r="R2383" s="9"/>
      <c r="S2383" s="9"/>
      <c r="T2383" s="9"/>
      <c r="U2383" s="9"/>
      <c r="V2383" s="9"/>
      <c r="W2383" s="9"/>
      <c r="X2383" s="9"/>
      <c r="Y2383" s="9"/>
      <c r="Z2383" s="9"/>
      <c r="AA2383" s="9"/>
      <c r="AB2383" s="9"/>
      <c r="AC2383" s="9"/>
      <c r="AD2383" s="9"/>
      <c r="AE2383" s="9"/>
      <c r="AF2383" s="9"/>
      <c r="AG2383" s="9"/>
      <c r="AH2383" s="9"/>
      <c r="AI2383" s="9"/>
      <c r="AJ2383" s="9"/>
      <c r="AK2383" s="9"/>
      <c r="AL2383" s="9"/>
      <c r="AM2383" s="9"/>
      <c r="AN2383" s="9"/>
      <c r="AO2383" s="9"/>
      <c r="AP2383" s="9"/>
      <c r="AQ2383" s="9"/>
      <c r="AR2383" s="9"/>
      <c r="AS2383" s="9"/>
      <c r="AT2383" s="9"/>
      <c r="AU2383" s="9"/>
      <c r="AV2383" s="9"/>
      <c r="AW2383" s="9"/>
      <c r="AX2383" s="9"/>
      <c r="AY2383" s="9"/>
      <c r="AZ2383" s="9"/>
      <c r="BA2383" s="9"/>
      <c r="BB2383" s="9"/>
      <c r="BC2383" s="9"/>
      <c r="BD2383" s="9"/>
      <c r="BE2383" s="9"/>
      <c r="BF2383" s="9"/>
      <c r="BG2383" s="9"/>
      <c r="BH2383" s="9"/>
      <c r="BI2383" s="9"/>
      <c r="BJ2383" s="9"/>
      <c r="BK2383" s="9"/>
      <c r="BL2383" s="9"/>
      <c r="BM2383" s="9"/>
      <c r="BN2383" s="9"/>
      <c r="BO2383" s="9"/>
      <c r="BP2383" s="9"/>
    </row>
    <row r="2384" spans="1:68" s="8" customFormat="1" x14ac:dyDescent="0.2">
      <c r="A2384" s="342"/>
      <c r="B2384" s="342"/>
      <c r="C2384" s="342"/>
      <c r="D2384" s="243" t="s">
        <v>33</v>
      </c>
      <c r="E2384" s="362"/>
      <c r="F2384" s="242"/>
      <c r="G2384" s="242"/>
      <c r="H2384" s="282">
        <f>SUM(H2378:H2383)</f>
        <v>40445</v>
      </c>
      <c r="I2384" s="283">
        <f>SUM(I2378:I2383)</f>
        <v>1</v>
      </c>
      <c r="J2384" s="242"/>
      <c r="K2384" s="137"/>
      <c r="L2384" s="9"/>
      <c r="M2384" s="9"/>
      <c r="N2384" s="9"/>
      <c r="O2384" s="9"/>
      <c r="P2384" s="9"/>
      <c r="Q2384" s="9"/>
      <c r="R2384" s="9"/>
      <c r="S2384" s="9"/>
      <c r="T2384" s="9"/>
      <c r="U2384" s="9"/>
      <c r="V2384" s="9"/>
      <c r="W2384" s="9"/>
      <c r="X2384" s="9"/>
      <c r="Y2384" s="9"/>
      <c r="Z2384" s="9"/>
      <c r="AA2384" s="9"/>
      <c r="AB2384" s="9"/>
      <c r="AC2384" s="9"/>
      <c r="AD2384" s="9"/>
      <c r="AE2384" s="9"/>
      <c r="AF2384" s="9"/>
      <c r="AG2384" s="9"/>
      <c r="AH2384" s="9"/>
      <c r="AI2384" s="9"/>
      <c r="AJ2384" s="9"/>
      <c r="AK2384" s="9"/>
      <c r="AL2384" s="9"/>
      <c r="AM2384" s="9"/>
      <c r="AN2384" s="9"/>
      <c r="AO2384" s="9"/>
      <c r="AP2384" s="9"/>
      <c r="AQ2384" s="9"/>
      <c r="AR2384" s="9"/>
      <c r="AS2384" s="9"/>
      <c r="AT2384" s="9"/>
      <c r="AU2384" s="9"/>
      <c r="AV2384" s="9"/>
      <c r="AW2384" s="9"/>
      <c r="AX2384" s="9"/>
      <c r="AY2384" s="9"/>
      <c r="AZ2384" s="9"/>
      <c r="BA2384" s="9"/>
      <c r="BB2384" s="9"/>
      <c r="BC2384" s="9"/>
      <c r="BD2384" s="9"/>
      <c r="BE2384" s="9"/>
      <c r="BF2384" s="9"/>
      <c r="BG2384" s="9"/>
      <c r="BH2384" s="9"/>
      <c r="BI2384" s="9"/>
      <c r="BJ2384" s="9"/>
      <c r="BK2384" s="9"/>
      <c r="BL2384" s="9"/>
      <c r="BM2384" s="9"/>
      <c r="BN2384" s="9"/>
      <c r="BO2384" s="9"/>
      <c r="BP2384" s="9"/>
    </row>
    <row r="2385" spans="1:68" s="8" customFormat="1" x14ac:dyDescent="0.2">
      <c r="A2385" s="342"/>
      <c r="B2385" s="342"/>
      <c r="C2385" s="342"/>
      <c r="D2385" s="242"/>
      <c r="E2385" s="362"/>
      <c r="F2385" s="242"/>
      <c r="G2385" s="242"/>
      <c r="H2385" s="249"/>
      <c r="I2385" s="262"/>
      <c r="J2385" s="242"/>
      <c r="K2385" s="137"/>
      <c r="L2385" s="9"/>
      <c r="M2385" s="9"/>
      <c r="N2385" s="9"/>
      <c r="O2385" s="9"/>
      <c r="P2385" s="9"/>
      <c r="Q2385" s="9"/>
      <c r="R2385" s="9"/>
      <c r="S2385" s="9"/>
      <c r="T2385" s="9"/>
      <c r="U2385" s="9"/>
      <c r="V2385" s="9"/>
      <c r="W2385" s="9"/>
      <c r="X2385" s="9"/>
      <c r="Y2385" s="9"/>
      <c r="Z2385" s="9"/>
      <c r="AA2385" s="9"/>
      <c r="AB2385" s="9"/>
      <c r="AC2385" s="9"/>
      <c r="AD2385" s="9"/>
      <c r="AE2385" s="9"/>
      <c r="AF2385" s="9"/>
      <c r="AG2385" s="9"/>
      <c r="AH2385" s="9"/>
      <c r="AI2385" s="9"/>
      <c r="AJ2385" s="9"/>
      <c r="AK2385" s="9"/>
      <c r="AL2385" s="9"/>
      <c r="AM2385" s="9"/>
      <c r="AN2385" s="9"/>
      <c r="AO2385" s="9"/>
      <c r="AP2385" s="9"/>
      <c r="AQ2385" s="9"/>
      <c r="AR2385" s="9"/>
      <c r="AS2385" s="9"/>
      <c r="AT2385" s="9"/>
      <c r="AU2385" s="9"/>
      <c r="AV2385" s="9"/>
      <c r="AW2385" s="9"/>
      <c r="AX2385" s="9"/>
      <c r="AY2385" s="9"/>
      <c r="AZ2385" s="9"/>
      <c r="BA2385" s="9"/>
      <c r="BB2385" s="9"/>
      <c r="BC2385" s="9"/>
      <c r="BD2385" s="9"/>
      <c r="BE2385" s="9"/>
      <c r="BF2385" s="9"/>
      <c r="BG2385" s="9"/>
      <c r="BH2385" s="9"/>
      <c r="BI2385" s="9"/>
      <c r="BJ2385" s="9"/>
      <c r="BK2385" s="9"/>
      <c r="BL2385" s="9"/>
      <c r="BM2385" s="9"/>
      <c r="BN2385" s="9"/>
      <c r="BO2385" s="9"/>
      <c r="BP2385" s="9"/>
    </row>
    <row r="2386" spans="1:68" s="8" customFormat="1" x14ac:dyDescent="0.2">
      <c r="A2386" s="261" t="s">
        <v>128</v>
      </c>
      <c r="B2386" s="261"/>
      <c r="C2386" s="261" t="s">
        <v>291</v>
      </c>
      <c r="D2386" s="249" t="s">
        <v>684</v>
      </c>
      <c r="E2386" s="281">
        <v>42339</v>
      </c>
      <c r="F2386" s="303">
        <v>12183639</v>
      </c>
      <c r="G2386" s="249">
        <v>30000</v>
      </c>
      <c r="H2386" s="249"/>
      <c r="I2386" s="262"/>
      <c r="J2386" s="249"/>
      <c r="K2386" s="137"/>
      <c r="L2386" s="9"/>
      <c r="M2386" s="9"/>
      <c r="N2386" s="9"/>
      <c r="O2386" s="9"/>
      <c r="P2386" s="9"/>
      <c r="Q2386" s="9"/>
      <c r="R2386" s="9"/>
      <c r="S2386" s="9"/>
      <c r="T2386" s="9"/>
      <c r="U2386" s="9"/>
      <c r="V2386" s="9"/>
      <c r="W2386" s="9"/>
      <c r="X2386" s="9"/>
      <c r="Y2386" s="9"/>
      <c r="Z2386" s="9"/>
      <c r="AA2386" s="9"/>
      <c r="AB2386" s="9"/>
      <c r="AC2386" s="9"/>
      <c r="AD2386" s="9"/>
      <c r="AE2386" s="9"/>
      <c r="AF2386" s="9"/>
      <c r="AG2386" s="9"/>
      <c r="AH2386" s="9"/>
      <c r="AI2386" s="9"/>
      <c r="AJ2386" s="9"/>
      <c r="AK2386" s="9"/>
      <c r="AL2386" s="9"/>
      <c r="AM2386" s="9"/>
      <c r="AN2386" s="9"/>
      <c r="AO2386" s="9"/>
      <c r="AP2386" s="9"/>
      <c r="AQ2386" s="9"/>
      <c r="AR2386" s="9"/>
      <c r="AS2386" s="9"/>
      <c r="AT2386" s="9"/>
      <c r="AU2386" s="9"/>
      <c r="AV2386" s="9"/>
      <c r="AW2386" s="9"/>
      <c r="AX2386" s="9"/>
      <c r="AY2386" s="9"/>
      <c r="AZ2386" s="9"/>
      <c r="BA2386" s="9"/>
      <c r="BB2386" s="9"/>
      <c r="BC2386" s="9"/>
      <c r="BD2386" s="9"/>
      <c r="BE2386" s="9"/>
      <c r="BF2386" s="9"/>
      <c r="BG2386" s="9"/>
      <c r="BH2386" s="9"/>
      <c r="BI2386" s="9"/>
      <c r="BJ2386" s="9"/>
      <c r="BK2386" s="9"/>
      <c r="BL2386" s="9"/>
      <c r="BM2386" s="9"/>
      <c r="BN2386" s="9"/>
      <c r="BO2386" s="9"/>
      <c r="BP2386" s="9"/>
    </row>
    <row r="2387" spans="1:68" s="8" customFormat="1" x14ac:dyDescent="0.2">
      <c r="A2387" s="342"/>
      <c r="B2387" s="342"/>
      <c r="C2387" s="342"/>
      <c r="D2387" s="242" t="s">
        <v>597</v>
      </c>
      <c r="E2387" s="362"/>
      <c r="F2387" s="242"/>
      <c r="G2387" s="242"/>
      <c r="H2387" s="249">
        <v>4129</v>
      </c>
      <c r="I2387" s="262">
        <f>H2387/$H$2393</f>
        <v>0.21440440336483541</v>
      </c>
      <c r="J2387" s="253" t="s">
        <v>16</v>
      </c>
      <c r="K2387" s="137"/>
      <c r="L2387" s="9"/>
      <c r="M2387" s="9"/>
      <c r="N2387" s="9"/>
      <c r="O2387" s="9"/>
      <c r="P2387" s="9"/>
      <c r="Q2387" s="9"/>
      <c r="R2387" s="9"/>
      <c r="S2387" s="9"/>
      <c r="T2387" s="9"/>
      <c r="U2387" s="9"/>
      <c r="V2387" s="9"/>
      <c r="W2387" s="9"/>
      <c r="X2387" s="9"/>
      <c r="Y2387" s="9"/>
      <c r="Z2387" s="9"/>
      <c r="AA2387" s="9"/>
      <c r="AB2387" s="9"/>
      <c r="AC2387" s="9"/>
      <c r="AD2387" s="9"/>
      <c r="AE2387" s="9"/>
      <c r="AF2387" s="9"/>
      <c r="AG2387" s="9"/>
      <c r="AH2387" s="9"/>
      <c r="AI2387" s="9"/>
      <c r="AJ2387" s="9"/>
      <c r="AK2387" s="9"/>
      <c r="AL2387" s="9"/>
      <c r="AM2387" s="9"/>
      <c r="AN2387" s="9"/>
      <c r="AO2387" s="9"/>
      <c r="AP2387" s="9"/>
      <c r="AQ2387" s="9"/>
      <c r="AR2387" s="9"/>
      <c r="AS2387" s="9"/>
      <c r="AT2387" s="9"/>
      <c r="AU2387" s="9"/>
      <c r="AV2387" s="9"/>
      <c r="AW2387" s="9"/>
      <c r="AX2387" s="9"/>
      <c r="AY2387" s="9"/>
      <c r="AZ2387" s="9"/>
      <c r="BA2387" s="9"/>
      <c r="BB2387" s="9"/>
      <c r="BC2387" s="9"/>
      <c r="BD2387" s="9"/>
      <c r="BE2387" s="9"/>
      <c r="BF2387" s="9"/>
      <c r="BG2387" s="9"/>
      <c r="BH2387" s="9"/>
      <c r="BI2387" s="9"/>
      <c r="BJ2387" s="9"/>
      <c r="BK2387" s="9"/>
      <c r="BL2387" s="9"/>
      <c r="BM2387" s="9"/>
      <c r="BN2387" s="9"/>
      <c r="BO2387" s="9"/>
      <c r="BP2387" s="9"/>
    </row>
    <row r="2388" spans="1:68" s="8" customFormat="1" x14ac:dyDescent="0.2">
      <c r="A2388" s="342"/>
      <c r="B2388" s="342"/>
      <c r="C2388" s="342"/>
      <c r="D2388" s="242" t="s">
        <v>646</v>
      </c>
      <c r="E2388" s="362"/>
      <c r="F2388" s="242"/>
      <c r="G2388" s="242"/>
      <c r="H2388" s="249">
        <v>3372</v>
      </c>
      <c r="I2388" s="262">
        <f t="shared" ref="I2388:I2393" si="62">H2388/$H$2393</f>
        <v>0.17509606397341365</v>
      </c>
      <c r="J2388" s="253" t="s">
        <v>108</v>
      </c>
      <c r="K2388" s="137"/>
      <c r="L2388" s="9"/>
      <c r="M2388" s="9"/>
      <c r="N2388" s="9"/>
      <c r="O2388" s="9"/>
      <c r="P2388" s="9"/>
      <c r="Q2388" s="9"/>
      <c r="R2388" s="9"/>
      <c r="S2388" s="9"/>
      <c r="T2388" s="9"/>
      <c r="U2388" s="9"/>
      <c r="V2388" s="9"/>
      <c r="W2388" s="9"/>
      <c r="X2388" s="9"/>
      <c r="Y2388" s="9"/>
      <c r="Z2388" s="9"/>
      <c r="AA2388" s="9"/>
      <c r="AB2388" s="9"/>
      <c r="AC2388" s="9"/>
      <c r="AD2388" s="9"/>
      <c r="AE2388" s="9"/>
      <c r="AF2388" s="9"/>
      <c r="AG2388" s="9"/>
      <c r="AH2388" s="9"/>
      <c r="AI2388" s="9"/>
      <c r="AJ2388" s="9"/>
      <c r="AK2388" s="9"/>
      <c r="AL2388" s="9"/>
      <c r="AM2388" s="9"/>
      <c r="AN2388" s="9"/>
      <c r="AO2388" s="9"/>
      <c r="AP2388" s="9"/>
      <c r="AQ2388" s="9"/>
      <c r="AR2388" s="9"/>
      <c r="AS2388" s="9"/>
      <c r="AT2388" s="9"/>
      <c r="AU2388" s="9"/>
      <c r="AV2388" s="9"/>
      <c r="AW2388" s="9"/>
      <c r="AX2388" s="9"/>
      <c r="AY2388" s="9"/>
      <c r="AZ2388" s="9"/>
      <c r="BA2388" s="9"/>
      <c r="BB2388" s="9"/>
      <c r="BC2388" s="9"/>
      <c r="BD2388" s="9"/>
      <c r="BE2388" s="9"/>
      <c r="BF2388" s="9"/>
      <c r="BG2388" s="9"/>
      <c r="BH2388" s="9"/>
      <c r="BI2388" s="9"/>
      <c r="BJ2388" s="9"/>
      <c r="BK2388" s="9"/>
      <c r="BL2388" s="9"/>
      <c r="BM2388" s="9"/>
      <c r="BN2388" s="9"/>
      <c r="BO2388" s="9"/>
      <c r="BP2388" s="9"/>
    </row>
    <row r="2389" spans="1:68" s="9" customFormat="1" x14ac:dyDescent="0.2">
      <c r="A2389" s="342"/>
      <c r="B2389" s="342"/>
      <c r="C2389" s="342"/>
      <c r="D2389" s="242" t="s">
        <v>620</v>
      </c>
      <c r="E2389" s="362"/>
      <c r="F2389" s="242"/>
      <c r="G2389" s="242"/>
      <c r="H2389" s="249">
        <v>6566</v>
      </c>
      <c r="I2389" s="262">
        <f t="shared" si="62"/>
        <v>0.34094921591027105</v>
      </c>
      <c r="J2389" s="253" t="s">
        <v>109</v>
      </c>
      <c r="K2389" s="137"/>
    </row>
    <row r="2390" spans="1:68" s="8" customFormat="1" x14ac:dyDescent="0.2">
      <c r="A2390" s="342"/>
      <c r="B2390" s="342"/>
      <c r="C2390" s="342"/>
      <c r="D2390" s="242" t="s">
        <v>599</v>
      </c>
      <c r="E2390" s="362"/>
      <c r="F2390" s="242"/>
      <c r="G2390" s="242"/>
      <c r="H2390" s="249">
        <v>494</v>
      </c>
      <c r="I2390" s="262">
        <f t="shared" si="62"/>
        <v>2.5651677225049331E-2</v>
      </c>
      <c r="J2390" s="242"/>
      <c r="K2390" s="137"/>
      <c r="L2390" s="9"/>
      <c r="M2390" s="9"/>
      <c r="N2390" s="9"/>
      <c r="O2390" s="9"/>
      <c r="P2390" s="9"/>
      <c r="Q2390" s="9"/>
      <c r="R2390" s="9"/>
      <c r="S2390" s="9"/>
      <c r="T2390" s="9"/>
      <c r="U2390" s="9"/>
      <c r="V2390" s="9"/>
      <c r="W2390" s="9"/>
      <c r="X2390" s="9"/>
      <c r="Y2390" s="9"/>
      <c r="Z2390" s="9"/>
      <c r="AA2390" s="9"/>
      <c r="AB2390" s="9"/>
      <c r="AC2390" s="9"/>
      <c r="AD2390" s="9"/>
      <c r="AE2390" s="9"/>
      <c r="AF2390" s="9"/>
      <c r="AG2390" s="9"/>
      <c r="AH2390" s="9"/>
      <c r="AI2390" s="9"/>
      <c r="AJ2390" s="9"/>
      <c r="AK2390" s="9"/>
      <c r="AL2390" s="9"/>
      <c r="AM2390" s="9"/>
      <c r="AN2390" s="9"/>
      <c r="AO2390" s="9"/>
      <c r="AP2390" s="9"/>
      <c r="AQ2390" s="9"/>
      <c r="AR2390" s="9"/>
      <c r="AS2390" s="9"/>
      <c r="AT2390" s="9"/>
      <c r="AU2390" s="9"/>
      <c r="AV2390" s="9"/>
      <c r="AW2390" s="9"/>
      <c r="AX2390" s="9"/>
      <c r="AY2390" s="9"/>
      <c r="AZ2390" s="9"/>
      <c r="BA2390" s="9"/>
      <c r="BB2390" s="9"/>
      <c r="BC2390" s="9"/>
      <c r="BD2390" s="9"/>
      <c r="BE2390" s="9"/>
      <c r="BF2390" s="9"/>
      <c r="BG2390" s="9"/>
      <c r="BH2390" s="9"/>
      <c r="BI2390" s="9"/>
      <c r="BJ2390" s="9"/>
      <c r="BK2390" s="9"/>
      <c r="BL2390" s="9"/>
      <c r="BM2390" s="9"/>
      <c r="BN2390" s="9"/>
      <c r="BO2390" s="9"/>
      <c r="BP2390" s="9"/>
    </row>
    <row r="2391" spans="1:68" s="8" customFormat="1" x14ac:dyDescent="0.2">
      <c r="A2391" s="342"/>
      <c r="B2391" s="342"/>
      <c r="C2391" s="342"/>
      <c r="D2391" s="242" t="s">
        <v>600</v>
      </c>
      <c r="E2391" s="362"/>
      <c r="F2391" s="242"/>
      <c r="G2391" s="242"/>
      <c r="H2391" s="249">
        <v>2242</v>
      </c>
      <c r="I2391" s="262">
        <f t="shared" si="62"/>
        <v>0.11641915048291619</v>
      </c>
      <c r="J2391" s="242"/>
      <c r="K2391" s="137"/>
      <c r="L2391" s="9"/>
      <c r="M2391" s="9"/>
      <c r="N2391" s="9"/>
      <c r="O2391" s="9"/>
      <c r="P2391" s="9"/>
      <c r="Q2391" s="9"/>
      <c r="R2391" s="9"/>
      <c r="S2391" s="9"/>
      <c r="T2391" s="9"/>
      <c r="U2391" s="9"/>
      <c r="V2391" s="9"/>
      <c r="W2391" s="9"/>
      <c r="X2391" s="9"/>
      <c r="Y2391" s="9"/>
      <c r="Z2391" s="9"/>
      <c r="AA2391" s="9"/>
      <c r="AB2391" s="9"/>
      <c r="AC2391" s="9"/>
      <c r="AD2391" s="9"/>
      <c r="AE2391" s="9"/>
      <c r="AF2391" s="9"/>
      <c r="AG2391" s="9"/>
      <c r="AH2391" s="9"/>
      <c r="AI2391" s="9"/>
      <c r="AJ2391" s="9"/>
      <c r="AK2391" s="9"/>
      <c r="AL2391" s="9"/>
      <c r="AM2391" s="9"/>
      <c r="AN2391" s="9"/>
      <c r="AO2391" s="9"/>
      <c r="AP2391" s="9"/>
      <c r="AQ2391" s="9"/>
      <c r="AR2391" s="9"/>
      <c r="AS2391" s="9"/>
      <c r="AT2391" s="9"/>
      <c r="AU2391" s="9"/>
      <c r="AV2391" s="9"/>
      <c r="AW2391" s="9"/>
      <c r="AX2391" s="9"/>
      <c r="AY2391" s="9"/>
      <c r="AZ2391" s="9"/>
      <c r="BA2391" s="9"/>
      <c r="BB2391" s="9"/>
      <c r="BC2391" s="9"/>
      <c r="BD2391" s="9"/>
      <c r="BE2391" s="9"/>
      <c r="BF2391" s="9"/>
      <c r="BG2391" s="9"/>
      <c r="BH2391" s="9"/>
      <c r="BI2391" s="9"/>
      <c r="BJ2391" s="9"/>
      <c r="BK2391" s="9"/>
      <c r="BL2391" s="9"/>
      <c r="BM2391" s="9"/>
      <c r="BN2391" s="9"/>
      <c r="BO2391" s="9"/>
      <c r="BP2391" s="9"/>
    </row>
    <row r="2392" spans="1:68" s="8" customFormat="1" x14ac:dyDescent="0.2">
      <c r="A2392" s="342"/>
      <c r="B2392" s="342"/>
      <c r="C2392" s="342"/>
      <c r="D2392" s="242" t="s">
        <v>605</v>
      </c>
      <c r="E2392" s="362"/>
      <c r="F2392" s="242"/>
      <c r="G2392" s="242"/>
      <c r="H2392" s="249">
        <v>2455</v>
      </c>
      <c r="I2392" s="262">
        <f t="shared" si="62"/>
        <v>0.12747948904351439</v>
      </c>
      <c r="J2392" s="242"/>
      <c r="K2392" s="137"/>
      <c r="L2392" s="9"/>
      <c r="M2392" s="9"/>
      <c r="N2392" s="9"/>
      <c r="O2392" s="9"/>
      <c r="P2392" s="9"/>
      <c r="Q2392" s="9"/>
      <c r="R2392" s="9"/>
      <c r="S2392" s="9"/>
      <c r="T2392" s="9"/>
      <c r="U2392" s="9"/>
      <c r="V2392" s="9"/>
      <c r="W2392" s="9"/>
      <c r="X2392" s="9"/>
      <c r="Y2392" s="9"/>
      <c r="Z2392" s="9"/>
      <c r="AA2392" s="9"/>
      <c r="AB2392" s="9"/>
      <c r="AC2392" s="9"/>
      <c r="AD2392" s="9"/>
      <c r="AE2392" s="9"/>
      <c r="AF2392" s="9"/>
      <c r="AG2392" s="9"/>
      <c r="AH2392" s="9"/>
      <c r="AI2392" s="9"/>
      <c r="AJ2392" s="9"/>
      <c r="AK2392" s="9"/>
      <c r="AL2392" s="9"/>
      <c r="AM2392" s="9"/>
      <c r="AN2392" s="9"/>
      <c r="AO2392" s="9"/>
      <c r="AP2392" s="9"/>
      <c r="AQ2392" s="9"/>
      <c r="AR2392" s="9"/>
      <c r="AS2392" s="9"/>
      <c r="AT2392" s="9"/>
      <c r="AU2392" s="9"/>
      <c r="AV2392" s="9"/>
      <c r="AW2392" s="9"/>
      <c r="AX2392" s="9"/>
      <c r="AY2392" s="9"/>
      <c r="AZ2392" s="9"/>
      <c r="BA2392" s="9"/>
      <c r="BB2392" s="9"/>
      <c r="BC2392" s="9"/>
      <c r="BD2392" s="9"/>
      <c r="BE2392" s="9"/>
      <c r="BF2392" s="9"/>
      <c r="BG2392" s="9"/>
      <c r="BH2392" s="9"/>
      <c r="BI2392" s="9"/>
      <c r="BJ2392" s="9"/>
      <c r="BK2392" s="9"/>
      <c r="BL2392" s="9"/>
      <c r="BM2392" s="9"/>
      <c r="BN2392" s="9"/>
      <c r="BO2392" s="9"/>
      <c r="BP2392" s="9"/>
    </row>
    <row r="2393" spans="1:68" s="8" customFormat="1" x14ac:dyDescent="0.2">
      <c r="A2393" s="342"/>
      <c r="B2393" s="342"/>
      <c r="C2393" s="342"/>
      <c r="D2393" s="343" t="s">
        <v>33</v>
      </c>
      <c r="E2393" s="362"/>
      <c r="F2393" s="242"/>
      <c r="G2393" s="242"/>
      <c r="H2393" s="282">
        <f>SUM(H2387:H2392)</f>
        <v>19258</v>
      </c>
      <c r="I2393" s="283">
        <f t="shared" si="62"/>
        <v>1</v>
      </c>
      <c r="J2393" s="242"/>
      <c r="K2393" s="137"/>
      <c r="L2393" s="9"/>
      <c r="M2393" s="9"/>
      <c r="N2393" s="9"/>
      <c r="O2393" s="9"/>
      <c r="P2393" s="9"/>
      <c r="Q2393" s="9"/>
      <c r="R2393" s="9"/>
      <c r="S2393" s="9"/>
      <c r="T2393" s="9"/>
      <c r="U2393" s="9"/>
      <c r="V2393" s="9"/>
      <c r="W2393" s="9"/>
      <c r="X2393" s="9"/>
      <c r="Y2393" s="9"/>
      <c r="Z2393" s="9"/>
      <c r="AA2393" s="9"/>
      <c r="AB2393" s="9"/>
      <c r="AC2393" s="9"/>
      <c r="AD2393" s="9"/>
      <c r="AE2393" s="9"/>
      <c r="AF2393" s="9"/>
      <c r="AG2393" s="9"/>
      <c r="AH2393" s="9"/>
      <c r="AI2393" s="9"/>
      <c r="AJ2393" s="9"/>
      <c r="AK2393" s="9"/>
      <c r="AL2393" s="9"/>
      <c r="AM2393" s="9"/>
      <c r="AN2393" s="9"/>
      <c r="AO2393" s="9"/>
      <c r="AP2393" s="9"/>
      <c r="AQ2393" s="9"/>
      <c r="AR2393" s="9"/>
      <c r="AS2393" s="9"/>
      <c r="AT2393" s="9"/>
      <c r="AU2393" s="9"/>
      <c r="AV2393" s="9"/>
      <c r="AW2393" s="9"/>
      <c r="AX2393" s="9"/>
      <c r="AY2393" s="9"/>
      <c r="AZ2393" s="9"/>
      <c r="BA2393" s="9"/>
      <c r="BB2393" s="9"/>
      <c r="BC2393" s="9"/>
      <c r="BD2393" s="9"/>
      <c r="BE2393" s="9"/>
      <c r="BF2393" s="9"/>
      <c r="BG2393" s="9"/>
      <c r="BH2393" s="9"/>
      <c r="BI2393" s="9"/>
      <c r="BJ2393" s="9"/>
      <c r="BK2393" s="9"/>
      <c r="BL2393" s="9"/>
      <c r="BM2393" s="9"/>
      <c r="BN2393" s="9"/>
      <c r="BO2393" s="9"/>
      <c r="BP2393" s="9"/>
    </row>
    <row r="2394" spans="1:68" s="8" customFormat="1" x14ac:dyDescent="0.2">
      <c r="A2394" s="342"/>
      <c r="B2394" s="342"/>
      <c r="C2394" s="342"/>
      <c r="D2394" s="242"/>
      <c r="E2394" s="362"/>
      <c r="F2394" s="242"/>
      <c r="G2394" s="242"/>
      <c r="H2394" s="249"/>
      <c r="I2394" s="262"/>
      <c r="J2394" s="242"/>
      <c r="K2394" s="137"/>
      <c r="L2394" s="9"/>
      <c r="M2394" s="9"/>
      <c r="N2394" s="9"/>
      <c r="O2394" s="9"/>
      <c r="P2394" s="9"/>
      <c r="Q2394" s="9"/>
      <c r="R2394" s="9"/>
      <c r="S2394" s="9"/>
      <c r="T2394" s="9"/>
      <c r="U2394" s="9"/>
      <c r="V2394" s="9"/>
      <c r="W2394" s="9"/>
      <c r="X2394" s="9"/>
      <c r="Y2394" s="9"/>
      <c r="Z2394" s="9"/>
      <c r="AA2394" s="9"/>
      <c r="AB2394" s="9"/>
      <c r="AC2394" s="9"/>
      <c r="AD2394" s="9"/>
      <c r="AE2394" s="9"/>
      <c r="AF2394" s="9"/>
      <c r="AG2394" s="9"/>
      <c r="AH2394" s="9"/>
      <c r="AI2394" s="9"/>
      <c r="AJ2394" s="9"/>
      <c r="AK2394" s="9"/>
      <c r="AL2394" s="9"/>
      <c r="AM2394" s="9"/>
      <c r="AN2394" s="9"/>
      <c r="AO2394" s="9"/>
      <c r="AP2394" s="9"/>
      <c r="AQ2394" s="9"/>
      <c r="AR2394" s="9"/>
      <c r="AS2394" s="9"/>
      <c r="AT2394" s="9"/>
      <c r="AU2394" s="9"/>
      <c r="AV2394" s="9"/>
      <c r="AW2394" s="9"/>
      <c r="AX2394" s="9"/>
      <c r="AY2394" s="9"/>
      <c r="AZ2394" s="9"/>
      <c r="BA2394" s="9"/>
      <c r="BB2394" s="9"/>
      <c r="BC2394" s="9"/>
      <c r="BD2394" s="9"/>
      <c r="BE2394" s="9"/>
      <c r="BF2394" s="9"/>
      <c r="BG2394" s="9"/>
      <c r="BH2394" s="9"/>
      <c r="BI2394" s="9"/>
      <c r="BJ2394" s="9"/>
      <c r="BK2394" s="9"/>
      <c r="BL2394" s="9"/>
      <c r="BM2394" s="9"/>
      <c r="BN2394" s="9"/>
      <c r="BO2394" s="9"/>
      <c r="BP2394" s="9"/>
    </row>
    <row r="2395" spans="1:68" s="8" customFormat="1" x14ac:dyDescent="0.2">
      <c r="A2395" s="253" t="s">
        <v>603</v>
      </c>
      <c r="B2395" s="242"/>
      <c r="C2395" s="343" t="s">
        <v>291</v>
      </c>
      <c r="D2395" s="242" t="s">
        <v>604</v>
      </c>
      <c r="E2395" s="362">
        <v>40210</v>
      </c>
      <c r="F2395" s="242">
        <v>8582133</v>
      </c>
      <c r="G2395" s="242">
        <v>35622</v>
      </c>
      <c r="H2395" s="249"/>
      <c r="I2395" s="262"/>
      <c r="J2395" s="242"/>
      <c r="K2395" s="137"/>
      <c r="L2395" s="9"/>
      <c r="M2395" s="9"/>
      <c r="N2395" s="9"/>
      <c r="O2395" s="9"/>
      <c r="P2395" s="9"/>
      <c r="Q2395" s="9"/>
      <c r="R2395" s="9"/>
      <c r="S2395" s="9"/>
      <c r="T2395" s="9"/>
      <c r="U2395" s="9"/>
      <c r="V2395" s="9"/>
      <c r="W2395" s="9"/>
      <c r="X2395" s="9"/>
      <c r="Y2395" s="9"/>
      <c r="Z2395" s="9"/>
      <c r="AA2395" s="9"/>
      <c r="AB2395" s="9"/>
      <c r="AC2395" s="9"/>
      <c r="AD2395" s="9"/>
      <c r="AE2395" s="9"/>
      <c r="AF2395" s="9"/>
      <c r="AG2395" s="9"/>
      <c r="AH2395" s="9"/>
      <c r="AI2395" s="9"/>
      <c r="AJ2395" s="9"/>
      <c r="AK2395" s="9"/>
      <c r="AL2395" s="9"/>
      <c r="AM2395" s="9"/>
      <c r="AN2395" s="9"/>
      <c r="AO2395" s="9"/>
      <c r="AP2395" s="9"/>
      <c r="AQ2395" s="9"/>
      <c r="AR2395" s="9"/>
      <c r="AS2395" s="9"/>
      <c r="AT2395" s="9"/>
      <c r="AU2395" s="9"/>
      <c r="AV2395" s="9"/>
      <c r="AW2395" s="9"/>
      <c r="AX2395" s="9"/>
      <c r="AY2395" s="9"/>
      <c r="AZ2395" s="9"/>
      <c r="BA2395" s="9"/>
      <c r="BB2395" s="9"/>
      <c r="BC2395" s="9"/>
      <c r="BD2395" s="9"/>
      <c r="BE2395" s="9"/>
      <c r="BF2395" s="9"/>
      <c r="BG2395" s="9"/>
      <c r="BH2395" s="9"/>
      <c r="BI2395" s="9"/>
      <c r="BJ2395" s="9"/>
      <c r="BK2395" s="9"/>
      <c r="BL2395" s="9"/>
      <c r="BM2395" s="9"/>
      <c r="BN2395" s="9"/>
      <c r="BO2395" s="9"/>
      <c r="BP2395" s="9"/>
    </row>
    <row r="2396" spans="1:68" s="8" customFormat="1" x14ac:dyDescent="0.2">
      <c r="A2396" s="242"/>
      <c r="B2396" s="242"/>
      <c r="C2396" s="342"/>
      <c r="D2396" s="242" t="s">
        <v>597</v>
      </c>
      <c r="E2396" s="362"/>
      <c r="F2396" s="242"/>
      <c r="G2396" s="242"/>
      <c r="H2396" s="249">
        <v>7314</v>
      </c>
      <c r="I2396" s="251">
        <f>ROUND(H2396/$H$2400,4)</f>
        <v>0.40089999999999998</v>
      </c>
      <c r="J2396" s="252" t="s">
        <v>263</v>
      </c>
      <c r="K2396" s="137"/>
      <c r="L2396" s="9"/>
      <c r="M2396" s="9"/>
      <c r="N2396" s="9"/>
      <c r="O2396" s="9"/>
      <c r="P2396" s="9"/>
      <c r="Q2396" s="9"/>
      <c r="R2396" s="9"/>
      <c r="S2396" s="9"/>
      <c r="T2396" s="9"/>
      <c r="U2396" s="9"/>
      <c r="V2396" s="9"/>
      <c r="W2396" s="9"/>
      <c r="X2396" s="9"/>
      <c r="Y2396" s="9"/>
      <c r="Z2396" s="9"/>
      <c r="AA2396" s="9"/>
      <c r="AB2396" s="9"/>
      <c r="AC2396" s="9"/>
      <c r="AD2396" s="9"/>
      <c r="AE2396" s="9"/>
      <c r="AF2396" s="9"/>
      <c r="AG2396" s="9"/>
      <c r="AH2396" s="9"/>
      <c r="AI2396" s="9"/>
      <c r="AJ2396" s="9"/>
      <c r="AK2396" s="9"/>
      <c r="AL2396" s="9"/>
      <c r="AM2396" s="9"/>
      <c r="AN2396" s="9"/>
      <c r="AO2396" s="9"/>
      <c r="AP2396" s="9"/>
      <c r="AQ2396" s="9"/>
      <c r="AR2396" s="9"/>
      <c r="AS2396" s="9"/>
      <c r="AT2396" s="9"/>
      <c r="AU2396" s="9"/>
      <c r="AV2396" s="9"/>
      <c r="AW2396" s="9"/>
      <c r="AX2396" s="9"/>
      <c r="AY2396" s="9"/>
      <c r="AZ2396" s="9"/>
      <c r="BA2396" s="9"/>
      <c r="BB2396" s="9"/>
      <c r="BC2396" s="9"/>
      <c r="BD2396" s="9"/>
      <c r="BE2396" s="9"/>
      <c r="BF2396" s="9"/>
      <c r="BG2396" s="9"/>
      <c r="BH2396" s="9"/>
      <c r="BI2396" s="9"/>
      <c r="BJ2396" s="9"/>
      <c r="BK2396" s="9"/>
      <c r="BL2396" s="9"/>
      <c r="BM2396" s="9"/>
      <c r="BN2396" s="9"/>
      <c r="BO2396" s="9"/>
      <c r="BP2396" s="9"/>
    </row>
    <row r="2397" spans="1:68" s="8" customFormat="1" x14ac:dyDescent="0.2">
      <c r="A2397" s="242"/>
      <c r="B2397" s="242"/>
      <c r="C2397" s="342"/>
      <c r="D2397" s="242" t="s">
        <v>598</v>
      </c>
      <c r="E2397" s="362"/>
      <c r="F2397" s="242"/>
      <c r="G2397" s="242"/>
      <c r="H2397" s="249">
        <v>1352</v>
      </c>
      <c r="I2397" s="251">
        <f>ROUND(H2397/$H$2400,4)</f>
        <v>7.4099999999999999E-2</v>
      </c>
      <c r="J2397" s="242"/>
      <c r="K2397" s="137"/>
      <c r="L2397" s="9"/>
      <c r="M2397" s="9"/>
      <c r="N2397" s="9"/>
      <c r="O2397" s="9"/>
      <c r="P2397" s="9"/>
      <c r="Q2397" s="9"/>
      <c r="R2397" s="9"/>
      <c r="S2397" s="9"/>
      <c r="T2397" s="9"/>
      <c r="U2397" s="9"/>
      <c r="V2397" s="9"/>
      <c r="W2397" s="9"/>
      <c r="X2397" s="9"/>
      <c r="Y2397" s="9"/>
      <c r="Z2397" s="9"/>
      <c r="AA2397" s="9"/>
      <c r="AB2397" s="9"/>
      <c r="AC2397" s="9"/>
      <c r="AD2397" s="9"/>
      <c r="AE2397" s="9"/>
      <c r="AF2397" s="9"/>
      <c r="AG2397" s="9"/>
      <c r="AH2397" s="9"/>
      <c r="AI2397" s="9"/>
      <c r="AJ2397" s="9"/>
      <c r="AK2397" s="9"/>
      <c r="AL2397" s="9"/>
      <c r="AM2397" s="9"/>
      <c r="AN2397" s="9"/>
      <c r="AO2397" s="9"/>
      <c r="AP2397" s="9"/>
      <c r="AQ2397" s="9"/>
      <c r="AR2397" s="9"/>
      <c r="AS2397" s="9"/>
      <c r="AT2397" s="9"/>
      <c r="AU2397" s="9"/>
      <c r="AV2397" s="9"/>
      <c r="AW2397" s="9"/>
      <c r="AX2397" s="9"/>
      <c r="AY2397" s="9"/>
      <c r="AZ2397" s="9"/>
      <c r="BA2397" s="9"/>
      <c r="BB2397" s="9"/>
      <c r="BC2397" s="9"/>
      <c r="BD2397" s="9"/>
      <c r="BE2397" s="9"/>
      <c r="BF2397" s="9"/>
      <c r="BG2397" s="9"/>
      <c r="BH2397" s="9"/>
      <c r="BI2397" s="9"/>
      <c r="BJ2397" s="9"/>
      <c r="BK2397" s="9"/>
      <c r="BL2397" s="9"/>
      <c r="BM2397" s="9"/>
      <c r="BN2397" s="9"/>
      <c r="BO2397" s="9"/>
      <c r="BP2397" s="9"/>
    </row>
    <row r="2398" spans="1:68" s="8" customFormat="1" x14ac:dyDescent="0.2">
      <c r="A2398" s="242"/>
      <c r="B2398" s="242"/>
      <c r="C2398" s="342"/>
      <c r="D2398" s="242" t="s">
        <v>605</v>
      </c>
      <c r="E2398" s="362"/>
      <c r="F2398" s="242"/>
      <c r="G2398" s="242"/>
      <c r="H2398" s="249">
        <v>8615</v>
      </c>
      <c r="I2398" s="251">
        <f>ROUND(H2398/$H$2400,4)</f>
        <v>0.47220000000000001</v>
      </c>
      <c r="J2398" s="252" t="s">
        <v>421</v>
      </c>
      <c r="K2398" s="137"/>
      <c r="L2398" s="9"/>
      <c r="M2398" s="9"/>
      <c r="N2398" s="9"/>
      <c r="O2398" s="9"/>
      <c r="P2398" s="9"/>
      <c r="Q2398" s="9"/>
      <c r="R2398" s="9"/>
      <c r="S2398" s="9"/>
      <c r="T2398" s="9"/>
      <c r="U2398" s="9"/>
      <c r="V2398" s="9"/>
      <c r="W2398" s="9"/>
      <c r="X2398" s="9"/>
      <c r="Y2398" s="9"/>
      <c r="Z2398" s="9"/>
      <c r="AA2398" s="9"/>
      <c r="AB2398" s="9"/>
      <c r="AC2398" s="9"/>
      <c r="AD2398" s="9"/>
      <c r="AE2398" s="9"/>
      <c r="AF2398" s="9"/>
      <c r="AG2398" s="9"/>
      <c r="AH2398" s="9"/>
      <c r="AI2398" s="9"/>
      <c r="AJ2398" s="9"/>
      <c r="AK2398" s="9"/>
      <c r="AL2398" s="9"/>
      <c r="AM2398" s="9"/>
      <c r="AN2398" s="9"/>
      <c r="AO2398" s="9"/>
      <c r="AP2398" s="9"/>
      <c r="AQ2398" s="9"/>
      <c r="AR2398" s="9"/>
      <c r="AS2398" s="9"/>
      <c r="AT2398" s="9"/>
      <c r="AU2398" s="9"/>
      <c r="AV2398" s="9"/>
      <c r="AW2398" s="9"/>
      <c r="AX2398" s="9"/>
      <c r="AY2398" s="9"/>
      <c r="AZ2398" s="9"/>
      <c r="BA2398" s="9"/>
      <c r="BB2398" s="9"/>
      <c r="BC2398" s="9"/>
      <c r="BD2398" s="9"/>
      <c r="BE2398" s="9"/>
      <c r="BF2398" s="9"/>
      <c r="BG2398" s="9"/>
      <c r="BH2398" s="9"/>
      <c r="BI2398" s="9"/>
      <c r="BJ2398" s="9"/>
      <c r="BK2398" s="9"/>
      <c r="BL2398" s="9"/>
      <c r="BM2398" s="9"/>
      <c r="BN2398" s="9"/>
      <c r="BO2398" s="9"/>
      <c r="BP2398" s="9"/>
    </row>
    <row r="2399" spans="1:68" s="8" customFormat="1" x14ac:dyDescent="0.2">
      <c r="A2399" s="242"/>
      <c r="B2399" s="242"/>
      <c r="C2399" s="342"/>
      <c r="D2399" s="242" t="s">
        <v>606</v>
      </c>
      <c r="E2399" s="362"/>
      <c r="F2399" s="242"/>
      <c r="G2399" s="242"/>
      <c r="H2399" s="249">
        <v>962</v>
      </c>
      <c r="I2399" s="251">
        <f>ROUND(H2399/$H$2400,4)</f>
        <v>5.2699999999999997E-2</v>
      </c>
      <c r="J2399" s="242"/>
      <c r="K2399" s="137"/>
      <c r="L2399" s="9"/>
      <c r="M2399" s="9"/>
      <c r="N2399" s="9"/>
      <c r="O2399" s="9"/>
      <c r="P2399" s="9"/>
      <c r="Q2399" s="9"/>
      <c r="R2399" s="9"/>
      <c r="S2399" s="9"/>
      <c r="T2399" s="9"/>
      <c r="U2399" s="9"/>
      <c r="V2399" s="9"/>
      <c r="W2399" s="9"/>
      <c r="X2399" s="9"/>
      <c r="Y2399" s="9"/>
      <c r="Z2399" s="9"/>
      <c r="AA2399" s="9"/>
      <c r="AB2399" s="9"/>
      <c r="AC2399" s="9"/>
      <c r="AD2399" s="9"/>
      <c r="AE2399" s="9"/>
      <c r="AF2399" s="9"/>
      <c r="AG2399" s="9"/>
      <c r="AH2399" s="9"/>
      <c r="AI2399" s="9"/>
      <c r="AJ2399" s="9"/>
      <c r="AK2399" s="9"/>
      <c r="AL2399" s="9"/>
      <c r="AM2399" s="9"/>
      <c r="AN2399" s="9"/>
      <c r="AO2399" s="9"/>
      <c r="AP2399" s="9"/>
      <c r="AQ2399" s="9"/>
      <c r="AR2399" s="9"/>
      <c r="AS2399" s="9"/>
      <c r="AT2399" s="9"/>
      <c r="AU2399" s="9"/>
      <c r="AV2399" s="9"/>
      <c r="AW2399" s="9"/>
      <c r="AX2399" s="9"/>
      <c r="AY2399" s="9"/>
      <c r="AZ2399" s="9"/>
      <c r="BA2399" s="9"/>
      <c r="BB2399" s="9"/>
      <c r="BC2399" s="9"/>
      <c r="BD2399" s="9"/>
      <c r="BE2399" s="9"/>
      <c r="BF2399" s="9"/>
      <c r="BG2399" s="9"/>
      <c r="BH2399" s="9"/>
      <c r="BI2399" s="9"/>
      <c r="BJ2399" s="9"/>
      <c r="BK2399" s="9"/>
      <c r="BL2399" s="9"/>
      <c r="BM2399" s="9"/>
      <c r="BN2399" s="9"/>
      <c r="BO2399" s="9"/>
      <c r="BP2399" s="9"/>
    </row>
    <row r="2400" spans="1:68" s="8" customFormat="1" x14ac:dyDescent="0.2">
      <c r="A2400" s="242"/>
      <c r="B2400" s="242"/>
      <c r="C2400" s="342"/>
      <c r="D2400" s="243" t="s">
        <v>33</v>
      </c>
      <c r="E2400" s="362"/>
      <c r="F2400" s="242"/>
      <c r="G2400" s="242"/>
      <c r="H2400" s="282">
        <f>SUM(H2396:H2399)</f>
        <v>18243</v>
      </c>
      <c r="I2400" s="283">
        <f>SUM(I2396:I2399)</f>
        <v>0.99990000000000001</v>
      </c>
      <c r="J2400" s="242"/>
      <c r="K2400" s="137"/>
      <c r="L2400" s="9"/>
      <c r="M2400" s="9"/>
      <c r="N2400" s="9"/>
      <c r="O2400" s="9"/>
      <c r="P2400" s="9"/>
      <c r="Q2400" s="9"/>
      <c r="R2400" s="9"/>
      <c r="S2400" s="9"/>
      <c r="T2400" s="9"/>
      <c r="U2400" s="9"/>
      <c r="V2400" s="9"/>
      <c r="W2400" s="9"/>
      <c r="X2400" s="9"/>
      <c r="Y2400" s="9"/>
      <c r="Z2400" s="9"/>
      <c r="AA2400" s="9"/>
      <c r="AB2400" s="9"/>
      <c r="AC2400" s="9"/>
      <c r="AD2400" s="9"/>
      <c r="AE2400" s="9"/>
      <c r="AF2400" s="9"/>
      <c r="AG2400" s="9"/>
      <c r="AH2400" s="9"/>
      <c r="AI2400" s="9"/>
      <c r="AJ2400" s="9"/>
      <c r="AK2400" s="9"/>
      <c r="AL2400" s="9"/>
      <c r="AM2400" s="9"/>
      <c r="AN2400" s="9"/>
      <c r="AO2400" s="9"/>
      <c r="AP2400" s="9"/>
      <c r="AQ2400" s="9"/>
      <c r="AR2400" s="9"/>
      <c r="AS2400" s="9"/>
      <c r="AT2400" s="9"/>
      <c r="AU2400" s="9"/>
      <c r="AV2400" s="9"/>
      <c r="AW2400" s="9"/>
      <c r="AX2400" s="9"/>
      <c r="AY2400" s="9"/>
      <c r="AZ2400" s="9"/>
      <c r="BA2400" s="9"/>
      <c r="BB2400" s="9"/>
      <c r="BC2400" s="9"/>
      <c r="BD2400" s="9"/>
      <c r="BE2400" s="9"/>
      <c r="BF2400" s="9"/>
      <c r="BG2400" s="9"/>
      <c r="BH2400" s="9"/>
      <c r="BI2400" s="9"/>
      <c r="BJ2400" s="9"/>
      <c r="BK2400" s="9"/>
      <c r="BL2400" s="9"/>
      <c r="BM2400" s="9"/>
      <c r="BN2400" s="9"/>
      <c r="BO2400" s="9"/>
      <c r="BP2400" s="9"/>
    </row>
    <row r="2401" spans="1:68" s="8" customFormat="1" x14ac:dyDescent="0.2">
      <c r="A2401" s="242"/>
      <c r="B2401" s="242"/>
      <c r="C2401" s="342"/>
      <c r="D2401" s="243"/>
      <c r="E2401" s="362"/>
      <c r="F2401" s="242"/>
      <c r="G2401" s="242"/>
      <c r="H2401" s="282"/>
      <c r="I2401" s="283"/>
      <c r="J2401" s="242"/>
      <c r="K2401" s="137"/>
      <c r="L2401" s="9"/>
      <c r="M2401" s="9"/>
      <c r="N2401" s="9"/>
      <c r="O2401" s="9"/>
      <c r="P2401" s="9"/>
      <c r="Q2401" s="9"/>
      <c r="R2401" s="9"/>
      <c r="S2401" s="9"/>
      <c r="T2401" s="9"/>
      <c r="U2401" s="9"/>
      <c r="V2401" s="9"/>
      <c r="W2401" s="9"/>
      <c r="X2401" s="9"/>
      <c r="Y2401" s="9"/>
      <c r="Z2401" s="9"/>
      <c r="AA2401" s="9"/>
      <c r="AB2401" s="9"/>
      <c r="AC2401" s="9"/>
      <c r="AD2401" s="9"/>
      <c r="AE2401" s="9"/>
      <c r="AF2401" s="9"/>
      <c r="AG2401" s="9"/>
      <c r="AH2401" s="9"/>
      <c r="AI2401" s="9"/>
      <c r="AJ2401" s="9"/>
      <c r="AK2401" s="9"/>
      <c r="AL2401" s="9"/>
      <c r="AM2401" s="9"/>
      <c r="AN2401" s="9"/>
      <c r="AO2401" s="9"/>
      <c r="AP2401" s="9"/>
      <c r="AQ2401" s="9"/>
      <c r="AR2401" s="9"/>
      <c r="AS2401" s="9"/>
      <c r="AT2401" s="9"/>
      <c r="AU2401" s="9"/>
      <c r="AV2401" s="9"/>
      <c r="AW2401" s="9"/>
      <c r="AX2401" s="9"/>
      <c r="AY2401" s="9"/>
      <c r="AZ2401" s="9"/>
      <c r="BA2401" s="9"/>
      <c r="BB2401" s="9"/>
      <c r="BC2401" s="9"/>
      <c r="BD2401" s="9"/>
      <c r="BE2401" s="9"/>
      <c r="BF2401" s="9"/>
      <c r="BG2401" s="9"/>
      <c r="BH2401" s="9"/>
      <c r="BI2401" s="9"/>
      <c r="BJ2401" s="9"/>
      <c r="BK2401" s="9"/>
      <c r="BL2401" s="9"/>
      <c r="BM2401" s="9"/>
      <c r="BN2401" s="9"/>
      <c r="BO2401" s="9"/>
      <c r="BP2401" s="9"/>
    </row>
    <row r="2402" spans="1:68" s="8" customFormat="1" x14ac:dyDescent="0.2">
      <c r="A2402" s="248" t="s">
        <v>603</v>
      </c>
      <c r="B2402" s="249"/>
      <c r="C2402" s="261" t="s">
        <v>291</v>
      </c>
      <c r="D2402" s="249" t="s">
        <v>700</v>
      </c>
      <c r="E2402" s="281">
        <v>42962</v>
      </c>
      <c r="F2402" s="249">
        <f>5564113.13+1387357.8+1095169.25</f>
        <v>8046640.1799999997</v>
      </c>
      <c r="G2402" s="249">
        <v>22000</v>
      </c>
      <c r="H2402" s="249"/>
      <c r="I2402" s="262"/>
      <c r="J2402" s="249"/>
      <c r="K2402" s="137"/>
      <c r="L2402" s="9"/>
      <c r="M2402" s="9"/>
      <c r="N2402" s="9"/>
      <c r="O2402" s="9"/>
      <c r="P2402" s="9"/>
      <c r="Q2402" s="9"/>
      <c r="R2402" s="9"/>
      <c r="S2402" s="9"/>
      <c r="T2402" s="9"/>
      <c r="U2402" s="9"/>
      <c r="V2402" s="9"/>
      <c r="W2402" s="9"/>
      <c r="X2402" s="9"/>
      <c r="Y2402" s="9"/>
      <c r="Z2402" s="9"/>
      <c r="AA2402" s="9"/>
      <c r="AB2402" s="9"/>
      <c r="AC2402" s="9"/>
      <c r="AD2402" s="9"/>
      <c r="AE2402" s="9"/>
      <c r="AF2402" s="9"/>
      <c r="AG2402" s="9"/>
      <c r="AH2402" s="9"/>
      <c r="AI2402" s="9"/>
      <c r="AJ2402" s="9"/>
      <c r="AK2402" s="9"/>
      <c r="AL2402" s="9"/>
      <c r="AM2402" s="9"/>
      <c r="AN2402" s="9"/>
      <c r="AO2402" s="9"/>
      <c r="AP2402" s="9"/>
      <c r="AQ2402" s="9"/>
      <c r="AR2402" s="9"/>
      <c r="AS2402" s="9"/>
      <c r="AT2402" s="9"/>
      <c r="AU2402" s="9"/>
      <c r="AV2402" s="9"/>
      <c r="AW2402" s="9"/>
      <c r="AX2402" s="9"/>
      <c r="AY2402" s="9"/>
      <c r="AZ2402" s="9"/>
      <c r="BA2402" s="9"/>
      <c r="BB2402" s="9"/>
      <c r="BC2402" s="9"/>
      <c r="BD2402" s="9"/>
      <c r="BE2402" s="9"/>
      <c r="BF2402" s="9"/>
      <c r="BG2402" s="9"/>
      <c r="BH2402" s="9"/>
      <c r="BI2402" s="9"/>
      <c r="BJ2402" s="9"/>
      <c r="BK2402" s="9"/>
      <c r="BL2402" s="9"/>
      <c r="BM2402" s="9"/>
      <c r="BN2402" s="9"/>
      <c r="BO2402" s="9"/>
      <c r="BP2402" s="9"/>
    </row>
    <row r="2403" spans="1:68" s="8" customFormat="1" x14ac:dyDescent="0.2">
      <c r="A2403" s="242"/>
      <c r="B2403" s="242"/>
      <c r="C2403" s="342"/>
      <c r="D2403" s="242" t="s">
        <v>597</v>
      </c>
      <c r="E2403" s="362"/>
      <c r="F2403" s="242"/>
      <c r="G2403" s="242"/>
      <c r="H2403" s="249">
        <v>1539</v>
      </c>
      <c r="I2403" s="251">
        <f>H2403/$H$2408</f>
        <v>0.10505119453924915</v>
      </c>
      <c r="J2403" s="252"/>
      <c r="K2403" s="137"/>
      <c r="L2403" s="9"/>
      <c r="M2403" s="9"/>
      <c r="N2403" s="9"/>
      <c r="O2403" s="9"/>
      <c r="P2403" s="9"/>
      <c r="Q2403" s="9"/>
      <c r="R2403" s="9"/>
      <c r="S2403" s="9"/>
      <c r="T2403" s="9"/>
      <c r="U2403" s="9"/>
      <c r="V2403" s="9"/>
      <c r="W2403" s="9"/>
      <c r="X2403" s="9"/>
      <c r="Y2403" s="9"/>
      <c r="Z2403" s="9"/>
      <c r="AA2403" s="9"/>
      <c r="AB2403" s="9"/>
      <c r="AC2403" s="9"/>
      <c r="AD2403" s="9"/>
      <c r="AE2403" s="9"/>
      <c r="AF2403" s="9"/>
      <c r="AG2403" s="9"/>
      <c r="AH2403" s="9"/>
      <c r="AI2403" s="9"/>
      <c r="AJ2403" s="9"/>
      <c r="AK2403" s="9"/>
      <c r="AL2403" s="9"/>
      <c r="AM2403" s="9"/>
      <c r="AN2403" s="9"/>
      <c r="AO2403" s="9"/>
      <c r="AP2403" s="9"/>
      <c r="AQ2403" s="9"/>
      <c r="AR2403" s="9"/>
      <c r="AS2403" s="9"/>
      <c r="AT2403" s="9"/>
      <c r="AU2403" s="9"/>
      <c r="AV2403" s="9"/>
      <c r="AW2403" s="9"/>
      <c r="AX2403" s="9"/>
      <c r="AY2403" s="9"/>
      <c r="AZ2403" s="9"/>
      <c r="BA2403" s="9"/>
      <c r="BB2403" s="9"/>
      <c r="BC2403" s="9"/>
      <c r="BD2403" s="9"/>
      <c r="BE2403" s="9"/>
      <c r="BF2403" s="9"/>
      <c r="BG2403" s="9"/>
      <c r="BH2403" s="9"/>
      <c r="BI2403" s="9"/>
      <c r="BJ2403" s="9"/>
      <c r="BK2403" s="9"/>
      <c r="BL2403" s="9"/>
      <c r="BM2403" s="9"/>
      <c r="BN2403" s="9"/>
      <c r="BO2403" s="9"/>
      <c r="BP2403" s="9"/>
    </row>
    <row r="2404" spans="1:68" s="8" customFormat="1" x14ac:dyDescent="0.2">
      <c r="A2404" s="242"/>
      <c r="B2404" s="242"/>
      <c r="C2404" s="342"/>
      <c r="D2404" s="344" t="s">
        <v>52</v>
      </c>
      <c r="E2404" s="362"/>
      <c r="F2404" s="242"/>
      <c r="G2404" s="242"/>
      <c r="H2404" s="249">
        <v>1544</v>
      </c>
      <c r="I2404" s="251">
        <f>H2404/$H$2408</f>
        <v>0.10539249146757679</v>
      </c>
      <c r="J2404" s="252"/>
      <c r="K2404" s="137"/>
      <c r="L2404" s="9"/>
      <c r="M2404" s="9"/>
      <c r="N2404" s="9"/>
      <c r="O2404" s="9"/>
      <c r="P2404" s="9"/>
      <c r="Q2404" s="9"/>
      <c r="R2404" s="9"/>
      <c r="S2404" s="9"/>
      <c r="T2404" s="9"/>
      <c r="U2404" s="9"/>
      <c r="V2404" s="9"/>
      <c r="W2404" s="9"/>
      <c r="X2404" s="9"/>
      <c r="Y2404" s="9"/>
      <c r="Z2404" s="9"/>
      <c r="AA2404" s="9"/>
      <c r="AB2404" s="9"/>
      <c r="AC2404" s="9"/>
      <c r="AD2404" s="9"/>
      <c r="AE2404" s="9"/>
      <c r="AF2404" s="9"/>
      <c r="AG2404" s="9"/>
      <c r="AH2404" s="9"/>
      <c r="AI2404" s="9"/>
      <c r="AJ2404" s="9"/>
      <c r="AK2404" s="9"/>
      <c r="AL2404" s="9"/>
      <c r="AM2404" s="9"/>
      <c r="AN2404" s="9"/>
      <c r="AO2404" s="9"/>
      <c r="AP2404" s="9"/>
      <c r="AQ2404" s="9"/>
      <c r="AR2404" s="9"/>
      <c r="AS2404" s="9"/>
      <c r="AT2404" s="9"/>
      <c r="AU2404" s="9"/>
      <c r="AV2404" s="9"/>
      <c r="AW2404" s="9"/>
      <c r="AX2404" s="9"/>
      <c r="AY2404" s="9"/>
      <c r="AZ2404" s="9"/>
      <c r="BA2404" s="9"/>
      <c r="BB2404" s="9"/>
      <c r="BC2404" s="9"/>
      <c r="BD2404" s="9"/>
      <c r="BE2404" s="9"/>
      <c r="BF2404" s="9"/>
      <c r="BG2404" s="9"/>
      <c r="BH2404" s="9"/>
      <c r="BI2404" s="9"/>
      <c r="BJ2404" s="9"/>
      <c r="BK2404" s="9"/>
      <c r="BL2404" s="9"/>
      <c r="BM2404" s="9"/>
      <c r="BN2404" s="9"/>
      <c r="BO2404" s="9"/>
      <c r="BP2404" s="9"/>
    </row>
    <row r="2405" spans="1:68" s="8" customFormat="1" x14ac:dyDescent="0.2">
      <c r="A2405" s="242"/>
      <c r="B2405" s="242"/>
      <c r="C2405" s="342"/>
      <c r="D2405" s="242" t="s">
        <v>598</v>
      </c>
      <c r="E2405" s="362"/>
      <c r="F2405" s="242"/>
      <c r="G2405" s="242"/>
      <c r="H2405" s="249">
        <v>4889</v>
      </c>
      <c r="I2405" s="251">
        <f>H2405/$H$2408</f>
        <v>0.3337201365187713</v>
      </c>
      <c r="J2405" s="253" t="s">
        <v>35</v>
      </c>
      <c r="K2405" s="137"/>
      <c r="L2405" s="9"/>
      <c r="M2405" s="9"/>
      <c r="N2405" s="9"/>
      <c r="O2405" s="9"/>
      <c r="P2405" s="9"/>
      <c r="Q2405" s="9"/>
      <c r="R2405" s="9"/>
      <c r="S2405" s="9"/>
      <c r="T2405" s="9"/>
      <c r="U2405" s="9"/>
      <c r="V2405" s="9"/>
      <c r="W2405" s="9"/>
      <c r="X2405" s="9"/>
      <c r="Y2405" s="9"/>
      <c r="Z2405" s="9"/>
      <c r="AA2405" s="9"/>
      <c r="AB2405" s="9"/>
      <c r="AC2405" s="9"/>
      <c r="AD2405" s="9"/>
      <c r="AE2405" s="9"/>
      <c r="AF2405" s="9"/>
      <c r="AG2405" s="9"/>
      <c r="AH2405" s="9"/>
      <c r="AI2405" s="9"/>
      <c r="AJ2405" s="9"/>
      <c r="AK2405" s="9"/>
      <c r="AL2405" s="9"/>
      <c r="AM2405" s="9"/>
      <c r="AN2405" s="9"/>
      <c r="AO2405" s="9"/>
      <c r="AP2405" s="9"/>
      <c r="AQ2405" s="9"/>
      <c r="AR2405" s="9"/>
      <c r="AS2405" s="9"/>
      <c r="AT2405" s="9"/>
      <c r="AU2405" s="9"/>
      <c r="AV2405" s="9"/>
      <c r="AW2405" s="9"/>
      <c r="AX2405" s="9"/>
      <c r="AY2405" s="9"/>
      <c r="AZ2405" s="9"/>
      <c r="BA2405" s="9"/>
      <c r="BB2405" s="9"/>
      <c r="BC2405" s="9"/>
      <c r="BD2405" s="9"/>
      <c r="BE2405" s="9"/>
      <c r="BF2405" s="9"/>
      <c r="BG2405" s="9"/>
      <c r="BH2405" s="9"/>
      <c r="BI2405" s="9"/>
      <c r="BJ2405" s="9"/>
      <c r="BK2405" s="9"/>
      <c r="BL2405" s="9"/>
      <c r="BM2405" s="9"/>
      <c r="BN2405" s="9"/>
      <c r="BO2405" s="9"/>
      <c r="BP2405" s="9"/>
    </row>
    <row r="2406" spans="1:68" s="8" customFormat="1" x14ac:dyDescent="0.2">
      <c r="A2406" s="242"/>
      <c r="B2406" s="242"/>
      <c r="C2406" s="342"/>
      <c r="D2406" s="242" t="s">
        <v>605</v>
      </c>
      <c r="E2406" s="362"/>
      <c r="F2406" s="242"/>
      <c r="G2406" s="242"/>
      <c r="H2406" s="249">
        <v>2812</v>
      </c>
      <c r="I2406" s="251">
        <f>H2406/$H$2408</f>
        <v>0.19194539249146758</v>
      </c>
      <c r="J2406" s="252"/>
      <c r="K2406" s="137"/>
      <c r="L2406" s="9"/>
      <c r="M2406" s="9"/>
      <c r="N2406" s="9"/>
      <c r="O2406" s="9"/>
      <c r="P2406" s="9"/>
      <c r="Q2406" s="9"/>
      <c r="R2406" s="9"/>
      <c r="S2406" s="9"/>
      <c r="T2406" s="9"/>
      <c r="U2406" s="9"/>
      <c r="V2406" s="9"/>
      <c r="W2406" s="9"/>
      <c r="X2406" s="9"/>
      <c r="Y2406" s="9"/>
      <c r="Z2406" s="9"/>
      <c r="AA2406" s="9"/>
      <c r="AB2406" s="9"/>
      <c r="AC2406" s="9"/>
      <c r="AD2406" s="9"/>
      <c r="AE2406" s="9"/>
      <c r="AF2406" s="9"/>
      <c r="AG2406" s="9"/>
      <c r="AH2406" s="9"/>
      <c r="AI2406" s="9"/>
      <c r="AJ2406" s="9"/>
      <c r="AK2406" s="9"/>
      <c r="AL2406" s="9"/>
      <c r="AM2406" s="9"/>
      <c r="AN2406" s="9"/>
      <c r="AO2406" s="9"/>
      <c r="AP2406" s="9"/>
      <c r="AQ2406" s="9"/>
      <c r="AR2406" s="9"/>
      <c r="AS2406" s="9"/>
      <c r="AT2406" s="9"/>
      <c r="AU2406" s="9"/>
      <c r="AV2406" s="9"/>
      <c r="AW2406" s="9"/>
      <c r="AX2406" s="9"/>
      <c r="AY2406" s="9"/>
      <c r="AZ2406" s="9"/>
      <c r="BA2406" s="9"/>
      <c r="BB2406" s="9"/>
      <c r="BC2406" s="9"/>
      <c r="BD2406" s="9"/>
      <c r="BE2406" s="9"/>
      <c r="BF2406" s="9"/>
      <c r="BG2406" s="9"/>
      <c r="BH2406" s="9"/>
      <c r="BI2406" s="9"/>
      <c r="BJ2406" s="9"/>
      <c r="BK2406" s="9"/>
      <c r="BL2406" s="9"/>
      <c r="BM2406" s="9"/>
      <c r="BN2406" s="9"/>
      <c r="BO2406" s="9"/>
      <c r="BP2406" s="9"/>
    </row>
    <row r="2407" spans="1:68" s="8" customFormat="1" x14ac:dyDescent="0.2">
      <c r="A2407" s="242"/>
      <c r="B2407" s="242"/>
      <c r="C2407" s="342"/>
      <c r="D2407" s="242" t="s">
        <v>634</v>
      </c>
      <c r="E2407" s="362"/>
      <c r="F2407" s="242"/>
      <c r="G2407" s="242"/>
      <c r="H2407" s="249">
        <v>3866</v>
      </c>
      <c r="I2407" s="251">
        <f>H2407/$H$2408</f>
        <v>0.26389078498293517</v>
      </c>
      <c r="J2407" s="242"/>
      <c r="K2407" s="137"/>
      <c r="L2407" s="9"/>
      <c r="M2407" s="9"/>
      <c r="N2407" s="9"/>
      <c r="O2407" s="9"/>
      <c r="P2407" s="9"/>
      <c r="Q2407" s="9"/>
      <c r="R2407" s="9"/>
      <c r="S2407" s="9"/>
      <c r="T2407" s="9"/>
      <c r="U2407" s="9"/>
      <c r="V2407" s="9"/>
      <c r="W2407" s="9"/>
      <c r="X2407" s="9"/>
      <c r="Y2407" s="9"/>
      <c r="Z2407" s="9"/>
      <c r="AA2407" s="9"/>
      <c r="AB2407" s="9"/>
      <c r="AC2407" s="9"/>
      <c r="AD2407" s="9"/>
      <c r="AE2407" s="9"/>
      <c r="AF2407" s="9"/>
      <c r="AG2407" s="9"/>
      <c r="AH2407" s="9"/>
      <c r="AI2407" s="9"/>
      <c r="AJ2407" s="9"/>
      <c r="AK2407" s="9"/>
      <c r="AL2407" s="9"/>
      <c r="AM2407" s="9"/>
      <c r="AN2407" s="9"/>
      <c r="AO2407" s="9"/>
      <c r="AP2407" s="9"/>
      <c r="AQ2407" s="9"/>
      <c r="AR2407" s="9"/>
      <c r="AS2407" s="9"/>
      <c r="AT2407" s="9"/>
      <c r="AU2407" s="9"/>
      <c r="AV2407" s="9"/>
      <c r="AW2407" s="9"/>
      <c r="AX2407" s="9"/>
      <c r="AY2407" s="9"/>
      <c r="AZ2407" s="9"/>
      <c r="BA2407" s="9"/>
      <c r="BB2407" s="9"/>
      <c r="BC2407" s="9"/>
      <c r="BD2407" s="9"/>
      <c r="BE2407" s="9"/>
      <c r="BF2407" s="9"/>
      <c r="BG2407" s="9"/>
      <c r="BH2407" s="9"/>
      <c r="BI2407" s="9"/>
      <c r="BJ2407" s="9"/>
      <c r="BK2407" s="9"/>
      <c r="BL2407" s="9"/>
      <c r="BM2407" s="9"/>
      <c r="BN2407" s="9"/>
      <c r="BO2407" s="9"/>
      <c r="BP2407" s="9"/>
    </row>
    <row r="2408" spans="1:68" s="8" customFormat="1" x14ac:dyDescent="0.2">
      <c r="A2408" s="242"/>
      <c r="B2408" s="242"/>
      <c r="C2408" s="342"/>
      <c r="D2408" s="243" t="s">
        <v>33</v>
      </c>
      <c r="E2408" s="362"/>
      <c r="F2408" s="242"/>
      <c r="G2408" s="242"/>
      <c r="H2408" s="282">
        <f>SUM(H2403:H2407)</f>
        <v>14650</v>
      </c>
      <c r="I2408" s="283">
        <f>SUM(I2403:I2407)</f>
        <v>1</v>
      </c>
      <c r="J2408" s="242"/>
      <c r="K2408" s="137"/>
      <c r="L2408" s="9"/>
      <c r="M2408" s="9"/>
      <c r="N2408" s="9"/>
      <c r="O2408" s="9"/>
      <c r="P2408" s="9"/>
      <c r="Q2408" s="9"/>
      <c r="R2408" s="9"/>
      <c r="S2408" s="9"/>
      <c r="T2408" s="9"/>
      <c r="U2408" s="9"/>
      <c r="V2408" s="9"/>
      <c r="W2408" s="9"/>
      <c r="X2408" s="9"/>
      <c r="Y2408" s="9"/>
      <c r="Z2408" s="9"/>
      <c r="AA2408" s="9"/>
      <c r="AB2408" s="9"/>
      <c r="AC2408" s="9"/>
      <c r="AD2408" s="9"/>
      <c r="AE2408" s="9"/>
      <c r="AF2408" s="9"/>
      <c r="AG2408" s="9"/>
      <c r="AH2408" s="9"/>
      <c r="AI2408" s="9"/>
      <c r="AJ2408" s="9"/>
      <c r="AK2408" s="9"/>
      <c r="AL2408" s="9"/>
      <c r="AM2408" s="9"/>
      <c r="AN2408" s="9"/>
      <c r="AO2408" s="9"/>
      <c r="AP2408" s="9"/>
      <c r="AQ2408" s="9"/>
      <c r="AR2408" s="9"/>
      <c r="AS2408" s="9"/>
      <c r="AT2408" s="9"/>
      <c r="AU2408" s="9"/>
      <c r="AV2408" s="9"/>
      <c r="AW2408" s="9"/>
      <c r="AX2408" s="9"/>
      <c r="AY2408" s="9"/>
      <c r="AZ2408" s="9"/>
      <c r="BA2408" s="9"/>
      <c r="BB2408" s="9"/>
      <c r="BC2408" s="9"/>
      <c r="BD2408" s="9"/>
      <c r="BE2408" s="9"/>
      <c r="BF2408" s="9"/>
      <c r="BG2408" s="9"/>
      <c r="BH2408" s="9"/>
      <c r="BI2408" s="9"/>
      <c r="BJ2408" s="9"/>
      <c r="BK2408" s="9"/>
      <c r="BL2408" s="9"/>
      <c r="BM2408" s="9"/>
      <c r="BN2408" s="9"/>
      <c r="BO2408" s="9"/>
      <c r="BP2408" s="9"/>
    </row>
    <row r="2409" spans="1:68" s="8" customFormat="1" x14ac:dyDescent="0.2">
      <c r="A2409" s="242"/>
      <c r="B2409" s="242"/>
      <c r="C2409" s="342"/>
      <c r="D2409" s="242"/>
      <c r="E2409" s="362"/>
      <c r="F2409" s="242"/>
      <c r="G2409" s="242"/>
      <c r="H2409" s="249"/>
      <c r="I2409" s="262"/>
      <c r="J2409" s="242"/>
      <c r="K2409" s="137"/>
      <c r="L2409" s="9"/>
      <c r="M2409" s="9"/>
      <c r="N2409" s="9"/>
      <c r="O2409" s="9"/>
      <c r="P2409" s="9"/>
      <c r="Q2409" s="9"/>
      <c r="R2409" s="9"/>
      <c r="S2409" s="9"/>
      <c r="T2409" s="9"/>
      <c r="U2409" s="9"/>
      <c r="V2409" s="9"/>
      <c r="W2409" s="9"/>
      <c r="X2409" s="9"/>
      <c r="Y2409" s="9"/>
      <c r="Z2409" s="9"/>
      <c r="AA2409" s="9"/>
      <c r="AB2409" s="9"/>
      <c r="AC2409" s="9"/>
      <c r="AD2409" s="9"/>
      <c r="AE2409" s="9"/>
      <c r="AF2409" s="9"/>
      <c r="AG2409" s="9"/>
      <c r="AH2409" s="9"/>
      <c r="AI2409" s="9"/>
      <c r="AJ2409" s="9"/>
      <c r="AK2409" s="9"/>
      <c r="AL2409" s="9"/>
      <c r="AM2409" s="9"/>
      <c r="AN2409" s="9"/>
      <c r="AO2409" s="9"/>
      <c r="AP2409" s="9"/>
      <c r="AQ2409" s="9"/>
      <c r="AR2409" s="9"/>
      <c r="AS2409" s="9"/>
      <c r="AT2409" s="9"/>
      <c r="AU2409" s="9"/>
      <c r="AV2409" s="9"/>
      <c r="AW2409" s="9"/>
      <c r="AX2409" s="9"/>
      <c r="AY2409" s="9"/>
      <c r="AZ2409" s="9"/>
      <c r="BA2409" s="9"/>
      <c r="BB2409" s="9"/>
      <c r="BC2409" s="9"/>
      <c r="BD2409" s="9"/>
      <c r="BE2409" s="9"/>
      <c r="BF2409" s="9"/>
      <c r="BG2409" s="9"/>
      <c r="BH2409" s="9"/>
      <c r="BI2409" s="9"/>
      <c r="BJ2409" s="9"/>
      <c r="BK2409" s="9"/>
      <c r="BL2409" s="9"/>
      <c r="BM2409" s="9"/>
      <c r="BN2409" s="9"/>
      <c r="BO2409" s="9"/>
      <c r="BP2409" s="9"/>
    </row>
    <row r="2410" spans="1:68" s="8" customFormat="1" x14ac:dyDescent="0.2">
      <c r="A2410" s="261" t="s">
        <v>661</v>
      </c>
      <c r="B2410" s="261"/>
      <c r="C2410" s="261" t="s">
        <v>291</v>
      </c>
      <c r="D2410" s="249" t="s">
        <v>662</v>
      </c>
      <c r="E2410" s="281">
        <v>41820</v>
      </c>
      <c r="F2410" s="249">
        <v>77108595</v>
      </c>
      <c r="G2410" s="249">
        <v>175023</v>
      </c>
      <c r="H2410" s="249"/>
      <c r="I2410" s="262"/>
      <c r="J2410" s="249"/>
      <c r="K2410" s="137"/>
      <c r="L2410" s="9"/>
      <c r="M2410" s="9"/>
      <c r="N2410" s="9"/>
      <c r="O2410" s="9"/>
      <c r="P2410" s="9"/>
      <c r="Q2410" s="9"/>
      <c r="R2410" s="9"/>
      <c r="S2410" s="9"/>
      <c r="T2410" s="9"/>
      <c r="U2410" s="9"/>
      <c r="V2410" s="9"/>
      <c r="W2410" s="9"/>
      <c r="X2410" s="9"/>
      <c r="Y2410" s="9"/>
      <c r="Z2410" s="9"/>
      <c r="AA2410" s="9"/>
      <c r="AB2410" s="9"/>
      <c r="AC2410" s="9"/>
      <c r="AD2410" s="9"/>
      <c r="AE2410" s="9"/>
      <c r="AF2410" s="9"/>
      <c r="AG2410" s="9"/>
      <c r="AH2410" s="9"/>
      <c r="AI2410" s="9"/>
      <c r="AJ2410" s="9"/>
      <c r="AK2410" s="9"/>
      <c r="AL2410" s="9"/>
      <c r="AM2410" s="9"/>
      <c r="AN2410" s="9"/>
      <c r="AO2410" s="9"/>
      <c r="AP2410" s="9"/>
      <c r="AQ2410" s="9"/>
      <c r="AR2410" s="9"/>
      <c r="AS2410" s="9"/>
      <c r="AT2410" s="9"/>
      <c r="AU2410" s="9"/>
      <c r="AV2410" s="9"/>
      <c r="AW2410" s="9"/>
      <c r="AX2410" s="9"/>
      <c r="AY2410" s="9"/>
      <c r="AZ2410" s="9"/>
      <c r="BA2410" s="9"/>
      <c r="BB2410" s="9"/>
      <c r="BC2410" s="9"/>
      <c r="BD2410" s="9"/>
      <c r="BE2410" s="9"/>
      <c r="BF2410" s="9"/>
      <c r="BG2410" s="9"/>
      <c r="BH2410" s="9"/>
      <c r="BI2410" s="9"/>
      <c r="BJ2410" s="9"/>
      <c r="BK2410" s="9"/>
      <c r="BL2410" s="9"/>
      <c r="BM2410" s="9"/>
      <c r="BN2410" s="9"/>
      <c r="BO2410" s="9"/>
      <c r="BP2410" s="9"/>
    </row>
    <row r="2411" spans="1:68" s="8" customFormat="1" x14ac:dyDescent="0.2">
      <c r="A2411" s="242"/>
      <c r="B2411" s="242"/>
      <c r="C2411" s="342"/>
      <c r="D2411" s="242" t="s">
        <v>597</v>
      </c>
      <c r="E2411" s="362"/>
      <c r="F2411" s="242"/>
      <c r="G2411" s="242"/>
      <c r="H2411" s="249">
        <v>5313</v>
      </c>
      <c r="I2411" s="262">
        <f>(H2411/H2418)</f>
        <v>4.8904639175257732E-2</v>
      </c>
      <c r="J2411" s="253"/>
      <c r="K2411" s="137"/>
      <c r="L2411" s="9"/>
      <c r="M2411" s="9"/>
      <c r="N2411" s="9"/>
      <c r="O2411" s="9"/>
      <c r="P2411" s="9"/>
      <c r="Q2411" s="9"/>
      <c r="R2411" s="9"/>
      <c r="S2411" s="9"/>
      <c r="T2411" s="9"/>
      <c r="U2411" s="9"/>
      <c r="V2411" s="9"/>
      <c r="W2411" s="9"/>
      <c r="X2411" s="9"/>
      <c r="Y2411" s="9"/>
      <c r="Z2411" s="9"/>
      <c r="AA2411" s="9"/>
      <c r="AB2411" s="9"/>
      <c r="AC2411" s="9"/>
      <c r="AD2411" s="9"/>
      <c r="AE2411" s="9"/>
      <c r="AF2411" s="9"/>
      <c r="AG2411" s="9"/>
      <c r="AH2411" s="9"/>
      <c r="AI2411" s="9"/>
      <c r="AJ2411" s="9"/>
      <c r="AK2411" s="9"/>
      <c r="AL2411" s="9"/>
      <c r="AM2411" s="9"/>
      <c r="AN2411" s="9"/>
      <c r="AO2411" s="9"/>
      <c r="AP2411" s="9"/>
      <c r="AQ2411" s="9"/>
      <c r="AR2411" s="9"/>
      <c r="AS2411" s="9"/>
      <c r="AT2411" s="9"/>
      <c r="AU2411" s="9"/>
      <c r="AV2411" s="9"/>
      <c r="AW2411" s="9"/>
      <c r="AX2411" s="9"/>
      <c r="AY2411" s="9"/>
      <c r="AZ2411" s="9"/>
      <c r="BA2411" s="9"/>
      <c r="BB2411" s="9"/>
      <c r="BC2411" s="9"/>
      <c r="BD2411" s="9"/>
      <c r="BE2411" s="9"/>
      <c r="BF2411" s="9"/>
      <c r="BG2411" s="9"/>
      <c r="BH2411" s="9"/>
      <c r="BI2411" s="9"/>
      <c r="BJ2411" s="9"/>
      <c r="BK2411" s="9"/>
      <c r="BL2411" s="9"/>
      <c r="BM2411" s="9"/>
      <c r="BN2411" s="9"/>
      <c r="BO2411" s="9"/>
      <c r="BP2411" s="9"/>
    </row>
    <row r="2412" spans="1:68" s="8" customFormat="1" x14ac:dyDescent="0.2">
      <c r="A2412" s="242"/>
      <c r="B2412" s="242"/>
      <c r="C2412" s="342"/>
      <c r="D2412" s="242" t="s">
        <v>646</v>
      </c>
      <c r="E2412" s="362"/>
      <c r="F2412" s="242"/>
      <c r="G2412" s="242"/>
      <c r="H2412" s="249">
        <v>26572</v>
      </c>
      <c r="I2412" s="262">
        <f>(H2412/H2418)</f>
        <v>0.24458762886597937</v>
      </c>
      <c r="J2412" s="253" t="s">
        <v>646</v>
      </c>
      <c r="K2412" s="137"/>
      <c r="L2412" s="9"/>
      <c r="M2412" s="9"/>
      <c r="N2412" s="9"/>
      <c r="O2412" s="9"/>
      <c r="P2412" s="9"/>
      <c r="Q2412" s="9"/>
      <c r="R2412" s="9"/>
      <c r="S2412" s="9"/>
      <c r="T2412" s="9"/>
      <c r="U2412" s="9"/>
      <c r="V2412" s="9"/>
      <c r="W2412" s="9"/>
      <c r="X2412" s="9"/>
      <c r="Y2412" s="9"/>
      <c r="Z2412" s="9"/>
      <c r="AA2412" s="9"/>
      <c r="AB2412" s="9"/>
      <c r="AC2412" s="9"/>
      <c r="AD2412" s="9"/>
      <c r="AE2412" s="9"/>
      <c r="AF2412" s="9"/>
      <c r="AG2412" s="9"/>
      <c r="AH2412" s="9"/>
      <c r="AI2412" s="9"/>
      <c r="AJ2412" s="9"/>
      <c r="AK2412" s="9"/>
      <c r="AL2412" s="9"/>
      <c r="AM2412" s="9"/>
      <c r="AN2412" s="9"/>
      <c r="AO2412" s="9"/>
      <c r="AP2412" s="9"/>
      <c r="AQ2412" s="9"/>
      <c r="AR2412" s="9"/>
      <c r="AS2412" s="9"/>
      <c r="AT2412" s="9"/>
      <c r="AU2412" s="9"/>
      <c r="AV2412" s="9"/>
      <c r="AW2412" s="9"/>
      <c r="AX2412" s="9"/>
      <c r="AY2412" s="9"/>
      <c r="AZ2412" s="9"/>
      <c r="BA2412" s="9"/>
      <c r="BB2412" s="9"/>
      <c r="BC2412" s="9"/>
      <c r="BD2412" s="9"/>
      <c r="BE2412" s="9"/>
      <c r="BF2412" s="9"/>
      <c r="BG2412" s="9"/>
      <c r="BH2412" s="9"/>
      <c r="BI2412" s="9"/>
      <c r="BJ2412" s="9"/>
      <c r="BK2412" s="9"/>
      <c r="BL2412" s="9"/>
      <c r="BM2412" s="9"/>
      <c r="BN2412" s="9"/>
      <c r="BO2412" s="9"/>
      <c r="BP2412" s="9"/>
    </row>
    <row r="2413" spans="1:68" s="8" customFormat="1" x14ac:dyDescent="0.2">
      <c r="A2413" s="242"/>
      <c r="B2413" s="242"/>
      <c r="C2413" s="342"/>
      <c r="D2413" s="242" t="s">
        <v>620</v>
      </c>
      <c r="E2413" s="362"/>
      <c r="F2413" s="242"/>
      <c r="G2413" s="242"/>
      <c r="H2413" s="249">
        <v>13421</v>
      </c>
      <c r="I2413" s="262">
        <f>(H2413/H2418)</f>
        <v>0.12353645066273933</v>
      </c>
      <c r="J2413" s="253"/>
      <c r="K2413" s="137"/>
      <c r="L2413" s="9"/>
      <c r="M2413" s="9"/>
      <c r="N2413" s="9"/>
      <c r="O2413" s="9"/>
      <c r="P2413" s="9"/>
      <c r="Q2413" s="9"/>
      <c r="R2413" s="9"/>
      <c r="S2413" s="9"/>
      <c r="T2413" s="9"/>
      <c r="U2413" s="9"/>
      <c r="V2413" s="9"/>
      <c r="W2413" s="9"/>
      <c r="X2413" s="9"/>
      <c r="Y2413" s="9"/>
      <c r="Z2413" s="9"/>
      <c r="AA2413" s="9"/>
      <c r="AB2413" s="9"/>
      <c r="AC2413" s="9"/>
      <c r="AD2413" s="9"/>
      <c r="AE2413" s="9"/>
      <c r="AF2413" s="9"/>
      <c r="AG2413" s="9"/>
      <c r="AH2413" s="9"/>
      <c r="AI2413" s="9"/>
      <c r="AJ2413" s="9"/>
      <c r="AK2413" s="9"/>
      <c r="AL2413" s="9"/>
      <c r="AM2413" s="9"/>
      <c r="AN2413" s="9"/>
      <c r="AO2413" s="9"/>
      <c r="AP2413" s="9"/>
      <c r="AQ2413" s="9"/>
      <c r="AR2413" s="9"/>
      <c r="AS2413" s="9"/>
      <c r="AT2413" s="9"/>
      <c r="AU2413" s="9"/>
      <c r="AV2413" s="9"/>
      <c r="AW2413" s="9"/>
      <c r="AX2413" s="9"/>
      <c r="AY2413" s="9"/>
      <c r="AZ2413" s="9"/>
      <c r="BA2413" s="9"/>
      <c r="BB2413" s="9"/>
      <c r="BC2413" s="9"/>
      <c r="BD2413" s="9"/>
      <c r="BE2413" s="9"/>
      <c r="BF2413" s="9"/>
      <c r="BG2413" s="9"/>
      <c r="BH2413" s="9"/>
      <c r="BI2413" s="9"/>
      <c r="BJ2413" s="9"/>
      <c r="BK2413" s="9"/>
      <c r="BL2413" s="9"/>
      <c r="BM2413" s="9"/>
      <c r="BN2413" s="9"/>
      <c r="BO2413" s="9"/>
      <c r="BP2413" s="9"/>
    </row>
    <row r="2414" spans="1:68" s="8" customFormat="1" x14ac:dyDescent="0.2">
      <c r="A2414" s="242"/>
      <c r="B2414" s="242"/>
      <c r="C2414" s="342"/>
      <c r="D2414" s="242" t="s">
        <v>599</v>
      </c>
      <c r="E2414" s="362"/>
      <c r="F2414" s="242"/>
      <c r="G2414" s="242"/>
      <c r="H2414" s="249">
        <v>37403</v>
      </c>
      <c r="I2414" s="262">
        <f>(H2414/H2418)</f>
        <v>0.34428387334315169</v>
      </c>
      <c r="J2414" s="253" t="s">
        <v>599</v>
      </c>
      <c r="K2414" s="137"/>
      <c r="L2414" s="9"/>
      <c r="M2414" s="9"/>
      <c r="N2414" s="9"/>
      <c r="O2414" s="9"/>
      <c r="P2414" s="9"/>
      <c r="Q2414" s="9"/>
      <c r="R2414" s="9"/>
      <c r="S2414" s="9"/>
      <c r="T2414" s="9"/>
      <c r="U2414" s="9"/>
      <c r="V2414" s="9"/>
      <c r="W2414" s="9"/>
      <c r="X2414" s="9"/>
      <c r="Y2414" s="9"/>
      <c r="Z2414" s="9"/>
      <c r="AA2414" s="9"/>
      <c r="AB2414" s="9"/>
      <c r="AC2414" s="9"/>
      <c r="AD2414" s="9"/>
      <c r="AE2414" s="9"/>
      <c r="AF2414" s="9"/>
      <c r="AG2414" s="9"/>
      <c r="AH2414" s="9"/>
      <c r="AI2414" s="9"/>
      <c r="AJ2414" s="9"/>
      <c r="AK2414" s="9"/>
      <c r="AL2414" s="9"/>
      <c r="AM2414" s="9"/>
      <c r="AN2414" s="9"/>
      <c r="AO2414" s="9"/>
      <c r="AP2414" s="9"/>
      <c r="AQ2414" s="9"/>
      <c r="AR2414" s="9"/>
      <c r="AS2414" s="9"/>
      <c r="AT2414" s="9"/>
      <c r="AU2414" s="9"/>
      <c r="AV2414" s="9"/>
      <c r="AW2414" s="9"/>
      <c r="AX2414" s="9"/>
      <c r="AY2414" s="9"/>
      <c r="AZ2414" s="9"/>
      <c r="BA2414" s="9"/>
      <c r="BB2414" s="9"/>
      <c r="BC2414" s="9"/>
      <c r="BD2414" s="9"/>
      <c r="BE2414" s="9"/>
      <c r="BF2414" s="9"/>
      <c r="BG2414" s="9"/>
      <c r="BH2414" s="9"/>
      <c r="BI2414" s="9"/>
      <c r="BJ2414" s="9"/>
      <c r="BK2414" s="9"/>
      <c r="BL2414" s="9"/>
      <c r="BM2414" s="9"/>
      <c r="BN2414" s="9"/>
      <c r="BO2414" s="9"/>
      <c r="BP2414" s="9"/>
    </row>
    <row r="2415" spans="1:68" s="8" customFormat="1" x14ac:dyDescent="0.2">
      <c r="A2415" s="242"/>
      <c r="B2415" s="242"/>
      <c r="C2415" s="342"/>
      <c r="D2415" s="242" t="s">
        <v>610</v>
      </c>
      <c r="E2415" s="362"/>
      <c r="F2415" s="242"/>
      <c r="G2415" s="242"/>
      <c r="H2415" s="249">
        <v>1545</v>
      </c>
      <c r="I2415" s="262">
        <f>(H2415/H2418)</f>
        <v>1.4221281296023564E-2</v>
      </c>
      <c r="J2415" s="253"/>
      <c r="K2415" s="137"/>
      <c r="L2415" s="9"/>
      <c r="M2415" s="9"/>
      <c r="N2415" s="9"/>
      <c r="O2415" s="9"/>
      <c r="P2415" s="9"/>
      <c r="Q2415" s="9"/>
      <c r="R2415" s="9"/>
      <c r="S2415" s="9"/>
      <c r="T2415" s="9"/>
      <c r="U2415" s="9"/>
      <c r="V2415" s="9"/>
      <c r="W2415" s="9"/>
      <c r="X2415" s="9"/>
      <c r="Y2415" s="9"/>
      <c r="Z2415" s="9"/>
      <c r="AA2415" s="9"/>
      <c r="AB2415" s="9"/>
      <c r="AC2415" s="9"/>
      <c r="AD2415" s="9"/>
      <c r="AE2415" s="9"/>
      <c r="AF2415" s="9"/>
      <c r="AG2415" s="9"/>
      <c r="AH2415" s="9"/>
      <c r="AI2415" s="9"/>
      <c r="AJ2415" s="9"/>
      <c r="AK2415" s="9"/>
      <c r="AL2415" s="9"/>
      <c r="AM2415" s="9"/>
      <c r="AN2415" s="9"/>
      <c r="AO2415" s="9"/>
      <c r="AP2415" s="9"/>
      <c r="AQ2415" s="9"/>
      <c r="AR2415" s="9"/>
      <c r="AS2415" s="9"/>
      <c r="AT2415" s="9"/>
      <c r="AU2415" s="9"/>
      <c r="AV2415" s="9"/>
      <c r="AW2415" s="9"/>
      <c r="AX2415" s="9"/>
      <c r="AY2415" s="9"/>
      <c r="AZ2415" s="9"/>
      <c r="BA2415" s="9"/>
      <c r="BB2415" s="9"/>
      <c r="BC2415" s="9"/>
      <c r="BD2415" s="9"/>
      <c r="BE2415" s="9"/>
      <c r="BF2415" s="9"/>
      <c r="BG2415" s="9"/>
      <c r="BH2415" s="9"/>
      <c r="BI2415" s="9"/>
      <c r="BJ2415" s="9"/>
      <c r="BK2415" s="9"/>
      <c r="BL2415" s="9"/>
      <c r="BM2415" s="9"/>
      <c r="BN2415" s="9"/>
      <c r="BO2415" s="9"/>
      <c r="BP2415" s="9"/>
    </row>
    <row r="2416" spans="1:68" s="8" customFormat="1" x14ac:dyDescent="0.2">
      <c r="A2416" s="242"/>
      <c r="B2416" s="242"/>
      <c r="C2416" s="342"/>
      <c r="D2416" s="242" t="s">
        <v>600</v>
      </c>
      <c r="E2416" s="362"/>
      <c r="F2416" s="242"/>
      <c r="G2416" s="242"/>
      <c r="H2416" s="249">
        <v>1808</v>
      </c>
      <c r="I2416" s="262">
        <f>(H2416/H2418)</f>
        <v>1.6642120765832106E-2</v>
      </c>
      <c r="J2416" s="253"/>
      <c r="K2416" s="137"/>
      <c r="L2416" s="9"/>
      <c r="M2416" s="9"/>
      <c r="N2416" s="9"/>
      <c r="O2416" s="9"/>
      <c r="P2416" s="9"/>
      <c r="Q2416" s="9"/>
      <c r="R2416" s="9"/>
      <c r="S2416" s="9"/>
      <c r="T2416" s="9"/>
      <c r="U2416" s="9"/>
      <c r="V2416" s="9"/>
      <c r="W2416" s="9"/>
      <c r="X2416" s="9"/>
      <c r="Y2416" s="9"/>
      <c r="Z2416" s="9"/>
      <c r="AA2416" s="9"/>
      <c r="AB2416" s="9"/>
      <c r="AC2416" s="9"/>
      <c r="AD2416" s="9"/>
      <c r="AE2416" s="9"/>
      <c r="AF2416" s="9"/>
      <c r="AG2416" s="9"/>
      <c r="AH2416" s="9"/>
      <c r="AI2416" s="9"/>
      <c r="AJ2416" s="9"/>
      <c r="AK2416" s="9"/>
      <c r="AL2416" s="9"/>
      <c r="AM2416" s="9"/>
      <c r="AN2416" s="9"/>
      <c r="AO2416" s="9"/>
      <c r="AP2416" s="9"/>
      <c r="AQ2416" s="9"/>
      <c r="AR2416" s="9"/>
      <c r="AS2416" s="9"/>
      <c r="AT2416" s="9"/>
      <c r="AU2416" s="9"/>
      <c r="AV2416" s="9"/>
      <c r="AW2416" s="9"/>
      <c r="AX2416" s="9"/>
      <c r="AY2416" s="9"/>
      <c r="AZ2416" s="9"/>
      <c r="BA2416" s="9"/>
      <c r="BB2416" s="9"/>
      <c r="BC2416" s="9"/>
      <c r="BD2416" s="9"/>
      <c r="BE2416" s="9"/>
      <c r="BF2416" s="9"/>
      <c r="BG2416" s="9"/>
      <c r="BH2416" s="9"/>
      <c r="BI2416" s="9"/>
      <c r="BJ2416" s="9"/>
      <c r="BK2416" s="9"/>
      <c r="BL2416" s="9"/>
      <c r="BM2416" s="9"/>
      <c r="BN2416" s="9"/>
      <c r="BO2416" s="9"/>
      <c r="BP2416" s="9"/>
    </row>
    <row r="2417" spans="1:68" s="8" customFormat="1" x14ac:dyDescent="0.2">
      <c r="A2417" s="242"/>
      <c r="B2417" s="242"/>
      <c r="C2417" s="342"/>
      <c r="D2417" s="242" t="s">
        <v>605</v>
      </c>
      <c r="E2417" s="362"/>
      <c r="F2417" s="242"/>
      <c r="G2417" s="242"/>
      <c r="H2417" s="249">
        <v>22578</v>
      </c>
      <c r="I2417" s="262">
        <f>(H2417/H2418)</f>
        <v>0.20782400589101621</v>
      </c>
      <c r="J2417" s="253"/>
      <c r="K2417" s="137"/>
      <c r="L2417" s="9"/>
      <c r="M2417" s="9"/>
      <c r="N2417" s="9"/>
      <c r="O2417" s="9"/>
      <c r="P2417" s="9"/>
      <c r="Q2417" s="9"/>
      <c r="R2417" s="9"/>
      <c r="S2417" s="9"/>
      <c r="T2417" s="9"/>
      <c r="U2417" s="9"/>
      <c r="V2417" s="9"/>
      <c r="W2417" s="9"/>
      <c r="X2417" s="9"/>
      <c r="Y2417" s="9"/>
      <c r="Z2417" s="9"/>
      <c r="AA2417" s="9"/>
      <c r="AB2417" s="9"/>
      <c r="AC2417" s="9"/>
      <c r="AD2417" s="9"/>
      <c r="AE2417" s="9"/>
      <c r="AF2417" s="9"/>
      <c r="AG2417" s="9"/>
      <c r="AH2417" s="9"/>
      <c r="AI2417" s="9"/>
      <c r="AJ2417" s="9"/>
      <c r="AK2417" s="9"/>
      <c r="AL2417" s="9"/>
      <c r="AM2417" s="9"/>
      <c r="AN2417" s="9"/>
      <c r="AO2417" s="9"/>
      <c r="AP2417" s="9"/>
      <c r="AQ2417" s="9"/>
      <c r="AR2417" s="9"/>
      <c r="AS2417" s="9"/>
      <c r="AT2417" s="9"/>
      <c r="AU2417" s="9"/>
      <c r="AV2417" s="9"/>
      <c r="AW2417" s="9"/>
      <c r="AX2417" s="9"/>
      <c r="AY2417" s="9"/>
      <c r="AZ2417" s="9"/>
      <c r="BA2417" s="9"/>
      <c r="BB2417" s="9"/>
      <c r="BC2417" s="9"/>
      <c r="BD2417" s="9"/>
      <c r="BE2417" s="9"/>
      <c r="BF2417" s="9"/>
      <c r="BG2417" s="9"/>
      <c r="BH2417" s="9"/>
      <c r="BI2417" s="9"/>
      <c r="BJ2417" s="9"/>
      <c r="BK2417" s="9"/>
      <c r="BL2417" s="9"/>
      <c r="BM2417" s="9"/>
      <c r="BN2417" s="9"/>
      <c r="BO2417" s="9"/>
      <c r="BP2417" s="9"/>
    </row>
    <row r="2418" spans="1:68" s="8" customFormat="1" x14ac:dyDescent="0.2">
      <c r="A2418" s="242"/>
      <c r="B2418" s="242"/>
      <c r="C2418" s="342"/>
      <c r="D2418" s="243" t="s">
        <v>33</v>
      </c>
      <c r="E2418" s="362"/>
      <c r="F2418" s="242"/>
      <c r="G2418" s="242"/>
      <c r="H2418" s="282">
        <f>SUM(H2411:H2417)</f>
        <v>108640</v>
      </c>
      <c r="I2418" s="283">
        <f>SUM(I2411:I2417)</f>
        <v>1</v>
      </c>
      <c r="J2418" s="253"/>
      <c r="K2418" s="137"/>
      <c r="L2418" s="9"/>
      <c r="M2418" s="9"/>
      <c r="N2418" s="9"/>
      <c r="O2418" s="9"/>
      <c r="P2418" s="9"/>
      <c r="Q2418" s="9"/>
      <c r="R2418" s="9"/>
      <c r="S2418" s="9"/>
      <c r="T2418" s="9"/>
      <c r="U2418" s="9"/>
      <c r="V2418" s="9"/>
      <c r="W2418" s="9"/>
      <c r="X2418" s="9"/>
      <c r="Y2418" s="9"/>
      <c r="Z2418" s="9"/>
      <c r="AA2418" s="9"/>
      <c r="AB2418" s="9"/>
      <c r="AC2418" s="9"/>
      <c r="AD2418" s="9"/>
      <c r="AE2418" s="9"/>
      <c r="AF2418" s="9"/>
      <c r="AG2418" s="9"/>
      <c r="AH2418" s="9"/>
      <c r="AI2418" s="9"/>
      <c r="AJ2418" s="9"/>
      <c r="AK2418" s="9"/>
      <c r="AL2418" s="9"/>
      <c r="AM2418" s="9"/>
      <c r="AN2418" s="9"/>
      <c r="AO2418" s="9"/>
      <c r="AP2418" s="9"/>
      <c r="AQ2418" s="9"/>
      <c r="AR2418" s="9"/>
      <c r="AS2418" s="9"/>
      <c r="AT2418" s="9"/>
      <c r="AU2418" s="9"/>
      <c r="AV2418" s="9"/>
      <c r="AW2418" s="9"/>
      <c r="AX2418" s="9"/>
      <c r="AY2418" s="9"/>
      <c r="AZ2418" s="9"/>
      <c r="BA2418" s="9"/>
      <c r="BB2418" s="9"/>
      <c r="BC2418" s="9"/>
      <c r="BD2418" s="9"/>
      <c r="BE2418" s="9"/>
      <c r="BF2418" s="9"/>
      <c r="BG2418" s="9"/>
      <c r="BH2418" s="9"/>
      <c r="BI2418" s="9"/>
      <c r="BJ2418" s="9"/>
      <c r="BK2418" s="9"/>
      <c r="BL2418" s="9"/>
      <c r="BM2418" s="9"/>
      <c r="BN2418" s="9"/>
      <c r="BO2418" s="9"/>
      <c r="BP2418" s="9"/>
    </row>
    <row r="2419" spans="1:68" s="8" customFormat="1" x14ac:dyDescent="0.2">
      <c r="A2419" s="242"/>
      <c r="B2419" s="242"/>
      <c r="C2419" s="342"/>
      <c r="D2419" s="242"/>
      <c r="E2419" s="362"/>
      <c r="F2419" s="242"/>
      <c r="G2419" s="242"/>
      <c r="H2419" s="249"/>
      <c r="I2419" s="262"/>
      <c r="J2419" s="242"/>
      <c r="K2419" s="137"/>
      <c r="L2419" s="9"/>
      <c r="M2419" s="9"/>
      <c r="N2419" s="9"/>
      <c r="O2419" s="9"/>
      <c r="P2419" s="9"/>
      <c r="Q2419" s="9"/>
      <c r="R2419" s="9"/>
      <c r="S2419" s="9"/>
      <c r="T2419" s="9"/>
      <c r="U2419" s="9"/>
      <c r="V2419" s="9"/>
      <c r="W2419" s="9"/>
      <c r="X2419" s="9"/>
      <c r="Y2419" s="9"/>
      <c r="Z2419" s="9"/>
      <c r="AA2419" s="9"/>
      <c r="AB2419" s="9"/>
      <c r="AC2419" s="9"/>
      <c r="AD2419" s="9"/>
      <c r="AE2419" s="9"/>
      <c r="AF2419" s="9"/>
      <c r="AG2419" s="9"/>
      <c r="AH2419" s="9"/>
      <c r="AI2419" s="9"/>
      <c r="AJ2419" s="9"/>
      <c r="AK2419" s="9"/>
      <c r="AL2419" s="9"/>
      <c r="AM2419" s="9"/>
      <c r="AN2419" s="9"/>
      <c r="AO2419" s="9"/>
      <c r="AP2419" s="9"/>
      <c r="AQ2419" s="9"/>
      <c r="AR2419" s="9"/>
      <c r="AS2419" s="9"/>
      <c r="AT2419" s="9"/>
      <c r="AU2419" s="9"/>
      <c r="AV2419" s="9"/>
      <c r="AW2419" s="9"/>
      <c r="AX2419" s="9"/>
      <c r="AY2419" s="9"/>
      <c r="AZ2419" s="9"/>
      <c r="BA2419" s="9"/>
      <c r="BB2419" s="9"/>
      <c r="BC2419" s="9"/>
      <c r="BD2419" s="9"/>
      <c r="BE2419" s="9"/>
      <c r="BF2419" s="9"/>
      <c r="BG2419" s="9"/>
      <c r="BH2419" s="9"/>
      <c r="BI2419" s="9"/>
      <c r="BJ2419" s="9"/>
      <c r="BK2419" s="9"/>
      <c r="BL2419" s="9"/>
      <c r="BM2419" s="9"/>
      <c r="BN2419" s="9"/>
      <c r="BO2419" s="9"/>
      <c r="BP2419" s="9"/>
    </row>
    <row r="2420" spans="1:68" s="8" customFormat="1" x14ac:dyDescent="0.2">
      <c r="A2420" s="242"/>
      <c r="B2420" s="242"/>
      <c r="C2420" s="342"/>
      <c r="D2420" s="242"/>
      <c r="E2420" s="362"/>
      <c r="F2420" s="242"/>
      <c r="G2420" s="242"/>
      <c r="H2420" s="249"/>
      <c r="I2420" s="262"/>
      <c r="J2420" s="242"/>
      <c r="K2420" s="137"/>
      <c r="L2420" s="9"/>
      <c r="M2420" s="9"/>
      <c r="N2420" s="9"/>
      <c r="O2420" s="9"/>
      <c r="P2420" s="9"/>
      <c r="Q2420" s="9"/>
      <c r="R2420" s="9"/>
      <c r="S2420" s="9"/>
      <c r="T2420" s="9"/>
      <c r="U2420" s="9"/>
      <c r="V2420" s="9"/>
      <c r="W2420" s="9"/>
      <c r="X2420" s="9"/>
      <c r="Y2420" s="9"/>
      <c r="Z2420" s="9"/>
      <c r="AA2420" s="9"/>
      <c r="AB2420" s="9"/>
      <c r="AC2420" s="9"/>
      <c r="AD2420" s="9"/>
      <c r="AE2420" s="9"/>
      <c r="AF2420" s="9"/>
      <c r="AG2420" s="9"/>
      <c r="AH2420" s="9"/>
      <c r="AI2420" s="9"/>
      <c r="AJ2420" s="9"/>
      <c r="AK2420" s="9"/>
      <c r="AL2420" s="9"/>
      <c r="AM2420" s="9"/>
      <c r="AN2420" s="9"/>
      <c r="AO2420" s="9"/>
      <c r="AP2420" s="9"/>
      <c r="AQ2420" s="9"/>
      <c r="AR2420" s="9"/>
      <c r="AS2420" s="9"/>
      <c r="AT2420" s="9"/>
      <c r="AU2420" s="9"/>
      <c r="AV2420" s="9"/>
      <c r="AW2420" s="9"/>
      <c r="AX2420" s="9"/>
      <c r="AY2420" s="9"/>
      <c r="AZ2420" s="9"/>
      <c r="BA2420" s="9"/>
      <c r="BB2420" s="9"/>
      <c r="BC2420" s="9"/>
      <c r="BD2420" s="9"/>
      <c r="BE2420" s="9"/>
      <c r="BF2420" s="9"/>
      <c r="BG2420" s="9"/>
      <c r="BH2420" s="9"/>
      <c r="BI2420" s="9"/>
      <c r="BJ2420" s="9"/>
      <c r="BK2420" s="9"/>
      <c r="BL2420" s="9"/>
      <c r="BM2420" s="9"/>
      <c r="BN2420" s="9"/>
      <c r="BO2420" s="9"/>
      <c r="BP2420" s="9"/>
    </row>
    <row r="2421" spans="1:68" s="8" customFormat="1" x14ac:dyDescent="0.2">
      <c r="A2421" s="242"/>
      <c r="B2421" s="242"/>
      <c r="C2421" s="342"/>
      <c r="D2421" s="242"/>
      <c r="E2421" s="362"/>
      <c r="F2421" s="242"/>
      <c r="G2421" s="242"/>
      <c r="H2421" s="249"/>
      <c r="I2421" s="262"/>
      <c r="J2421" s="242"/>
      <c r="K2421" s="137"/>
      <c r="L2421" s="9"/>
      <c r="M2421" s="9"/>
      <c r="N2421" s="9"/>
      <c r="O2421" s="9"/>
      <c r="P2421" s="9"/>
      <c r="Q2421" s="9"/>
      <c r="R2421" s="9"/>
      <c r="S2421" s="9"/>
      <c r="T2421" s="9"/>
      <c r="U2421" s="9"/>
      <c r="V2421" s="9"/>
      <c r="W2421" s="9"/>
      <c r="X2421" s="9"/>
      <c r="Y2421" s="9"/>
      <c r="Z2421" s="9"/>
      <c r="AA2421" s="9"/>
      <c r="AB2421" s="9"/>
      <c r="AC2421" s="9"/>
      <c r="AD2421" s="9"/>
      <c r="AE2421" s="9"/>
      <c r="AF2421" s="9"/>
      <c r="AG2421" s="9"/>
      <c r="AH2421" s="9"/>
      <c r="AI2421" s="9"/>
      <c r="AJ2421" s="9"/>
      <c r="AK2421" s="9"/>
      <c r="AL2421" s="9"/>
      <c r="AM2421" s="9"/>
      <c r="AN2421" s="9"/>
      <c r="AO2421" s="9"/>
      <c r="AP2421" s="9"/>
      <c r="AQ2421" s="9"/>
      <c r="AR2421" s="9"/>
      <c r="AS2421" s="9"/>
      <c r="AT2421" s="9"/>
      <c r="AU2421" s="9"/>
      <c r="AV2421" s="9"/>
      <c r="AW2421" s="9"/>
      <c r="AX2421" s="9"/>
      <c r="AY2421" s="9"/>
      <c r="AZ2421" s="9"/>
      <c r="BA2421" s="9"/>
      <c r="BB2421" s="9"/>
      <c r="BC2421" s="9"/>
      <c r="BD2421" s="9"/>
      <c r="BE2421" s="9"/>
      <c r="BF2421" s="9"/>
      <c r="BG2421" s="9"/>
      <c r="BH2421" s="9"/>
      <c r="BI2421" s="9"/>
      <c r="BJ2421" s="9"/>
      <c r="BK2421" s="9"/>
      <c r="BL2421" s="9"/>
      <c r="BM2421" s="9"/>
      <c r="BN2421" s="9"/>
      <c r="BO2421" s="9"/>
      <c r="BP2421" s="9"/>
    </row>
    <row r="2422" spans="1:68" s="8" customFormat="1" x14ac:dyDescent="0.2">
      <c r="A2422" s="242"/>
      <c r="B2422" s="242"/>
      <c r="C2422" s="342"/>
      <c r="D2422" s="242"/>
      <c r="E2422" s="362"/>
      <c r="F2422" s="242"/>
      <c r="G2422" s="242"/>
      <c r="H2422" s="249"/>
      <c r="I2422" s="262"/>
      <c r="J2422" s="242"/>
      <c r="K2422" s="137"/>
      <c r="L2422" s="9"/>
      <c r="M2422" s="9"/>
      <c r="N2422" s="9"/>
      <c r="O2422" s="9"/>
      <c r="P2422" s="9"/>
      <c r="Q2422" s="9"/>
      <c r="R2422" s="9"/>
      <c r="S2422" s="9"/>
      <c r="T2422" s="9"/>
      <c r="U2422" s="9"/>
      <c r="V2422" s="9"/>
      <c r="W2422" s="9"/>
      <c r="X2422" s="9"/>
      <c r="Y2422" s="9"/>
      <c r="Z2422" s="9"/>
      <c r="AA2422" s="9"/>
      <c r="AB2422" s="9"/>
      <c r="AC2422" s="9"/>
      <c r="AD2422" s="9"/>
      <c r="AE2422" s="9"/>
      <c r="AF2422" s="9"/>
      <c r="AG2422" s="9"/>
      <c r="AH2422" s="9"/>
      <c r="AI2422" s="9"/>
      <c r="AJ2422" s="9"/>
      <c r="AK2422" s="9"/>
      <c r="AL2422" s="9"/>
      <c r="AM2422" s="9"/>
      <c r="AN2422" s="9"/>
      <c r="AO2422" s="9"/>
      <c r="AP2422" s="9"/>
      <c r="AQ2422" s="9"/>
      <c r="AR2422" s="9"/>
      <c r="AS2422" s="9"/>
      <c r="AT2422" s="9"/>
      <c r="AU2422" s="9"/>
      <c r="AV2422" s="9"/>
      <c r="AW2422" s="9"/>
      <c r="AX2422" s="9"/>
      <c r="AY2422" s="9"/>
      <c r="AZ2422" s="9"/>
      <c r="BA2422" s="9"/>
      <c r="BB2422" s="9"/>
      <c r="BC2422" s="9"/>
      <c r="BD2422" s="9"/>
      <c r="BE2422" s="9"/>
      <c r="BF2422" s="9"/>
      <c r="BG2422" s="9"/>
      <c r="BH2422" s="9"/>
      <c r="BI2422" s="9"/>
      <c r="BJ2422" s="9"/>
      <c r="BK2422" s="9"/>
      <c r="BL2422" s="9"/>
      <c r="BM2422" s="9"/>
      <c r="BN2422" s="9"/>
      <c r="BO2422" s="9"/>
      <c r="BP2422" s="9"/>
    </row>
    <row r="2423" spans="1:68" s="8" customFormat="1" x14ac:dyDescent="0.2">
      <c r="A2423" s="242"/>
      <c r="B2423" s="242"/>
      <c r="C2423" s="342"/>
      <c r="D2423" s="242"/>
      <c r="E2423" s="362"/>
      <c r="F2423" s="242"/>
      <c r="G2423" s="242"/>
      <c r="H2423" s="249"/>
      <c r="I2423" s="262"/>
      <c r="J2423" s="242"/>
      <c r="K2423" s="137"/>
      <c r="L2423" s="9"/>
      <c r="M2423" s="9"/>
      <c r="N2423" s="9"/>
      <c r="O2423" s="9"/>
      <c r="P2423" s="9"/>
      <c r="Q2423" s="9"/>
      <c r="R2423" s="9"/>
      <c r="S2423" s="9"/>
      <c r="T2423" s="9"/>
      <c r="U2423" s="9"/>
      <c r="V2423" s="9"/>
      <c r="W2423" s="9"/>
      <c r="X2423" s="9"/>
      <c r="Y2423" s="9"/>
      <c r="Z2423" s="9"/>
      <c r="AA2423" s="9"/>
      <c r="AB2423" s="9"/>
      <c r="AC2423" s="9"/>
      <c r="AD2423" s="9"/>
      <c r="AE2423" s="9"/>
      <c r="AF2423" s="9"/>
      <c r="AG2423" s="9"/>
      <c r="AH2423" s="9"/>
      <c r="AI2423" s="9"/>
      <c r="AJ2423" s="9"/>
      <c r="AK2423" s="9"/>
      <c r="AL2423" s="9"/>
      <c r="AM2423" s="9"/>
      <c r="AN2423" s="9"/>
      <c r="AO2423" s="9"/>
      <c r="AP2423" s="9"/>
      <c r="AQ2423" s="9"/>
      <c r="AR2423" s="9"/>
      <c r="AS2423" s="9"/>
      <c r="AT2423" s="9"/>
      <c r="AU2423" s="9"/>
      <c r="AV2423" s="9"/>
      <c r="AW2423" s="9"/>
      <c r="AX2423" s="9"/>
      <c r="AY2423" s="9"/>
      <c r="AZ2423" s="9"/>
      <c r="BA2423" s="9"/>
      <c r="BB2423" s="9"/>
      <c r="BC2423" s="9"/>
      <c r="BD2423" s="9"/>
      <c r="BE2423" s="9"/>
      <c r="BF2423" s="9"/>
      <c r="BG2423" s="9"/>
      <c r="BH2423" s="9"/>
      <c r="BI2423" s="9"/>
      <c r="BJ2423" s="9"/>
      <c r="BK2423" s="9"/>
      <c r="BL2423" s="9"/>
      <c r="BM2423" s="9"/>
      <c r="BN2423" s="9"/>
      <c r="BO2423" s="9"/>
      <c r="BP2423" s="9"/>
    </row>
    <row r="2424" spans="1:68" s="8" customFormat="1" x14ac:dyDescent="0.2">
      <c r="A2424" s="242"/>
      <c r="B2424" s="242"/>
      <c r="C2424" s="342"/>
      <c r="D2424" s="242"/>
      <c r="E2424" s="362"/>
      <c r="F2424" s="242"/>
      <c r="G2424" s="242"/>
      <c r="H2424" s="249"/>
      <c r="I2424" s="262"/>
      <c r="J2424" s="242"/>
      <c r="K2424" s="137"/>
      <c r="L2424" s="9"/>
      <c r="M2424" s="9"/>
      <c r="N2424" s="9"/>
      <c r="O2424" s="9"/>
      <c r="P2424" s="9"/>
      <c r="Q2424" s="9"/>
      <c r="R2424" s="9"/>
      <c r="S2424" s="9"/>
      <c r="T2424" s="9"/>
      <c r="U2424" s="9"/>
      <c r="V2424" s="9"/>
      <c r="W2424" s="9"/>
      <c r="X2424" s="9"/>
      <c r="Y2424" s="9"/>
      <c r="Z2424" s="9"/>
      <c r="AA2424" s="9"/>
      <c r="AB2424" s="9"/>
      <c r="AC2424" s="9"/>
      <c r="AD2424" s="9"/>
      <c r="AE2424" s="9"/>
      <c r="AF2424" s="9"/>
      <c r="AG2424" s="9"/>
      <c r="AH2424" s="9"/>
      <c r="AI2424" s="9"/>
      <c r="AJ2424" s="9"/>
      <c r="AK2424" s="9"/>
      <c r="AL2424" s="9"/>
      <c r="AM2424" s="9"/>
      <c r="AN2424" s="9"/>
      <c r="AO2424" s="9"/>
      <c r="AP2424" s="9"/>
      <c r="AQ2424" s="9"/>
      <c r="AR2424" s="9"/>
      <c r="AS2424" s="9"/>
      <c r="AT2424" s="9"/>
      <c r="AU2424" s="9"/>
      <c r="AV2424" s="9"/>
      <c r="AW2424" s="9"/>
      <c r="AX2424" s="9"/>
      <c r="AY2424" s="9"/>
      <c r="AZ2424" s="9"/>
      <c r="BA2424" s="9"/>
      <c r="BB2424" s="9"/>
      <c r="BC2424" s="9"/>
      <c r="BD2424" s="9"/>
      <c r="BE2424" s="9"/>
      <c r="BF2424" s="9"/>
      <c r="BG2424" s="9"/>
      <c r="BH2424" s="9"/>
      <c r="BI2424" s="9"/>
      <c r="BJ2424" s="9"/>
      <c r="BK2424" s="9"/>
      <c r="BL2424" s="9"/>
      <c r="BM2424" s="9"/>
      <c r="BN2424" s="9"/>
      <c r="BO2424" s="9"/>
      <c r="BP2424" s="9"/>
    </row>
    <row r="2425" spans="1:68" s="8" customFormat="1" x14ac:dyDescent="0.2">
      <c r="A2425" s="242"/>
      <c r="B2425" s="242"/>
      <c r="C2425" s="342"/>
      <c r="D2425" s="242"/>
      <c r="E2425" s="362"/>
      <c r="F2425" s="242"/>
      <c r="G2425" s="242"/>
      <c r="H2425" s="249"/>
      <c r="I2425" s="262"/>
      <c r="J2425" s="242"/>
      <c r="K2425" s="137"/>
      <c r="L2425" s="9"/>
      <c r="M2425" s="9"/>
      <c r="N2425" s="9"/>
      <c r="O2425" s="9"/>
      <c r="P2425" s="9"/>
      <c r="Q2425" s="9"/>
      <c r="R2425" s="9"/>
      <c r="S2425" s="9"/>
      <c r="T2425" s="9"/>
      <c r="U2425" s="9"/>
      <c r="V2425" s="9"/>
      <c r="W2425" s="9"/>
      <c r="X2425" s="9"/>
      <c r="Y2425" s="9"/>
      <c r="Z2425" s="9"/>
      <c r="AA2425" s="9"/>
      <c r="AB2425" s="9"/>
      <c r="AC2425" s="9"/>
      <c r="AD2425" s="9"/>
      <c r="AE2425" s="9"/>
      <c r="AF2425" s="9"/>
      <c r="AG2425" s="9"/>
      <c r="AH2425" s="9"/>
      <c r="AI2425" s="9"/>
      <c r="AJ2425" s="9"/>
      <c r="AK2425" s="9"/>
      <c r="AL2425" s="9"/>
      <c r="AM2425" s="9"/>
      <c r="AN2425" s="9"/>
      <c r="AO2425" s="9"/>
      <c r="AP2425" s="9"/>
      <c r="AQ2425" s="9"/>
      <c r="AR2425" s="9"/>
      <c r="AS2425" s="9"/>
      <c r="AT2425" s="9"/>
      <c r="AU2425" s="9"/>
      <c r="AV2425" s="9"/>
      <c r="AW2425" s="9"/>
      <c r="AX2425" s="9"/>
      <c r="AY2425" s="9"/>
      <c r="AZ2425" s="9"/>
      <c r="BA2425" s="9"/>
      <c r="BB2425" s="9"/>
      <c r="BC2425" s="9"/>
      <c r="BD2425" s="9"/>
      <c r="BE2425" s="9"/>
      <c r="BF2425" s="9"/>
      <c r="BG2425" s="9"/>
      <c r="BH2425" s="9"/>
      <c r="BI2425" s="9"/>
      <c r="BJ2425" s="9"/>
      <c r="BK2425" s="9"/>
      <c r="BL2425" s="9"/>
      <c r="BM2425" s="9"/>
      <c r="BN2425" s="9"/>
      <c r="BO2425" s="9"/>
      <c r="BP2425" s="9"/>
    </row>
    <row r="2426" spans="1:68" s="8" customFormat="1" x14ac:dyDescent="0.2">
      <c r="A2426" s="242"/>
      <c r="B2426" s="242"/>
      <c r="C2426" s="342"/>
      <c r="D2426" s="242"/>
      <c r="E2426" s="362"/>
      <c r="F2426" s="242"/>
      <c r="G2426" s="242"/>
      <c r="H2426" s="249"/>
      <c r="I2426" s="262"/>
      <c r="J2426" s="242"/>
      <c r="K2426" s="137"/>
      <c r="L2426" s="9"/>
      <c r="M2426" s="9"/>
      <c r="N2426" s="9"/>
      <c r="O2426" s="9"/>
      <c r="P2426" s="9"/>
      <c r="Q2426" s="9"/>
      <c r="R2426" s="9"/>
      <c r="S2426" s="9"/>
      <c r="T2426" s="9"/>
      <c r="U2426" s="9"/>
      <c r="V2426" s="9"/>
      <c r="W2426" s="9"/>
      <c r="X2426" s="9"/>
      <c r="Y2426" s="9"/>
      <c r="Z2426" s="9"/>
      <c r="AA2426" s="9"/>
      <c r="AB2426" s="9"/>
      <c r="AC2426" s="9"/>
      <c r="AD2426" s="9"/>
      <c r="AE2426" s="9"/>
      <c r="AF2426" s="9"/>
      <c r="AG2426" s="9"/>
      <c r="AH2426" s="9"/>
      <c r="AI2426" s="9"/>
      <c r="AJ2426" s="9"/>
      <c r="AK2426" s="9"/>
      <c r="AL2426" s="9"/>
      <c r="AM2426" s="9"/>
      <c r="AN2426" s="9"/>
      <c r="AO2426" s="9"/>
      <c r="AP2426" s="9"/>
      <c r="AQ2426" s="9"/>
      <c r="AR2426" s="9"/>
      <c r="AS2426" s="9"/>
      <c r="AT2426" s="9"/>
      <c r="AU2426" s="9"/>
      <c r="AV2426" s="9"/>
      <c r="AW2426" s="9"/>
      <c r="AX2426" s="9"/>
      <c r="AY2426" s="9"/>
      <c r="AZ2426" s="9"/>
      <c r="BA2426" s="9"/>
      <c r="BB2426" s="9"/>
      <c r="BC2426" s="9"/>
      <c r="BD2426" s="9"/>
      <c r="BE2426" s="9"/>
      <c r="BF2426" s="9"/>
      <c r="BG2426" s="9"/>
      <c r="BH2426" s="9"/>
      <c r="BI2426" s="9"/>
      <c r="BJ2426" s="9"/>
      <c r="BK2426" s="9"/>
      <c r="BL2426" s="9"/>
      <c r="BM2426" s="9"/>
      <c r="BN2426" s="9"/>
      <c r="BO2426" s="9"/>
      <c r="BP2426" s="9"/>
    </row>
    <row r="2427" spans="1:68" s="8" customFormat="1" x14ac:dyDescent="0.2">
      <c r="A2427" s="242"/>
      <c r="B2427" s="242"/>
      <c r="C2427" s="342"/>
      <c r="D2427" s="242"/>
      <c r="E2427" s="362"/>
      <c r="F2427" s="242"/>
      <c r="G2427" s="249"/>
      <c r="H2427" s="249"/>
      <c r="I2427" s="262"/>
      <c r="J2427" s="242"/>
      <c r="K2427" s="137"/>
      <c r="L2427" s="9"/>
      <c r="M2427" s="9"/>
      <c r="N2427" s="9"/>
      <c r="O2427" s="9"/>
      <c r="P2427" s="9"/>
      <c r="Q2427" s="9"/>
      <c r="R2427" s="9"/>
      <c r="S2427" s="9"/>
      <c r="T2427" s="9"/>
      <c r="U2427" s="9"/>
      <c r="V2427" s="9"/>
      <c r="W2427" s="9"/>
      <c r="X2427" s="9"/>
      <c r="Y2427" s="9"/>
      <c r="Z2427" s="9"/>
      <c r="AA2427" s="9"/>
      <c r="AB2427" s="9"/>
      <c r="AC2427" s="9"/>
      <c r="AD2427" s="9"/>
      <c r="AE2427" s="9"/>
      <c r="AF2427" s="9"/>
      <c r="AG2427" s="9"/>
      <c r="AH2427" s="9"/>
      <c r="AI2427" s="9"/>
      <c r="AJ2427" s="9"/>
      <c r="AK2427" s="9"/>
      <c r="AL2427" s="9"/>
      <c r="AM2427" s="9"/>
      <c r="AN2427" s="9"/>
      <c r="AO2427" s="9"/>
      <c r="AP2427" s="9"/>
      <c r="AQ2427" s="9"/>
      <c r="AR2427" s="9"/>
      <c r="AS2427" s="9"/>
      <c r="AT2427" s="9"/>
      <c r="AU2427" s="9"/>
      <c r="AV2427" s="9"/>
      <c r="AW2427" s="9"/>
      <c r="AX2427" s="9"/>
      <c r="AY2427" s="9"/>
      <c r="AZ2427" s="9"/>
      <c r="BA2427" s="9"/>
      <c r="BB2427" s="9"/>
      <c r="BC2427" s="9"/>
      <c r="BD2427" s="9"/>
      <c r="BE2427" s="9"/>
      <c r="BF2427" s="9"/>
      <c r="BG2427" s="9"/>
      <c r="BH2427" s="9"/>
      <c r="BI2427" s="9"/>
      <c r="BJ2427" s="9"/>
      <c r="BK2427" s="9"/>
      <c r="BL2427" s="9"/>
      <c r="BM2427" s="9"/>
      <c r="BN2427" s="9"/>
      <c r="BO2427" s="9"/>
      <c r="BP2427" s="9"/>
    </row>
    <row r="2428" spans="1:68" ht="12.75" x14ac:dyDescent="0.2">
      <c r="A2428" s="242"/>
      <c r="B2428" s="242"/>
      <c r="C2428" s="342"/>
      <c r="D2428" s="242"/>
      <c r="E2428" s="362"/>
      <c r="F2428" s="242"/>
      <c r="G2428" s="249"/>
      <c r="H2428" s="249"/>
      <c r="I2428" s="262"/>
      <c r="J2428" s="242"/>
      <c r="K2428" s="137"/>
      <c r="L2428" s="9"/>
      <c r="M2428" s="9"/>
      <c r="N2428" s="9"/>
      <c r="O2428" s="9"/>
      <c r="P2428" s="9"/>
      <c r="Q2428" s="9"/>
    </row>
    <row r="2429" spans="1:68" ht="12.75" x14ac:dyDescent="0.2">
      <c r="A2429" s="242"/>
      <c r="B2429" s="242"/>
      <c r="C2429" s="342"/>
      <c r="D2429" s="242"/>
      <c r="E2429" s="362"/>
      <c r="F2429" s="242"/>
      <c r="G2429" s="249"/>
      <c r="H2429" s="249"/>
      <c r="I2429" s="262"/>
      <c r="J2429" s="242"/>
      <c r="K2429" s="137"/>
      <c r="L2429" s="9"/>
      <c r="M2429" s="9"/>
      <c r="N2429" s="9"/>
      <c r="O2429" s="9"/>
      <c r="P2429" s="9"/>
      <c r="Q2429" s="9"/>
    </row>
    <row r="2430" spans="1:68" ht="12.75" x14ac:dyDescent="0.2">
      <c r="A2430" s="242"/>
      <c r="B2430" s="242"/>
      <c r="C2430" s="342"/>
      <c r="D2430" s="242"/>
      <c r="E2430" s="362"/>
      <c r="F2430" s="242"/>
      <c r="G2430" s="249"/>
      <c r="H2430" s="249"/>
      <c r="I2430" s="262"/>
      <c r="J2430" s="242"/>
      <c r="K2430" s="137"/>
      <c r="L2430" s="9"/>
      <c r="M2430" s="9"/>
      <c r="N2430" s="9"/>
      <c r="O2430" s="9"/>
      <c r="P2430" s="9"/>
      <c r="Q2430" s="9"/>
    </row>
    <row r="2431" spans="1:68" ht="12.75" x14ac:dyDescent="0.2">
      <c r="A2431" s="242"/>
      <c r="B2431" s="242"/>
      <c r="C2431" s="342"/>
      <c r="D2431" s="242"/>
      <c r="E2431" s="362"/>
      <c r="F2431" s="242"/>
      <c r="G2431" s="249"/>
      <c r="H2431" s="249"/>
      <c r="I2431" s="262"/>
      <c r="J2431" s="242"/>
      <c r="K2431" s="137"/>
      <c r="L2431" s="9"/>
      <c r="M2431" s="9"/>
      <c r="N2431" s="9"/>
      <c r="O2431" s="9"/>
      <c r="P2431" s="9"/>
      <c r="Q2431" s="9"/>
    </row>
    <row r="2432" spans="1:68" ht="12.75" x14ac:dyDescent="0.2">
      <c r="A2432" s="242"/>
      <c r="B2432" s="242"/>
      <c r="C2432" s="342"/>
      <c r="D2432" s="242"/>
      <c r="E2432" s="362"/>
      <c r="F2432" s="242"/>
      <c r="G2432" s="249"/>
      <c r="H2432" s="249"/>
      <c r="I2432" s="262"/>
      <c r="J2432" s="242"/>
      <c r="K2432" s="137"/>
      <c r="L2432" s="9"/>
      <c r="M2432" s="9"/>
      <c r="N2432" s="9"/>
      <c r="O2432" s="9"/>
      <c r="P2432" s="9"/>
      <c r="Q2432" s="9"/>
    </row>
    <row r="2433" spans="1:17" ht="12.75" x14ac:dyDescent="0.2">
      <c r="A2433" s="242"/>
      <c r="B2433" s="242"/>
      <c r="C2433" s="342"/>
      <c r="D2433" s="242"/>
      <c r="E2433" s="362"/>
      <c r="F2433" s="242"/>
      <c r="G2433" s="249"/>
      <c r="H2433" s="249"/>
      <c r="I2433" s="262"/>
      <c r="J2433" s="242"/>
      <c r="K2433" s="137"/>
      <c r="L2433" s="9"/>
      <c r="M2433" s="9"/>
      <c r="N2433" s="9"/>
      <c r="O2433" s="9"/>
      <c r="P2433" s="9"/>
      <c r="Q2433" s="9"/>
    </row>
    <row r="2434" spans="1:17" ht="12.75" x14ac:dyDescent="0.2">
      <c r="A2434" s="242"/>
      <c r="B2434" s="242"/>
      <c r="C2434" s="342"/>
      <c r="D2434" s="242"/>
      <c r="E2434" s="362"/>
      <c r="F2434" s="242"/>
      <c r="G2434" s="249"/>
      <c r="H2434" s="249"/>
      <c r="I2434" s="262"/>
      <c r="J2434" s="242"/>
      <c r="K2434" s="137"/>
      <c r="L2434" s="9"/>
      <c r="M2434" s="9"/>
      <c r="N2434" s="9"/>
      <c r="O2434" s="9"/>
      <c r="P2434" s="9"/>
      <c r="Q2434" s="9"/>
    </row>
    <row r="2435" spans="1:17" ht="12.75" x14ac:dyDescent="0.2">
      <c r="A2435" s="242"/>
      <c r="B2435" s="242"/>
      <c r="C2435" s="342"/>
      <c r="D2435" s="242"/>
      <c r="E2435" s="362"/>
      <c r="F2435" s="242"/>
      <c r="G2435" s="249"/>
      <c r="H2435" s="249"/>
      <c r="I2435" s="262"/>
      <c r="J2435" s="242"/>
      <c r="K2435" s="137"/>
      <c r="L2435" s="9"/>
      <c r="M2435" s="9"/>
      <c r="N2435" s="9"/>
      <c r="O2435" s="9"/>
      <c r="P2435" s="9"/>
      <c r="Q2435" s="9"/>
    </row>
    <row r="2436" spans="1:17" ht="12.75" x14ac:dyDescent="0.2">
      <c r="A2436" s="242"/>
      <c r="B2436" s="242"/>
      <c r="C2436" s="342"/>
      <c r="D2436" s="242"/>
      <c r="E2436" s="362"/>
      <c r="F2436" s="242"/>
      <c r="G2436" s="249"/>
      <c r="H2436" s="249"/>
      <c r="I2436" s="262"/>
      <c r="J2436" s="242"/>
      <c r="K2436" s="137"/>
      <c r="L2436" s="9"/>
      <c r="M2436" s="9"/>
      <c r="N2436" s="9"/>
      <c r="O2436" s="9"/>
      <c r="P2436" s="9"/>
      <c r="Q2436" s="9"/>
    </row>
    <row r="2437" spans="1:17" ht="12.75" x14ac:dyDescent="0.2">
      <c r="A2437" s="242"/>
      <c r="B2437" s="242"/>
      <c r="C2437" s="342"/>
      <c r="D2437" s="242"/>
      <c r="E2437" s="362"/>
      <c r="F2437" s="242"/>
      <c r="G2437" s="249"/>
      <c r="H2437" s="249"/>
      <c r="I2437" s="262"/>
      <c r="J2437" s="242"/>
      <c r="K2437" s="137"/>
      <c r="L2437" s="9"/>
      <c r="M2437" s="9"/>
      <c r="N2437" s="9"/>
      <c r="O2437" s="9"/>
      <c r="P2437" s="9"/>
      <c r="Q2437" s="9"/>
    </row>
    <row r="2438" spans="1:17" ht="12.75" x14ac:dyDescent="0.2">
      <c r="A2438" s="242"/>
      <c r="B2438" s="242"/>
      <c r="C2438" s="342"/>
      <c r="D2438" s="242"/>
      <c r="E2438" s="362"/>
      <c r="F2438" s="242"/>
      <c r="G2438" s="249"/>
      <c r="H2438" s="249"/>
      <c r="I2438" s="262"/>
      <c r="J2438" s="242"/>
      <c r="K2438" s="226"/>
    </row>
    <row r="2439" spans="1:17" ht="12.75" x14ac:dyDescent="0.2">
      <c r="A2439" s="242"/>
      <c r="B2439" s="242"/>
      <c r="C2439" s="342"/>
      <c r="D2439" s="242"/>
      <c r="E2439" s="362"/>
      <c r="F2439" s="242"/>
      <c r="G2439" s="249"/>
      <c r="H2439" s="249"/>
      <c r="I2439" s="262"/>
      <c r="J2439" s="242"/>
      <c r="K2439" s="226"/>
    </row>
    <row r="2440" spans="1:17" ht="12.75" x14ac:dyDescent="0.2">
      <c r="A2440" s="242"/>
      <c r="B2440" s="242"/>
      <c r="C2440" s="342"/>
      <c r="D2440" s="242"/>
      <c r="E2440" s="362"/>
      <c r="F2440" s="242"/>
      <c r="G2440" s="242"/>
      <c r="H2440" s="242"/>
      <c r="I2440" s="251"/>
      <c r="J2440" s="242"/>
      <c r="K2440" s="226"/>
    </row>
    <row r="2441" spans="1:17" ht="12.75" x14ac:dyDescent="0.2">
      <c r="A2441" s="242"/>
      <c r="B2441" s="242"/>
      <c r="C2441" s="342"/>
      <c r="D2441" s="242"/>
      <c r="E2441" s="362"/>
      <c r="F2441" s="242"/>
      <c r="G2441" s="242"/>
      <c r="H2441" s="242"/>
      <c r="I2441" s="251"/>
      <c r="J2441" s="242"/>
      <c r="K2441" s="226"/>
    </row>
    <row r="2442" spans="1:17" ht="12.75" x14ac:dyDescent="0.2">
      <c r="A2442" s="242"/>
      <c r="B2442" s="242"/>
      <c r="C2442" s="342"/>
      <c r="D2442" s="242"/>
      <c r="E2442" s="362"/>
      <c r="F2442" s="242"/>
      <c r="G2442" s="242"/>
      <c r="H2442" s="242"/>
      <c r="I2442" s="251"/>
      <c r="J2442" s="242"/>
      <c r="K2442" s="226"/>
    </row>
    <row r="2443" spans="1:17" ht="12.75" x14ac:dyDescent="0.2">
      <c r="A2443" s="242"/>
      <c r="B2443" s="242"/>
      <c r="C2443" s="342"/>
      <c r="D2443" s="242"/>
      <c r="E2443" s="362"/>
      <c r="F2443" s="242"/>
      <c r="G2443" s="242"/>
      <c r="H2443" s="242"/>
      <c r="I2443" s="251"/>
      <c r="J2443" s="242"/>
      <c r="K2443" s="226"/>
    </row>
    <row r="2444" spans="1:17" ht="12.75" x14ac:dyDescent="0.2">
      <c r="A2444" s="242"/>
      <c r="B2444" s="242"/>
      <c r="C2444" s="342"/>
      <c r="D2444" s="242"/>
      <c r="E2444" s="362"/>
      <c r="F2444" s="242"/>
      <c r="G2444" s="242"/>
      <c r="H2444" s="242"/>
      <c r="I2444" s="251"/>
      <c r="J2444" s="242"/>
      <c r="K2444" s="226"/>
    </row>
    <row r="2445" spans="1:17" ht="12.75" x14ac:dyDescent="0.2">
      <c r="A2445" s="242"/>
      <c r="B2445" s="242"/>
      <c r="C2445" s="342"/>
      <c r="D2445" s="242"/>
      <c r="E2445" s="362"/>
      <c r="F2445" s="242"/>
      <c r="G2445" s="242"/>
      <c r="H2445" s="242"/>
      <c r="I2445" s="251"/>
      <c r="J2445" s="242"/>
      <c r="K2445" s="226"/>
    </row>
    <row r="2446" spans="1:17" ht="12.75" x14ac:dyDescent="0.2">
      <c r="A2446" s="242"/>
      <c r="B2446" s="242"/>
      <c r="C2446" s="342"/>
      <c r="D2446" s="242"/>
      <c r="E2446" s="362"/>
      <c r="F2446" s="242"/>
      <c r="G2446" s="242"/>
      <c r="H2446" s="242"/>
      <c r="I2446" s="251"/>
      <c r="J2446" s="242"/>
      <c r="K2446" s="226"/>
    </row>
    <row r="2447" spans="1:17" ht="12.75" x14ac:dyDescent="0.2">
      <c r="A2447" s="242"/>
      <c r="B2447" s="242"/>
      <c r="C2447" s="342"/>
      <c r="D2447" s="242"/>
      <c r="E2447" s="362"/>
      <c r="F2447" s="242"/>
      <c r="G2447" s="242"/>
      <c r="H2447" s="242"/>
      <c r="I2447" s="251"/>
      <c r="J2447" s="242"/>
      <c r="K2447" s="226"/>
    </row>
    <row r="2448" spans="1:17" ht="12.75" x14ac:dyDescent="0.2">
      <c r="A2448" s="242"/>
      <c r="B2448" s="242"/>
      <c r="C2448" s="342"/>
      <c r="D2448" s="242"/>
      <c r="E2448" s="362"/>
      <c r="F2448" s="242"/>
      <c r="G2448" s="242"/>
      <c r="H2448" s="242"/>
      <c r="I2448" s="251"/>
      <c r="J2448" s="242"/>
      <c r="K2448" s="226"/>
    </row>
    <row r="2449" spans="1:11" ht="12.75" x14ac:dyDescent="0.2">
      <c r="A2449" s="242"/>
      <c r="B2449" s="242"/>
      <c r="C2449" s="342"/>
      <c r="D2449" s="242"/>
      <c r="E2449" s="362"/>
      <c r="F2449" s="242"/>
      <c r="G2449" s="242"/>
      <c r="H2449" s="242"/>
      <c r="I2449" s="251"/>
      <c r="J2449" s="242"/>
      <c r="K2449" s="226"/>
    </row>
    <row r="2450" spans="1:11" ht="12.75" x14ac:dyDescent="0.2">
      <c r="A2450" s="242"/>
      <c r="B2450" s="242"/>
      <c r="C2450" s="342"/>
      <c r="D2450" s="242"/>
      <c r="E2450" s="362"/>
      <c r="F2450" s="242"/>
      <c r="G2450" s="242"/>
      <c r="H2450" s="242"/>
      <c r="I2450" s="251"/>
      <c r="J2450" s="242"/>
      <c r="K2450" s="226"/>
    </row>
    <row r="2451" spans="1:11" ht="12.75" x14ac:dyDescent="0.2">
      <c r="A2451" s="242"/>
      <c r="B2451" s="242"/>
      <c r="C2451" s="342"/>
      <c r="D2451" s="242"/>
      <c r="E2451" s="362"/>
      <c r="F2451" s="242"/>
      <c r="G2451" s="242"/>
      <c r="H2451" s="242"/>
      <c r="I2451" s="251"/>
      <c r="J2451" s="242"/>
      <c r="K2451" s="226"/>
    </row>
    <row r="2452" spans="1:11" ht="12.75" x14ac:dyDescent="0.2">
      <c r="A2452" s="242"/>
      <c r="B2452" s="242"/>
      <c r="C2452" s="342"/>
      <c r="D2452" s="242"/>
      <c r="E2452" s="362"/>
      <c r="F2452" s="242"/>
      <c r="G2452" s="242"/>
      <c r="H2452" s="242"/>
      <c r="I2452" s="251"/>
      <c r="J2452" s="242"/>
      <c r="K2452" s="226"/>
    </row>
    <row r="2453" spans="1:11" ht="12.75" x14ac:dyDescent="0.2">
      <c r="A2453" s="242"/>
      <c r="B2453" s="242"/>
      <c r="C2453" s="342"/>
      <c r="D2453" s="242"/>
      <c r="E2453" s="362"/>
      <c r="F2453" s="242"/>
      <c r="G2453" s="242"/>
      <c r="H2453" s="242"/>
      <c r="I2453" s="251"/>
      <c r="J2453" s="242"/>
      <c r="K2453" s="226"/>
    </row>
    <row r="2454" spans="1:11" ht="12.75" x14ac:dyDescent="0.2">
      <c r="A2454" s="242"/>
      <c r="B2454" s="242"/>
      <c r="C2454" s="342"/>
      <c r="D2454" s="242"/>
      <c r="E2454" s="362"/>
      <c r="F2454" s="242"/>
      <c r="G2454" s="242"/>
      <c r="H2454" s="242"/>
      <c r="I2454" s="251"/>
      <c r="J2454" s="242"/>
      <c r="K2454" s="226"/>
    </row>
    <row r="2455" spans="1:11" ht="12.75" x14ac:dyDescent="0.2">
      <c r="A2455" s="242"/>
      <c r="B2455" s="242"/>
      <c r="C2455" s="342"/>
      <c r="D2455" s="242"/>
      <c r="E2455" s="362"/>
      <c r="F2455" s="242"/>
      <c r="G2455" s="242"/>
      <c r="H2455" s="242"/>
      <c r="I2455" s="251"/>
      <c r="J2455" s="242"/>
      <c r="K2455" s="226"/>
    </row>
    <row r="2456" spans="1:11" ht="12.75" x14ac:dyDescent="0.2">
      <c r="A2456" s="242"/>
      <c r="B2456" s="242"/>
      <c r="C2456" s="342"/>
      <c r="D2456" s="242"/>
      <c r="E2456" s="362"/>
      <c r="F2456" s="242"/>
      <c r="G2456" s="242"/>
      <c r="H2456" s="242"/>
      <c r="I2456" s="251"/>
      <c r="J2456" s="242"/>
      <c r="K2456" s="226"/>
    </row>
    <row r="2457" spans="1:11" ht="12.75" x14ac:dyDescent="0.2">
      <c r="A2457" s="242"/>
      <c r="B2457" s="242"/>
      <c r="C2457" s="342"/>
      <c r="D2457" s="242"/>
      <c r="E2457" s="362"/>
      <c r="F2457" s="242"/>
      <c r="G2457" s="242"/>
      <c r="H2457" s="242"/>
      <c r="I2457" s="251"/>
      <c r="J2457" s="242"/>
      <c r="K2457" s="226"/>
    </row>
    <row r="2458" spans="1:11" ht="12.75" x14ac:dyDescent="0.2">
      <c r="A2458" s="242"/>
      <c r="B2458" s="242"/>
      <c r="C2458" s="342"/>
      <c r="D2458" s="242"/>
      <c r="E2458" s="362"/>
      <c r="F2458" s="242"/>
      <c r="G2458" s="242"/>
      <c r="H2458" s="242"/>
      <c r="I2458" s="251"/>
      <c r="J2458" s="242"/>
      <c r="K2458" s="226"/>
    </row>
    <row r="2459" spans="1:11" ht="12.75" x14ac:dyDescent="0.2">
      <c r="A2459" s="242"/>
      <c r="B2459" s="242"/>
      <c r="C2459" s="342"/>
      <c r="D2459" s="242"/>
      <c r="E2459" s="362"/>
      <c r="F2459" s="242"/>
      <c r="G2459" s="242"/>
      <c r="H2459" s="242"/>
      <c r="I2459" s="251"/>
      <c r="J2459" s="242"/>
      <c r="K2459" s="226"/>
    </row>
    <row r="2460" spans="1:11" ht="12.75" x14ac:dyDescent="0.2">
      <c r="A2460" s="242"/>
      <c r="B2460" s="242"/>
      <c r="C2460" s="342"/>
      <c r="D2460" s="242"/>
      <c r="E2460" s="362"/>
      <c r="F2460" s="242"/>
      <c r="G2460" s="242"/>
      <c r="H2460" s="242"/>
      <c r="I2460" s="251"/>
      <c r="J2460" s="242"/>
      <c r="K2460" s="226"/>
    </row>
    <row r="2461" spans="1:11" ht="12.75" x14ac:dyDescent="0.2">
      <c r="A2461" s="242"/>
      <c r="B2461" s="242"/>
      <c r="C2461" s="342"/>
      <c r="D2461" s="242"/>
      <c r="E2461" s="362"/>
      <c r="F2461" s="242"/>
      <c r="G2461" s="242"/>
      <c r="H2461" s="242"/>
      <c r="I2461" s="251"/>
      <c r="J2461" s="242"/>
      <c r="K2461" s="226"/>
    </row>
    <row r="2462" spans="1:11" ht="12.75" x14ac:dyDescent="0.2">
      <c r="A2462" s="242"/>
      <c r="B2462" s="242"/>
      <c r="C2462" s="342"/>
      <c r="D2462" s="242"/>
      <c r="E2462" s="362"/>
      <c r="F2462" s="242"/>
      <c r="G2462" s="242"/>
      <c r="H2462" s="242"/>
      <c r="I2462" s="251"/>
      <c r="J2462" s="242"/>
      <c r="K2462" s="226"/>
    </row>
    <row r="2463" spans="1:11" ht="12.75" x14ac:dyDescent="0.2">
      <c r="A2463" s="242"/>
      <c r="B2463" s="242"/>
      <c r="C2463" s="342"/>
      <c r="D2463" s="242"/>
      <c r="E2463" s="362"/>
      <c r="F2463" s="242"/>
      <c r="G2463" s="242"/>
      <c r="H2463" s="242"/>
      <c r="I2463" s="251"/>
      <c r="J2463" s="242"/>
      <c r="K2463" s="226"/>
    </row>
    <row r="2464" spans="1:11" ht="12.75" x14ac:dyDescent="0.2">
      <c r="A2464" s="242"/>
      <c r="B2464" s="242"/>
      <c r="C2464" s="342"/>
      <c r="D2464" s="242"/>
      <c r="E2464" s="362"/>
      <c r="F2464" s="242"/>
      <c r="G2464" s="242"/>
      <c r="H2464" s="242"/>
      <c r="I2464" s="251"/>
      <c r="J2464" s="242"/>
      <c r="K2464" s="226"/>
    </row>
    <row r="2465" spans="1:11" ht="12.75" x14ac:dyDescent="0.2">
      <c r="A2465" s="242"/>
      <c r="B2465" s="242"/>
      <c r="C2465" s="342"/>
      <c r="D2465" s="242"/>
      <c r="E2465" s="362"/>
      <c r="F2465" s="242"/>
      <c r="G2465" s="242"/>
      <c r="H2465" s="242"/>
      <c r="I2465" s="251"/>
      <c r="J2465" s="242"/>
      <c r="K2465" s="226"/>
    </row>
    <row r="2466" spans="1:11" ht="12.75" x14ac:dyDescent="0.2">
      <c r="A2466" s="242"/>
      <c r="B2466" s="242"/>
      <c r="C2466" s="342"/>
      <c r="D2466" s="242"/>
      <c r="E2466" s="362"/>
      <c r="F2466" s="242"/>
      <c r="G2466" s="242"/>
      <c r="H2466" s="242"/>
      <c r="I2466" s="251"/>
      <c r="J2466" s="242"/>
      <c r="K2466" s="226"/>
    </row>
    <row r="2467" spans="1:11" ht="12.75" x14ac:dyDescent="0.2">
      <c r="A2467" s="242"/>
      <c r="B2467" s="242"/>
      <c r="C2467" s="342"/>
      <c r="D2467" s="242"/>
      <c r="E2467" s="362"/>
      <c r="F2467" s="242"/>
      <c r="G2467" s="242"/>
      <c r="H2467" s="242"/>
      <c r="I2467" s="251"/>
      <c r="J2467" s="242"/>
      <c r="K2467" s="226"/>
    </row>
    <row r="2468" spans="1:11" ht="12.75" x14ac:dyDescent="0.2">
      <c r="A2468" s="242"/>
      <c r="B2468" s="242"/>
      <c r="C2468" s="342"/>
      <c r="D2468" s="242"/>
      <c r="E2468" s="362"/>
      <c r="F2468" s="242"/>
      <c r="G2468" s="242"/>
      <c r="H2468" s="242"/>
      <c r="I2468" s="251"/>
      <c r="J2468" s="242"/>
      <c r="K2468" s="226"/>
    </row>
    <row r="2469" spans="1:11" ht="12.75" x14ac:dyDescent="0.2">
      <c r="A2469" s="227"/>
      <c r="B2469" s="227"/>
      <c r="C2469" s="361"/>
      <c r="D2469" s="227"/>
      <c r="E2469" s="364"/>
      <c r="F2469" s="227"/>
      <c r="G2469" s="227"/>
      <c r="H2469" s="227"/>
      <c r="I2469" s="231"/>
      <c r="J2469" s="227"/>
      <c r="K2469" s="226"/>
    </row>
    <row r="2470" spans="1:11" ht="12.75" x14ac:dyDescent="0.2">
      <c r="A2470" s="227"/>
      <c r="B2470" s="227"/>
      <c r="C2470" s="361"/>
      <c r="D2470" s="227"/>
      <c r="E2470" s="364"/>
      <c r="F2470" s="227"/>
      <c r="G2470" s="227"/>
      <c r="H2470" s="227"/>
      <c r="I2470" s="231"/>
      <c r="J2470" s="227"/>
      <c r="K2470" s="226"/>
    </row>
    <row r="2471" spans="1:11" ht="12.75" x14ac:dyDescent="0.2">
      <c r="A2471" s="227"/>
      <c r="B2471" s="227"/>
      <c r="C2471" s="361"/>
      <c r="D2471" s="227"/>
      <c r="E2471" s="364"/>
      <c r="F2471" s="227"/>
      <c r="G2471" s="227"/>
      <c r="H2471" s="227"/>
      <c r="I2471" s="231"/>
      <c r="J2471" s="227"/>
      <c r="K2471" s="226"/>
    </row>
    <row r="2472" spans="1:11" ht="12.75" x14ac:dyDescent="0.2">
      <c r="A2472" s="227"/>
      <c r="B2472" s="227"/>
      <c r="C2472" s="361"/>
      <c r="D2472" s="227"/>
      <c r="E2472" s="364"/>
      <c r="F2472" s="227"/>
      <c r="G2472" s="227"/>
      <c r="H2472" s="227"/>
      <c r="I2472" s="231"/>
      <c r="J2472" s="227"/>
      <c r="K2472" s="226"/>
    </row>
    <row r="2473" spans="1:11" ht="12.75" x14ac:dyDescent="0.2">
      <c r="A2473" s="227"/>
      <c r="B2473" s="227"/>
      <c r="C2473" s="361"/>
      <c r="D2473" s="227"/>
      <c r="E2473" s="364"/>
      <c r="F2473" s="227"/>
      <c r="G2473" s="227"/>
      <c r="H2473" s="227"/>
      <c r="I2473" s="231"/>
      <c r="J2473" s="227"/>
      <c r="K2473" s="226"/>
    </row>
    <row r="2474" spans="1:11" ht="12.75" x14ac:dyDescent="0.2">
      <c r="A2474" s="227"/>
      <c r="B2474" s="227"/>
      <c r="C2474" s="361"/>
      <c r="D2474" s="227"/>
      <c r="E2474" s="364"/>
      <c r="F2474" s="227"/>
      <c r="G2474" s="227"/>
      <c r="H2474" s="227"/>
      <c r="I2474" s="231"/>
      <c r="J2474" s="227"/>
      <c r="K2474" s="226"/>
    </row>
    <row r="2475" spans="1:11" ht="12.75" x14ac:dyDescent="0.2">
      <c r="A2475" s="227"/>
      <c r="B2475" s="227"/>
      <c r="C2475" s="361"/>
      <c r="D2475" s="227"/>
      <c r="E2475" s="364"/>
      <c r="F2475" s="227"/>
      <c r="G2475" s="227"/>
      <c r="H2475" s="227"/>
      <c r="I2475" s="231"/>
      <c r="J2475" s="227"/>
      <c r="K2475" s="226"/>
    </row>
    <row r="2476" spans="1:11" ht="12.75" x14ac:dyDescent="0.2">
      <c r="A2476" s="227"/>
      <c r="B2476" s="227"/>
      <c r="C2476" s="361"/>
      <c r="D2476" s="227"/>
      <c r="E2476" s="364"/>
      <c r="F2476" s="227"/>
      <c r="G2476" s="227"/>
      <c r="H2476" s="227"/>
      <c r="I2476" s="231"/>
      <c r="J2476" s="227"/>
      <c r="K2476" s="226"/>
    </row>
    <row r="2477" spans="1:11" ht="12.75" x14ac:dyDescent="0.2">
      <c r="A2477" s="227"/>
      <c r="B2477" s="227"/>
      <c r="C2477" s="361"/>
      <c r="D2477" s="227"/>
      <c r="E2477" s="364"/>
      <c r="F2477" s="227"/>
      <c r="G2477" s="227"/>
      <c r="H2477" s="227"/>
      <c r="I2477" s="231"/>
      <c r="J2477" s="227"/>
      <c r="K2477" s="226"/>
    </row>
    <row r="2478" spans="1:11" ht="12.75" x14ac:dyDescent="0.2">
      <c r="A2478" s="227"/>
      <c r="B2478" s="227"/>
      <c r="C2478" s="361"/>
      <c r="D2478" s="227"/>
      <c r="E2478" s="364"/>
      <c r="F2478" s="227"/>
      <c r="G2478" s="227"/>
      <c r="H2478" s="227"/>
      <c r="I2478" s="231"/>
      <c r="J2478" s="227"/>
      <c r="K2478" s="226"/>
    </row>
    <row r="2479" spans="1:11" ht="12.75" x14ac:dyDescent="0.2">
      <c r="A2479" s="227"/>
      <c r="B2479" s="227"/>
      <c r="C2479" s="361"/>
      <c r="D2479" s="227"/>
      <c r="E2479" s="364"/>
      <c r="F2479" s="227"/>
      <c r="G2479" s="227"/>
      <c r="H2479" s="227"/>
      <c r="I2479" s="231"/>
      <c r="J2479" s="227"/>
      <c r="K2479" s="226"/>
    </row>
    <row r="2480" spans="1:11" ht="12.75" x14ac:dyDescent="0.2">
      <c r="A2480" s="227"/>
      <c r="B2480" s="227"/>
      <c r="C2480" s="361"/>
      <c r="D2480" s="227"/>
      <c r="E2480" s="364"/>
      <c r="F2480" s="227"/>
      <c r="G2480" s="227"/>
      <c r="H2480" s="227"/>
      <c r="I2480" s="231"/>
      <c r="J2480" s="227"/>
      <c r="K2480" s="226"/>
    </row>
    <row r="2481" spans="1:11" ht="12.75" x14ac:dyDescent="0.2">
      <c r="A2481" s="227"/>
      <c r="B2481" s="227"/>
      <c r="C2481" s="361"/>
      <c r="D2481" s="227"/>
      <c r="E2481" s="364"/>
      <c r="F2481" s="227"/>
      <c r="G2481" s="227"/>
      <c r="H2481" s="227"/>
      <c r="I2481" s="231"/>
      <c r="J2481" s="227"/>
      <c r="K2481" s="226"/>
    </row>
    <row r="2482" spans="1:11" ht="12.75" x14ac:dyDescent="0.2">
      <c r="A2482" s="227"/>
      <c r="B2482" s="227"/>
      <c r="C2482" s="361"/>
      <c r="D2482" s="227"/>
      <c r="E2482" s="364"/>
      <c r="F2482" s="227"/>
      <c r="G2482" s="227"/>
      <c r="H2482" s="227"/>
      <c r="I2482" s="231"/>
      <c r="J2482" s="227"/>
      <c r="K2482" s="226"/>
    </row>
    <row r="2483" spans="1:11" ht="12.75" x14ac:dyDescent="0.2">
      <c r="A2483" s="227"/>
      <c r="B2483" s="227"/>
      <c r="C2483" s="361"/>
      <c r="D2483" s="227"/>
      <c r="E2483" s="364"/>
      <c r="F2483" s="227"/>
      <c r="G2483" s="227"/>
      <c r="H2483" s="227"/>
      <c r="I2483" s="231"/>
      <c r="J2483" s="227"/>
      <c r="K2483" s="226"/>
    </row>
    <row r="2484" spans="1:11" ht="12.75" x14ac:dyDescent="0.2">
      <c r="A2484" s="227"/>
      <c r="B2484" s="227"/>
      <c r="C2484" s="361"/>
      <c r="D2484" s="227"/>
      <c r="E2484" s="364"/>
      <c r="F2484" s="227"/>
      <c r="G2484" s="227"/>
      <c r="H2484" s="227"/>
      <c r="I2484" s="231"/>
      <c r="J2484" s="227"/>
      <c r="K2484" s="226"/>
    </row>
    <row r="2485" spans="1:11" ht="12.75" x14ac:dyDescent="0.2">
      <c r="A2485" s="227"/>
      <c r="B2485" s="227"/>
      <c r="C2485" s="361"/>
      <c r="D2485" s="227"/>
      <c r="E2485" s="364"/>
      <c r="F2485" s="227"/>
      <c r="G2485" s="227"/>
      <c r="H2485" s="227"/>
      <c r="I2485" s="231"/>
      <c r="J2485" s="227"/>
      <c r="K2485" s="226"/>
    </row>
    <row r="2486" spans="1:11" ht="12.75" x14ac:dyDescent="0.2">
      <c r="A2486" s="227"/>
      <c r="B2486" s="227"/>
      <c r="C2486" s="361"/>
      <c r="D2486" s="227"/>
      <c r="E2486" s="364"/>
      <c r="F2486" s="227"/>
      <c r="G2486" s="227"/>
      <c r="H2486" s="227"/>
      <c r="I2486" s="231"/>
      <c r="J2486" s="227"/>
      <c r="K2486" s="226"/>
    </row>
    <row r="2487" spans="1:11" ht="12.75" x14ac:dyDescent="0.2">
      <c r="A2487" s="227"/>
      <c r="B2487" s="227"/>
      <c r="C2487" s="361"/>
      <c r="D2487" s="227"/>
      <c r="E2487" s="364"/>
      <c r="F2487" s="227"/>
      <c r="G2487" s="227"/>
      <c r="H2487" s="227"/>
      <c r="I2487" s="231"/>
      <c r="J2487" s="227"/>
      <c r="K2487" s="226"/>
    </row>
    <row r="2488" spans="1:11" ht="12.75" x14ac:dyDescent="0.2">
      <c r="A2488" s="227"/>
      <c r="B2488" s="227"/>
      <c r="C2488" s="361"/>
      <c r="D2488" s="227"/>
      <c r="E2488" s="364"/>
      <c r="F2488" s="227"/>
      <c r="G2488" s="227"/>
      <c r="H2488" s="227"/>
      <c r="I2488" s="231"/>
      <c r="J2488" s="227"/>
      <c r="K2488" s="226"/>
    </row>
    <row r="2489" spans="1:11" ht="12.75" x14ac:dyDescent="0.2">
      <c r="A2489" s="227"/>
      <c r="B2489" s="227"/>
      <c r="C2489" s="361"/>
      <c r="D2489" s="227"/>
      <c r="E2489" s="364"/>
      <c r="F2489" s="227"/>
      <c r="G2489" s="227"/>
      <c r="H2489" s="227"/>
      <c r="I2489" s="231"/>
      <c r="J2489" s="227"/>
      <c r="K2489" s="226"/>
    </row>
    <row r="2490" spans="1:11" ht="12.75" x14ac:dyDescent="0.2">
      <c r="A2490" s="227"/>
      <c r="B2490" s="227"/>
      <c r="C2490" s="361"/>
      <c r="D2490" s="227"/>
      <c r="E2490" s="364"/>
      <c r="F2490" s="227"/>
      <c r="G2490" s="227"/>
      <c r="H2490" s="227"/>
      <c r="I2490" s="231"/>
      <c r="J2490" s="227"/>
      <c r="K2490" s="226"/>
    </row>
    <row r="2491" spans="1:11" ht="12.75" x14ac:dyDescent="0.2">
      <c r="A2491" s="227"/>
      <c r="B2491" s="227"/>
      <c r="C2491" s="361"/>
      <c r="D2491" s="227"/>
      <c r="E2491" s="364"/>
      <c r="F2491" s="227"/>
      <c r="G2491" s="227"/>
      <c r="H2491" s="227"/>
      <c r="I2491" s="231"/>
      <c r="J2491" s="227"/>
      <c r="K2491" s="226"/>
    </row>
    <row r="2492" spans="1:11" ht="12.75" x14ac:dyDescent="0.2">
      <c r="A2492" s="227"/>
      <c r="B2492" s="227"/>
      <c r="C2492" s="361"/>
      <c r="D2492" s="227"/>
      <c r="E2492" s="364"/>
      <c r="F2492" s="227"/>
      <c r="G2492" s="227"/>
      <c r="H2492" s="227"/>
      <c r="I2492" s="231"/>
      <c r="J2492" s="227"/>
      <c r="K2492" s="226"/>
    </row>
    <row r="2493" spans="1:11" ht="12.75" x14ac:dyDescent="0.2">
      <c r="A2493" s="227"/>
      <c r="B2493" s="227"/>
      <c r="C2493" s="361"/>
      <c r="D2493" s="227"/>
      <c r="E2493" s="364"/>
      <c r="F2493" s="227"/>
      <c r="G2493" s="227"/>
      <c r="H2493" s="227"/>
      <c r="I2493" s="231"/>
      <c r="J2493" s="227"/>
      <c r="K2493" s="226"/>
    </row>
    <row r="2494" spans="1:11" ht="12.75" x14ac:dyDescent="0.2">
      <c r="A2494" s="227"/>
      <c r="B2494" s="227"/>
      <c r="C2494" s="361"/>
      <c r="D2494" s="227"/>
      <c r="E2494" s="364"/>
      <c r="F2494" s="227"/>
      <c r="G2494" s="227"/>
      <c r="H2494" s="227"/>
      <c r="I2494" s="231"/>
      <c r="J2494" s="227"/>
      <c r="K2494" s="226"/>
    </row>
    <row r="2495" spans="1:11" ht="12.75" x14ac:dyDescent="0.2">
      <c r="A2495" s="227"/>
      <c r="B2495" s="227"/>
      <c r="C2495" s="361"/>
      <c r="D2495" s="227"/>
      <c r="E2495" s="364"/>
      <c r="F2495" s="227"/>
      <c r="G2495" s="227"/>
      <c r="H2495" s="227"/>
      <c r="I2495" s="231"/>
      <c r="J2495" s="227"/>
      <c r="K2495" s="226"/>
    </row>
    <row r="2496" spans="1:11" ht="12.75" x14ac:dyDescent="0.2">
      <c r="A2496" s="227"/>
      <c r="B2496" s="227"/>
      <c r="C2496" s="361"/>
      <c r="D2496" s="227"/>
      <c r="E2496" s="364"/>
      <c r="F2496" s="227"/>
      <c r="G2496" s="227"/>
      <c r="H2496" s="227"/>
      <c r="I2496" s="231"/>
      <c r="J2496" s="227"/>
      <c r="K2496" s="226"/>
    </row>
    <row r="2497" spans="1:11" ht="12.75" x14ac:dyDescent="0.2">
      <c r="A2497" s="227"/>
      <c r="B2497" s="227"/>
      <c r="C2497" s="361"/>
      <c r="D2497" s="227"/>
      <c r="E2497" s="364"/>
      <c r="F2497" s="227"/>
      <c r="G2497" s="227"/>
      <c r="H2497" s="227"/>
      <c r="I2497" s="231"/>
      <c r="J2497" s="227"/>
      <c r="K2497" s="226"/>
    </row>
    <row r="2498" spans="1:11" ht="12.75" x14ac:dyDescent="0.2">
      <c r="A2498" s="227"/>
      <c r="B2498" s="227"/>
      <c r="C2498" s="361"/>
      <c r="D2498" s="227"/>
      <c r="E2498" s="364"/>
      <c r="F2498" s="227"/>
      <c r="G2498" s="227"/>
      <c r="H2498" s="227"/>
      <c r="I2498" s="231"/>
      <c r="J2498" s="227"/>
      <c r="K2498" s="226"/>
    </row>
    <row r="2499" spans="1:11" ht="12.75" x14ac:dyDescent="0.2">
      <c r="A2499" s="227"/>
      <c r="B2499" s="227"/>
      <c r="C2499" s="361"/>
      <c r="D2499" s="227"/>
      <c r="E2499" s="364"/>
      <c r="F2499" s="227"/>
      <c r="G2499" s="227"/>
      <c r="H2499" s="227"/>
      <c r="I2499" s="231"/>
      <c r="J2499" s="227"/>
      <c r="K2499" s="226"/>
    </row>
    <row r="2500" spans="1:11" ht="12.75" x14ac:dyDescent="0.2">
      <c r="A2500" s="227"/>
      <c r="B2500" s="227"/>
      <c r="C2500" s="361"/>
      <c r="D2500" s="227"/>
      <c r="E2500" s="364"/>
      <c r="F2500" s="227"/>
      <c r="G2500" s="227"/>
      <c r="H2500" s="227"/>
      <c r="I2500" s="231"/>
      <c r="J2500" s="227"/>
      <c r="K2500" s="226"/>
    </row>
    <row r="2501" spans="1:11" ht="12.75" x14ac:dyDescent="0.2">
      <c r="A2501" s="227"/>
      <c r="B2501" s="227"/>
      <c r="C2501" s="361"/>
      <c r="D2501" s="227"/>
      <c r="E2501" s="364"/>
      <c r="F2501" s="227"/>
      <c r="G2501" s="227"/>
      <c r="H2501" s="227"/>
      <c r="I2501" s="231"/>
      <c r="J2501" s="227"/>
      <c r="K2501" s="226"/>
    </row>
    <row r="2502" spans="1:11" ht="12.75" x14ac:dyDescent="0.2">
      <c r="A2502" s="227"/>
      <c r="B2502" s="227"/>
      <c r="C2502" s="361"/>
      <c r="D2502" s="227"/>
      <c r="E2502" s="364"/>
      <c r="F2502" s="227"/>
      <c r="G2502" s="227"/>
      <c r="H2502" s="227"/>
      <c r="I2502" s="231"/>
      <c r="J2502" s="227"/>
      <c r="K2502" s="226"/>
    </row>
    <row r="2503" spans="1:11" ht="12.75" x14ac:dyDescent="0.2">
      <c r="A2503" s="227"/>
      <c r="B2503" s="227"/>
      <c r="C2503" s="361"/>
      <c r="D2503" s="227"/>
      <c r="E2503" s="364"/>
      <c r="F2503" s="227"/>
      <c r="G2503" s="227"/>
      <c r="H2503" s="227"/>
      <c r="I2503" s="231"/>
      <c r="J2503" s="227"/>
      <c r="K2503" s="226"/>
    </row>
    <row r="2504" spans="1:11" ht="12.75" x14ac:dyDescent="0.2">
      <c r="A2504" s="227"/>
      <c r="B2504" s="227"/>
      <c r="C2504" s="361"/>
      <c r="D2504" s="227"/>
      <c r="E2504" s="364"/>
      <c r="F2504" s="227"/>
      <c r="G2504" s="227"/>
      <c r="H2504" s="227"/>
      <c r="I2504" s="231"/>
      <c r="J2504" s="227"/>
      <c r="K2504" s="226"/>
    </row>
    <row r="2505" spans="1:11" ht="12.75" x14ac:dyDescent="0.2">
      <c r="A2505" s="227"/>
      <c r="B2505" s="227"/>
      <c r="C2505" s="361"/>
      <c r="D2505" s="227"/>
      <c r="E2505" s="364"/>
      <c r="F2505" s="227"/>
      <c r="G2505" s="227"/>
      <c r="H2505" s="227"/>
      <c r="I2505" s="231"/>
      <c r="J2505" s="227"/>
      <c r="K2505" s="226"/>
    </row>
    <row r="2506" spans="1:11" ht="12.75" x14ac:dyDescent="0.2">
      <c r="A2506" s="227"/>
      <c r="B2506" s="227"/>
      <c r="C2506" s="361"/>
      <c r="D2506" s="227"/>
      <c r="E2506" s="364"/>
      <c r="F2506" s="227"/>
      <c r="G2506" s="227"/>
      <c r="H2506" s="227"/>
      <c r="I2506" s="231"/>
      <c r="J2506" s="227"/>
      <c r="K2506" s="226"/>
    </row>
    <row r="2507" spans="1:11" ht="12.75" x14ac:dyDescent="0.2">
      <c r="A2507" s="227"/>
      <c r="B2507" s="227"/>
      <c r="C2507" s="361"/>
      <c r="D2507" s="227"/>
      <c r="E2507" s="364"/>
      <c r="F2507" s="227"/>
      <c r="G2507" s="227"/>
      <c r="H2507" s="227"/>
      <c r="I2507" s="231"/>
      <c r="J2507" s="227"/>
      <c r="K2507" s="226"/>
    </row>
    <row r="2508" spans="1:11" ht="12.75" x14ac:dyDescent="0.2">
      <c r="A2508" s="227"/>
      <c r="B2508" s="227"/>
      <c r="C2508" s="361"/>
      <c r="D2508" s="227"/>
      <c r="E2508" s="364"/>
      <c r="F2508" s="227"/>
      <c r="G2508" s="227"/>
      <c r="H2508" s="227"/>
      <c r="I2508" s="231"/>
      <c r="J2508" s="227"/>
      <c r="K2508" s="226"/>
    </row>
    <row r="2509" spans="1:11" ht="12.75" x14ac:dyDescent="0.2">
      <c r="A2509" s="227"/>
      <c r="B2509" s="227"/>
      <c r="C2509" s="361"/>
      <c r="D2509" s="227"/>
      <c r="E2509" s="364"/>
      <c r="F2509" s="227"/>
      <c r="G2509" s="227"/>
      <c r="H2509" s="227"/>
      <c r="I2509" s="231"/>
      <c r="J2509" s="227"/>
      <c r="K2509" s="226"/>
    </row>
    <row r="2510" spans="1:11" ht="12.75" x14ac:dyDescent="0.2">
      <c r="A2510" s="227"/>
      <c r="B2510" s="227"/>
      <c r="C2510" s="361"/>
      <c r="D2510" s="227"/>
      <c r="E2510" s="364"/>
      <c r="F2510" s="227"/>
      <c r="G2510" s="227"/>
      <c r="H2510" s="227"/>
      <c r="I2510" s="231"/>
      <c r="J2510" s="227"/>
      <c r="K2510" s="226"/>
    </row>
    <row r="2511" spans="1:11" ht="12.75" x14ac:dyDescent="0.2">
      <c r="A2511" s="227"/>
      <c r="B2511" s="227"/>
      <c r="C2511" s="361"/>
      <c r="D2511" s="227"/>
      <c r="E2511" s="364"/>
      <c r="F2511" s="227"/>
      <c r="G2511" s="227"/>
      <c r="H2511" s="227"/>
      <c r="I2511" s="231"/>
      <c r="J2511" s="227"/>
      <c r="K2511" s="226"/>
    </row>
    <row r="2512" spans="1:11" ht="12.75" x14ac:dyDescent="0.2">
      <c r="A2512" s="227"/>
      <c r="B2512" s="227"/>
      <c r="C2512" s="361"/>
      <c r="D2512" s="227"/>
      <c r="E2512" s="364"/>
      <c r="F2512" s="227"/>
      <c r="G2512" s="227"/>
      <c r="H2512" s="227"/>
      <c r="I2512" s="231"/>
      <c r="J2512" s="227"/>
      <c r="K2512" s="226"/>
    </row>
    <row r="2513" spans="1:11" ht="12.75" x14ac:dyDescent="0.2">
      <c r="A2513" s="227"/>
      <c r="B2513" s="227"/>
      <c r="C2513" s="361"/>
      <c r="D2513" s="227"/>
      <c r="E2513" s="364"/>
      <c r="F2513" s="227"/>
      <c r="G2513" s="227"/>
      <c r="H2513" s="227"/>
      <c r="I2513" s="231"/>
      <c r="J2513" s="227"/>
      <c r="K2513" s="226"/>
    </row>
    <row r="2514" spans="1:11" ht="12.75" x14ac:dyDescent="0.2">
      <c r="A2514" s="227"/>
      <c r="B2514" s="227"/>
      <c r="C2514" s="361"/>
      <c r="D2514" s="227"/>
      <c r="E2514" s="364"/>
      <c r="F2514" s="227"/>
      <c r="G2514" s="227"/>
      <c r="H2514" s="227"/>
      <c r="I2514" s="231"/>
      <c r="J2514" s="227"/>
      <c r="K2514" s="226"/>
    </row>
    <row r="2515" spans="1:11" ht="12.75" x14ac:dyDescent="0.2">
      <c r="A2515" s="227"/>
      <c r="B2515" s="227"/>
      <c r="C2515" s="361"/>
      <c r="D2515" s="227"/>
      <c r="E2515" s="364"/>
      <c r="F2515" s="227"/>
      <c r="G2515" s="227"/>
      <c r="H2515" s="227"/>
      <c r="I2515" s="231"/>
      <c r="J2515" s="227"/>
      <c r="K2515" s="226"/>
    </row>
    <row r="2516" spans="1:11" ht="12.75" x14ac:dyDescent="0.2">
      <c r="A2516" s="227"/>
      <c r="B2516" s="227"/>
      <c r="C2516" s="361"/>
      <c r="D2516" s="227"/>
      <c r="E2516" s="364"/>
      <c r="F2516" s="227"/>
      <c r="G2516" s="227"/>
      <c r="H2516" s="227"/>
      <c r="I2516" s="231"/>
      <c r="J2516" s="227"/>
      <c r="K2516" s="226"/>
    </row>
    <row r="2517" spans="1:11" ht="12.75" x14ac:dyDescent="0.2">
      <c r="A2517" s="227"/>
      <c r="B2517" s="227"/>
      <c r="C2517" s="361"/>
      <c r="D2517" s="227"/>
      <c r="E2517" s="364"/>
      <c r="F2517" s="227"/>
      <c r="G2517" s="227"/>
      <c r="H2517" s="227"/>
      <c r="I2517" s="231"/>
      <c r="J2517" s="227"/>
      <c r="K2517" s="226"/>
    </row>
    <row r="2518" spans="1:11" ht="12.75" x14ac:dyDescent="0.2">
      <c r="A2518" s="227"/>
      <c r="B2518" s="227"/>
      <c r="C2518" s="361"/>
      <c r="D2518" s="227"/>
      <c r="E2518" s="364"/>
      <c r="F2518" s="227"/>
      <c r="G2518" s="227"/>
      <c r="H2518" s="227"/>
      <c r="I2518" s="231"/>
      <c r="J2518" s="227"/>
      <c r="K2518" s="226"/>
    </row>
    <row r="2519" spans="1:11" ht="12.75" x14ac:dyDescent="0.2">
      <c r="A2519" s="227"/>
      <c r="B2519" s="227"/>
      <c r="C2519" s="361"/>
      <c r="D2519" s="227"/>
      <c r="E2519" s="364"/>
      <c r="F2519" s="227"/>
      <c r="G2519" s="227"/>
      <c r="H2519" s="227"/>
      <c r="I2519" s="231"/>
      <c r="J2519" s="227"/>
      <c r="K2519" s="226"/>
    </row>
    <row r="2520" spans="1:11" ht="12.75" x14ac:dyDescent="0.2">
      <c r="A2520" s="227"/>
      <c r="B2520" s="227"/>
      <c r="C2520" s="361"/>
      <c r="D2520" s="227"/>
      <c r="E2520" s="364"/>
      <c r="F2520" s="227"/>
      <c r="G2520" s="227"/>
      <c r="H2520" s="227"/>
      <c r="I2520" s="231"/>
      <c r="J2520" s="227"/>
      <c r="K2520" s="226"/>
    </row>
    <row r="2521" spans="1:11" ht="12.75" x14ac:dyDescent="0.2">
      <c r="A2521" s="227"/>
      <c r="B2521" s="227"/>
      <c r="C2521" s="361"/>
      <c r="D2521" s="227"/>
      <c r="E2521" s="364"/>
      <c r="F2521" s="227"/>
      <c r="G2521" s="227"/>
      <c r="H2521" s="227"/>
      <c r="I2521" s="231"/>
      <c r="J2521" s="227"/>
      <c r="K2521" s="226"/>
    </row>
    <row r="2522" spans="1:11" ht="12.75" x14ac:dyDescent="0.2">
      <c r="A2522" s="227"/>
      <c r="B2522" s="227"/>
      <c r="C2522" s="361"/>
      <c r="D2522" s="227"/>
      <c r="E2522" s="364"/>
      <c r="F2522" s="227"/>
      <c r="G2522" s="227"/>
      <c r="H2522" s="227"/>
      <c r="I2522" s="231"/>
      <c r="J2522" s="227"/>
      <c r="K2522" s="226"/>
    </row>
    <row r="2523" spans="1:11" ht="12.75" x14ac:dyDescent="0.2">
      <c r="A2523" s="227"/>
      <c r="B2523" s="227"/>
      <c r="C2523" s="361"/>
      <c r="D2523" s="227"/>
      <c r="E2523" s="364"/>
      <c r="F2523" s="227"/>
      <c r="G2523" s="227"/>
      <c r="H2523" s="227"/>
      <c r="I2523" s="231"/>
      <c r="J2523" s="227"/>
      <c r="K2523" s="226"/>
    </row>
    <row r="2524" spans="1:11" ht="12.75" x14ac:dyDescent="0.2">
      <c r="A2524" s="227"/>
      <c r="B2524" s="227"/>
      <c r="C2524" s="361"/>
      <c r="D2524" s="227"/>
      <c r="E2524" s="364"/>
      <c r="F2524" s="227"/>
      <c r="G2524" s="227"/>
      <c r="H2524" s="227"/>
      <c r="I2524" s="231"/>
      <c r="J2524" s="227"/>
      <c r="K2524" s="226"/>
    </row>
    <row r="2525" spans="1:11" ht="12.75" x14ac:dyDescent="0.2">
      <c r="A2525" s="227"/>
      <c r="B2525" s="227"/>
      <c r="C2525" s="361"/>
      <c r="D2525" s="227"/>
      <c r="E2525" s="364"/>
      <c r="F2525" s="227"/>
      <c r="G2525" s="227"/>
      <c r="H2525" s="227"/>
      <c r="I2525" s="231"/>
      <c r="J2525" s="227"/>
      <c r="K2525" s="226"/>
    </row>
    <row r="2526" spans="1:11" ht="12.75" x14ac:dyDescent="0.2">
      <c r="A2526" s="227"/>
      <c r="B2526" s="227"/>
      <c r="C2526" s="361"/>
      <c r="D2526" s="227"/>
      <c r="E2526" s="364"/>
      <c r="F2526" s="227"/>
      <c r="G2526" s="227"/>
      <c r="H2526" s="227"/>
      <c r="I2526" s="231"/>
      <c r="J2526" s="227"/>
      <c r="K2526" s="226"/>
    </row>
    <row r="2527" spans="1:11" ht="12.75" x14ac:dyDescent="0.2">
      <c r="A2527" s="227"/>
      <c r="B2527" s="227"/>
      <c r="C2527" s="361"/>
      <c r="D2527" s="227"/>
      <c r="E2527" s="364"/>
      <c r="F2527" s="227"/>
      <c r="G2527" s="227"/>
      <c r="H2527" s="227"/>
      <c r="I2527" s="231"/>
      <c r="J2527" s="227"/>
      <c r="K2527" s="226"/>
    </row>
    <row r="2528" spans="1:11" ht="12.75" x14ac:dyDescent="0.2">
      <c r="A2528" s="227"/>
      <c r="B2528" s="227"/>
      <c r="C2528" s="361"/>
      <c r="D2528" s="227"/>
      <c r="E2528" s="364"/>
      <c r="F2528" s="227"/>
      <c r="G2528" s="227"/>
      <c r="H2528" s="227"/>
      <c r="I2528" s="231"/>
      <c r="J2528" s="227"/>
      <c r="K2528" s="226"/>
    </row>
    <row r="2529" spans="1:11" ht="12.75" x14ac:dyDescent="0.2">
      <c r="A2529" s="227"/>
      <c r="B2529" s="227"/>
      <c r="C2529" s="361"/>
      <c r="D2529" s="227"/>
      <c r="E2529" s="364"/>
      <c r="F2529" s="227"/>
      <c r="G2529" s="227"/>
      <c r="H2529" s="227"/>
      <c r="I2529" s="231"/>
      <c r="J2529" s="227"/>
      <c r="K2529" s="226"/>
    </row>
    <row r="2530" spans="1:11" ht="12.75" x14ac:dyDescent="0.2">
      <c r="A2530" s="227"/>
      <c r="B2530" s="227"/>
      <c r="C2530" s="361"/>
      <c r="D2530" s="227"/>
      <c r="E2530" s="364"/>
      <c r="F2530" s="227"/>
      <c r="G2530" s="227"/>
      <c r="H2530" s="227"/>
      <c r="I2530" s="231"/>
      <c r="J2530" s="227"/>
      <c r="K2530" s="226"/>
    </row>
    <row r="2531" spans="1:11" ht="12.75" x14ac:dyDescent="0.2">
      <c r="A2531" s="227"/>
      <c r="B2531" s="227"/>
      <c r="C2531" s="361"/>
      <c r="D2531" s="227"/>
      <c r="E2531" s="364"/>
      <c r="F2531" s="227"/>
      <c r="G2531" s="227"/>
      <c r="H2531" s="227"/>
      <c r="I2531" s="231"/>
      <c r="J2531" s="227"/>
      <c r="K2531" s="226"/>
    </row>
    <row r="2532" spans="1:11" ht="12.75" x14ac:dyDescent="0.2">
      <c r="A2532" s="227"/>
      <c r="B2532" s="227"/>
      <c r="C2532" s="361"/>
      <c r="D2532" s="227"/>
      <c r="E2532" s="364"/>
      <c r="F2532" s="227"/>
      <c r="G2532" s="227"/>
      <c r="H2532" s="227"/>
      <c r="I2532" s="231"/>
      <c r="J2532" s="227"/>
      <c r="K2532" s="226"/>
    </row>
    <row r="2533" spans="1:11" ht="12.75" x14ac:dyDescent="0.2">
      <c r="A2533" s="227"/>
      <c r="B2533" s="227"/>
      <c r="C2533" s="361"/>
      <c r="D2533" s="227"/>
      <c r="E2533" s="364"/>
      <c r="F2533" s="227"/>
      <c r="G2533" s="227"/>
      <c r="H2533" s="227"/>
      <c r="I2533" s="231"/>
      <c r="J2533" s="227"/>
      <c r="K2533" s="226"/>
    </row>
    <row r="2534" spans="1:11" ht="12.75" x14ac:dyDescent="0.2">
      <c r="A2534" s="227"/>
      <c r="B2534" s="227"/>
      <c r="C2534" s="361"/>
      <c r="D2534" s="227"/>
      <c r="E2534" s="364"/>
      <c r="F2534" s="227"/>
      <c r="G2534" s="227"/>
      <c r="H2534" s="227"/>
      <c r="I2534" s="231"/>
      <c r="J2534" s="227"/>
      <c r="K2534" s="226"/>
    </row>
    <row r="2535" spans="1:11" ht="12.75" x14ac:dyDescent="0.2">
      <c r="A2535" s="227"/>
      <c r="B2535" s="227"/>
      <c r="C2535" s="361"/>
      <c r="D2535" s="227"/>
      <c r="E2535" s="364"/>
      <c r="F2535" s="227"/>
      <c r="G2535" s="227"/>
      <c r="H2535" s="227"/>
      <c r="I2535" s="231"/>
      <c r="J2535" s="227"/>
      <c r="K2535" s="226"/>
    </row>
    <row r="2536" spans="1:11" ht="12.75" x14ac:dyDescent="0.2">
      <c r="A2536" s="227"/>
      <c r="B2536" s="227"/>
      <c r="C2536" s="361"/>
      <c r="D2536" s="227"/>
      <c r="E2536" s="364"/>
      <c r="F2536" s="227"/>
      <c r="G2536" s="227"/>
      <c r="H2536" s="227"/>
      <c r="I2536" s="231"/>
      <c r="J2536" s="227"/>
      <c r="K2536" s="226"/>
    </row>
    <row r="2537" spans="1:11" ht="12.75" x14ac:dyDescent="0.2">
      <c r="A2537" s="227"/>
      <c r="B2537" s="227"/>
      <c r="C2537" s="361"/>
      <c r="D2537" s="227"/>
      <c r="E2537" s="364"/>
      <c r="F2537" s="227"/>
      <c r="G2537" s="227"/>
      <c r="H2537" s="227"/>
      <c r="I2537" s="231"/>
      <c r="J2537" s="227"/>
      <c r="K2537" s="226"/>
    </row>
    <row r="2538" spans="1:11" ht="12.75" x14ac:dyDescent="0.2">
      <c r="A2538" s="227"/>
      <c r="B2538" s="227"/>
      <c r="C2538" s="361"/>
      <c r="D2538" s="227"/>
      <c r="E2538" s="364"/>
      <c r="F2538" s="227"/>
      <c r="G2538" s="227"/>
      <c r="H2538" s="227"/>
      <c r="I2538" s="231"/>
      <c r="J2538" s="227"/>
      <c r="K2538" s="226"/>
    </row>
    <row r="2539" spans="1:11" ht="12.75" x14ac:dyDescent="0.2">
      <c r="A2539" s="227"/>
      <c r="B2539" s="227"/>
      <c r="C2539" s="361"/>
      <c r="D2539" s="227"/>
      <c r="E2539" s="364"/>
      <c r="F2539" s="227"/>
      <c r="G2539" s="227"/>
      <c r="H2539" s="227"/>
      <c r="I2539" s="231"/>
      <c r="J2539" s="227"/>
      <c r="K2539" s="226"/>
    </row>
    <row r="2540" spans="1:11" ht="12.75" x14ac:dyDescent="0.2">
      <c r="A2540" s="227"/>
      <c r="B2540" s="227"/>
      <c r="C2540" s="361"/>
      <c r="D2540" s="227"/>
      <c r="E2540" s="364"/>
      <c r="F2540" s="227"/>
      <c r="G2540" s="227"/>
      <c r="H2540" s="227"/>
      <c r="I2540" s="231"/>
      <c r="J2540" s="227"/>
      <c r="K2540" s="226"/>
    </row>
    <row r="2541" spans="1:11" ht="12.75" x14ac:dyDescent="0.2">
      <c r="A2541" s="227"/>
      <c r="B2541" s="227"/>
      <c r="C2541" s="361"/>
      <c r="D2541" s="227"/>
      <c r="E2541" s="364"/>
      <c r="F2541" s="227"/>
      <c r="G2541" s="227"/>
      <c r="H2541" s="227"/>
      <c r="I2541" s="231"/>
      <c r="J2541" s="227"/>
      <c r="K2541" s="226"/>
    </row>
    <row r="2542" spans="1:11" ht="12.75" x14ac:dyDescent="0.2">
      <c r="A2542" s="227"/>
      <c r="B2542" s="227"/>
      <c r="C2542" s="361"/>
      <c r="D2542" s="227"/>
      <c r="E2542" s="364"/>
      <c r="F2542" s="227"/>
      <c r="G2542" s="227"/>
      <c r="H2542" s="227"/>
      <c r="I2542" s="231"/>
      <c r="J2542" s="227"/>
      <c r="K2542" s="226"/>
    </row>
    <row r="2543" spans="1:11" ht="12.75" x14ac:dyDescent="0.2">
      <c r="A2543" s="227"/>
      <c r="B2543" s="227"/>
      <c r="C2543" s="361"/>
      <c r="D2543" s="227"/>
      <c r="E2543" s="364"/>
      <c r="F2543" s="227"/>
      <c r="G2543" s="227"/>
      <c r="H2543" s="227"/>
      <c r="I2543" s="231"/>
      <c r="J2543" s="227"/>
      <c r="K2543" s="226"/>
    </row>
    <row r="2544" spans="1:11" ht="12.75" x14ac:dyDescent="0.2">
      <c r="A2544" s="227"/>
      <c r="B2544" s="227"/>
      <c r="C2544" s="361"/>
      <c r="D2544" s="227"/>
      <c r="E2544" s="364"/>
      <c r="F2544" s="227"/>
      <c r="G2544" s="227"/>
      <c r="H2544" s="227"/>
      <c r="I2544" s="231"/>
      <c r="J2544" s="227"/>
      <c r="K2544" s="226"/>
    </row>
    <row r="2545" spans="1:11" ht="12.75" x14ac:dyDescent="0.2">
      <c r="A2545" s="227"/>
      <c r="B2545" s="227"/>
      <c r="C2545" s="361"/>
      <c r="D2545" s="227"/>
      <c r="E2545" s="364"/>
      <c r="F2545" s="227"/>
      <c r="G2545" s="227"/>
      <c r="H2545" s="227"/>
      <c r="I2545" s="231"/>
      <c r="J2545" s="227"/>
      <c r="K2545" s="226"/>
    </row>
    <row r="2546" spans="1:11" ht="12.75" x14ac:dyDescent="0.2">
      <c r="A2546" s="227"/>
      <c r="B2546" s="227"/>
      <c r="C2546" s="361"/>
      <c r="D2546" s="227"/>
      <c r="E2546" s="364"/>
      <c r="F2546" s="227"/>
      <c r="G2546" s="227"/>
      <c r="H2546" s="227"/>
      <c r="I2546" s="231"/>
      <c r="J2546" s="227"/>
      <c r="K2546" s="226"/>
    </row>
    <row r="2547" spans="1:11" ht="12.75" x14ac:dyDescent="0.2">
      <c r="A2547" s="227"/>
      <c r="B2547" s="227"/>
      <c r="C2547" s="361"/>
      <c r="D2547" s="227"/>
      <c r="E2547" s="364"/>
      <c r="F2547" s="227"/>
      <c r="G2547" s="227"/>
      <c r="H2547" s="227"/>
      <c r="I2547" s="231"/>
      <c r="J2547" s="227"/>
      <c r="K2547" s="226"/>
    </row>
    <row r="2548" spans="1:11" ht="12.75" x14ac:dyDescent="0.2">
      <c r="A2548" s="227"/>
      <c r="B2548" s="227"/>
      <c r="C2548" s="361"/>
      <c r="D2548" s="227"/>
      <c r="E2548" s="364"/>
      <c r="F2548" s="227"/>
      <c r="G2548" s="227"/>
      <c r="H2548" s="227"/>
      <c r="I2548" s="231"/>
      <c r="J2548" s="227"/>
      <c r="K2548" s="226"/>
    </row>
    <row r="2549" spans="1:11" ht="12.75" x14ac:dyDescent="0.2">
      <c r="A2549" s="227"/>
      <c r="B2549" s="227"/>
      <c r="C2549" s="361"/>
      <c r="D2549" s="227"/>
      <c r="E2549" s="364"/>
      <c r="F2549" s="227"/>
      <c r="G2549" s="227"/>
      <c r="H2549" s="227"/>
      <c r="I2549" s="231"/>
      <c r="J2549" s="227"/>
      <c r="K2549" s="226"/>
    </row>
    <row r="2550" spans="1:11" ht="12.75" x14ac:dyDescent="0.2">
      <c r="A2550" s="227"/>
      <c r="B2550" s="227"/>
      <c r="C2550" s="361"/>
      <c r="D2550" s="227"/>
      <c r="E2550" s="364"/>
      <c r="F2550" s="227"/>
      <c r="G2550" s="227"/>
      <c r="H2550" s="227"/>
      <c r="I2550" s="231"/>
      <c r="J2550" s="227"/>
      <c r="K2550" s="226"/>
    </row>
    <row r="2551" spans="1:11" ht="12.75" x14ac:dyDescent="0.2">
      <c r="A2551" s="227"/>
      <c r="B2551" s="227"/>
      <c r="C2551" s="361"/>
      <c r="D2551" s="227"/>
      <c r="E2551" s="364"/>
      <c r="F2551" s="227"/>
      <c r="G2551" s="227"/>
      <c r="H2551" s="227"/>
      <c r="I2551" s="231"/>
      <c r="J2551" s="227"/>
      <c r="K2551" s="226"/>
    </row>
    <row r="2552" spans="1:11" ht="12.75" x14ac:dyDescent="0.2">
      <c r="A2552" s="227"/>
      <c r="B2552" s="227"/>
      <c r="C2552" s="361"/>
      <c r="D2552" s="227"/>
      <c r="E2552" s="364"/>
      <c r="F2552" s="227"/>
      <c r="G2552" s="227"/>
      <c r="H2552" s="227"/>
      <c r="I2552" s="231"/>
      <c r="J2552" s="227"/>
      <c r="K2552" s="226"/>
    </row>
    <row r="2553" spans="1:11" ht="12.75" x14ac:dyDescent="0.2">
      <c r="A2553" s="227"/>
      <c r="B2553" s="227"/>
      <c r="C2553" s="361"/>
      <c r="D2553" s="227"/>
      <c r="E2553" s="364"/>
      <c r="F2553" s="227"/>
      <c r="G2553" s="227"/>
      <c r="H2553" s="227"/>
      <c r="I2553" s="231"/>
      <c r="J2553" s="227"/>
      <c r="K2553" s="226"/>
    </row>
    <row r="2554" spans="1:11" ht="12.75" x14ac:dyDescent="0.2">
      <c r="A2554" s="227"/>
      <c r="B2554" s="227"/>
      <c r="C2554" s="361"/>
      <c r="D2554" s="227"/>
      <c r="E2554" s="364"/>
      <c r="F2554" s="227"/>
      <c r="G2554" s="227"/>
      <c r="H2554" s="227"/>
      <c r="I2554" s="231"/>
      <c r="J2554" s="227"/>
      <c r="K2554" s="226"/>
    </row>
    <row r="2555" spans="1:11" ht="12.75" x14ac:dyDescent="0.2">
      <c r="A2555" s="227"/>
      <c r="B2555" s="227"/>
      <c r="C2555" s="361"/>
      <c r="D2555" s="227"/>
      <c r="E2555" s="364"/>
      <c r="F2555" s="227"/>
      <c r="G2555" s="227"/>
      <c r="H2555" s="227"/>
      <c r="I2555" s="231"/>
      <c r="J2555" s="227"/>
      <c r="K2555" s="226"/>
    </row>
    <row r="2556" spans="1:11" ht="12.75" x14ac:dyDescent="0.2">
      <c r="A2556" s="227"/>
      <c r="B2556" s="227"/>
      <c r="C2556" s="361"/>
      <c r="D2556" s="227"/>
      <c r="E2556" s="364"/>
      <c r="F2556" s="227"/>
      <c r="G2556" s="227"/>
      <c r="H2556" s="227"/>
      <c r="I2556" s="231"/>
      <c r="J2556" s="227"/>
      <c r="K2556" s="226"/>
    </row>
    <row r="2557" spans="1:11" ht="12.75" x14ac:dyDescent="0.2">
      <c r="A2557" s="227"/>
      <c r="B2557" s="227"/>
      <c r="C2557" s="361"/>
      <c r="D2557" s="227"/>
      <c r="E2557" s="364"/>
      <c r="F2557" s="227"/>
      <c r="G2557" s="227"/>
      <c r="H2557" s="227"/>
      <c r="I2557" s="231"/>
      <c r="J2557" s="227"/>
      <c r="K2557" s="226"/>
    </row>
    <row r="2558" spans="1:11" ht="12.75" x14ac:dyDescent="0.2">
      <c r="A2558" s="227"/>
      <c r="B2558" s="227"/>
      <c r="C2558" s="361"/>
      <c r="D2558" s="227"/>
      <c r="E2558" s="364"/>
      <c r="F2558" s="227"/>
      <c r="G2558" s="227"/>
      <c r="H2558" s="227"/>
      <c r="I2558" s="231"/>
      <c r="J2558" s="227"/>
      <c r="K2558" s="226"/>
    </row>
    <row r="2559" spans="1:11" ht="12.75" x14ac:dyDescent="0.2">
      <c r="A2559" s="227"/>
      <c r="B2559" s="227"/>
      <c r="C2559" s="361"/>
      <c r="D2559" s="227"/>
      <c r="E2559" s="364"/>
      <c r="F2559" s="227"/>
      <c r="G2559" s="227"/>
      <c r="H2559" s="227"/>
      <c r="I2559" s="231"/>
      <c r="J2559" s="227"/>
      <c r="K2559" s="226"/>
    </row>
    <row r="2560" spans="1:11" ht="12.75" x14ac:dyDescent="0.2">
      <c r="A2560" s="227"/>
      <c r="B2560" s="227"/>
      <c r="C2560" s="361"/>
      <c r="D2560" s="227"/>
      <c r="E2560" s="364"/>
      <c r="F2560" s="227"/>
      <c r="G2560" s="227"/>
      <c r="H2560" s="227"/>
      <c r="I2560" s="231"/>
      <c r="J2560" s="227"/>
      <c r="K2560" s="226"/>
    </row>
    <row r="2561" spans="1:11" ht="12.75" x14ac:dyDescent="0.2">
      <c r="A2561" s="227"/>
      <c r="B2561" s="227"/>
      <c r="C2561" s="361"/>
      <c r="D2561" s="227"/>
      <c r="E2561" s="364"/>
      <c r="F2561" s="227"/>
      <c r="G2561" s="227"/>
      <c r="H2561" s="227"/>
      <c r="I2561" s="231"/>
      <c r="J2561" s="227"/>
      <c r="K2561" s="226"/>
    </row>
    <row r="2562" spans="1:11" ht="12.75" x14ac:dyDescent="0.2">
      <c r="A2562" s="227"/>
      <c r="B2562" s="227"/>
      <c r="C2562" s="361"/>
      <c r="D2562" s="227"/>
      <c r="E2562" s="364"/>
      <c r="F2562" s="227"/>
      <c r="G2562" s="227"/>
      <c r="H2562" s="227"/>
      <c r="I2562" s="231"/>
      <c r="J2562" s="227"/>
      <c r="K2562" s="226"/>
    </row>
    <row r="2563" spans="1:11" ht="12.75" x14ac:dyDescent="0.2">
      <c r="A2563" s="227"/>
      <c r="B2563" s="227"/>
      <c r="C2563" s="361"/>
      <c r="D2563" s="227"/>
      <c r="E2563" s="364"/>
      <c r="F2563" s="227"/>
      <c r="G2563" s="227"/>
      <c r="H2563" s="227"/>
      <c r="I2563" s="231"/>
      <c r="J2563" s="227"/>
      <c r="K2563" s="226"/>
    </row>
    <row r="2564" spans="1:11" ht="12.75" x14ac:dyDescent="0.2">
      <c r="A2564" s="227"/>
      <c r="B2564" s="227"/>
      <c r="C2564" s="361"/>
      <c r="D2564" s="227"/>
      <c r="E2564" s="364"/>
      <c r="F2564" s="227"/>
      <c r="G2564" s="227"/>
      <c r="H2564" s="227"/>
      <c r="I2564" s="231"/>
      <c r="J2564" s="227"/>
      <c r="K2564" s="226"/>
    </row>
    <row r="2565" spans="1:11" ht="12.75" x14ac:dyDescent="0.2">
      <c r="A2565" s="227"/>
      <c r="B2565" s="227"/>
      <c r="C2565" s="361"/>
      <c r="D2565" s="227"/>
      <c r="E2565" s="364"/>
      <c r="F2565" s="227"/>
      <c r="G2565" s="227"/>
      <c r="H2565" s="227"/>
      <c r="I2565" s="231"/>
      <c r="J2565" s="227"/>
      <c r="K2565" s="226"/>
    </row>
    <row r="2566" spans="1:11" ht="12.75" x14ac:dyDescent="0.2">
      <c r="A2566" s="227"/>
      <c r="B2566" s="227"/>
      <c r="C2566" s="361"/>
      <c r="D2566" s="227"/>
      <c r="E2566" s="364"/>
      <c r="F2566" s="227"/>
      <c r="G2566" s="227"/>
      <c r="H2566" s="227"/>
      <c r="I2566" s="231"/>
      <c r="J2566" s="227"/>
      <c r="K2566" s="226"/>
    </row>
    <row r="2567" spans="1:11" ht="12.75" x14ac:dyDescent="0.2">
      <c r="A2567" s="227"/>
      <c r="B2567" s="227"/>
      <c r="C2567" s="361"/>
      <c r="D2567" s="227"/>
      <c r="E2567" s="364"/>
      <c r="F2567" s="227"/>
      <c r="G2567" s="227"/>
      <c r="H2567" s="227"/>
      <c r="I2567" s="231"/>
      <c r="J2567" s="227"/>
      <c r="K2567" s="226"/>
    </row>
    <row r="2568" spans="1:11" ht="12.75" x14ac:dyDescent="0.2">
      <c r="A2568" s="227"/>
      <c r="B2568" s="227"/>
      <c r="C2568" s="361"/>
      <c r="D2568" s="227"/>
      <c r="E2568" s="364"/>
      <c r="F2568" s="227"/>
      <c r="G2568" s="227"/>
      <c r="H2568" s="227"/>
      <c r="I2568" s="231"/>
      <c r="J2568" s="227"/>
      <c r="K2568" s="226"/>
    </row>
    <row r="2569" spans="1:11" ht="12.75" x14ac:dyDescent="0.2">
      <c r="A2569" s="227"/>
      <c r="B2569" s="227"/>
      <c r="C2569" s="361"/>
      <c r="D2569" s="227"/>
      <c r="E2569" s="364"/>
      <c r="F2569" s="227"/>
      <c r="G2569" s="227"/>
      <c r="H2569" s="227"/>
      <c r="I2569" s="231"/>
      <c r="J2569" s="227"/>
      <c r="K2569" s="226"/>
    </row>
    <row r="2570" spans="1:11" ht="12.75" x14ac:dyDescent="0.2">
      <c r="A2570" s="227"/>
      <c r="B2570" s="227"/>
      <c r="C2570" s="361"/>
      <c r="D2570" s="227"/>
      <c r="E2570" s="364"/>
      <c r="F2570" s="227"/>
      <c r="G2570" s="227"/>
      <c r="H2570" s="227"/>
      <c r="I2570" s="231"/>
      <c r="J2570" s="227"/>
      <c r="K2570" s="226"/>
    </row>
    <row r="2571" spans="1:11" ht="12.75" x14ac:dyDescent="0.2">
      <c r="A2571" s="227"/>
      <c r="B2571" s="227"/>
      <c r="C2571" s="361"/>
      <c r="D2571" s="227"/>
      <c r="E2571" s="364"/>
      <c r="F2571" s="227"/>
      <c r="G2571" s="227"/>
      <c r="H2571" s="227"/>
      <c r="I2571" s="231"/>
      <c r="J2571" s="227"/>
      <c r="K2571" s="226"/>
    </row>
    <row r="2572" spans="1:11" ht="12.75" x14ac:dyDescent="0.2">
      <c r="A2572" s="227"/>
      <c r="B2572" s="227"/>
      <c r="C2572" s="361"/>
      <c r="D2572" s="227"/>
      <c r="E2572" s="364"/>
      <c r="F2572" s="227"/>
      <c r="G2572" s="227"/>
      <c r="H2572" s="227"/>
      <c r="I2572" s="231"/>
      <c r="J2572" s="227"/>
      <c r="K2572" s="226"/>
    </row>
    <row r="2573" spans="1:11" ht="12.75" x14ac:dyDescent="0.2">
      <c r="A2573" s="227"/>
      <c r="B2573" s="227"/>
      <c r="C2573" s="361"/>
      <c r="D2573" s="227"/>
      <c r="E2573" s="364"/>
      <c r="F2573" s="227"/>
      <c r="G2573" s="227"/>
      <c r="H2573" s="227"/>
      <c r="I2573" s="231"/>
      <c r="J2573" s="227"/>
      <c r="K2573" s="226"/>
    </row>
    <row r="2574" spans="1:11" ht="12.75" x14ac:dyDescent="0.2">
      <c r="A2574" s="227"/>
      <c r="B2574" s="227"/>
      <c r="C2574" s="361"/>
      <c r="D2574" s="227"/>
      <c r="E2574" s="364"/>
      <c r="F2574" s="227"/>
      <c r="G2574" s="227"/>
      <c r="H2574" s="227"/>
      <c r="I2574" s="231"/>
      <c r="J2574" s="227"/>
      <c r="K2574" s="226"/>
    </row>
    <row r="2575" spans="1:11" ht="12.75" x14ac:dyDescent="0.2">
      <c r="A2575" s="227"/>
      <c r="B2575" s="227"/>
      <c r="C2575" s="361"/>
      <c r="D2575" s="227"/>
      <c r="E2575" s="364"/>
      <c r="F2575" s="227"/>
      <c r="G2575" s="227"/>
      <c r="H2575" s="227"/>
      <c r="I2575" s="231"/>
      <c r="J2575" s="227"/>
      <c r="K2575" s="226"/>
    </row>
    <row r="2576" spans="1:11" ht="12.75" x14ac:dyDescent="0.2">
      <c r="A2576" s="227"/>
      <c r="B2576" s="227"/>
      <c r="C2576" s="361"/>
      <c r="D2576" s="227"/>
      <c r="E2576" s="364"/>
      <c r="F2576" s="227"/>
      <c r="G2576" s="227"/>
      <c r="H2576" s="227"/>
      <c r="I2576" s="231"/>
      <c r="J2576" s="227"/>
      <c r="K2576" s="226"/>
    </row>
    <row r="2577" spans="1:11" ht="12.75" x14ac:dyDescent="0.2">
      <c r="A2577" s="227"/>
      <c r="B2577" s="227"/>
      <c r="C2577" s="361"/>
      <c r="D2577" s="227"/>
      <c r="E2577" s="364"/>
      <c r="F2577" s="227"/>
      <c r="G2577" s="227"/>
      <c r="H2577" s="227"/>
      <c r="I2577" s="231"/>
      <c r="J2577" s="227"/>
      <c r="K2577" s="226"/>
    </row>
    <row r="2578" spans="1:11" ht="12.75" x14ac:dyDescent="0.2">
      <c r="A2578" s="227"/>
      <c r="B2578" s="227"/>
      <c r="C2578" s="361"/>
      <c r="D2578" s="227"/>
      <c r="E2578" s="364"/>
      <c r="F2578" s="227"/>
      <c r="G2578" s="227"/>
      <c r="H2578" s="227"/>
      <c r="I2578" s="231"/>
      <c r="J2578" s="227"/>
      <c r="K2578" s="226"/>
    </row>
    <row r="2579" spans="1:11" ht="12.75" x14ac:dyDescent="0.2">
      <c r="A2579" s="227"/>
      <c r="B2579" s="227"/>
      <c r="C2579" s="361"/>
      <c r="D2579" s="227"/>
      <c r="E2579" s="364"/>
      <c r="F2579" s="227"/>
      <c r="G2579" s="227"/>
      <c r="H2579" s="227"/>
      <c r="I2579" s="231"/>
      <c r="J2579" s="227"/>
      <c r="K2579" s="226"/>
    </row>
    <row r="2580" spans="1:11" ht="12.75" x14ac:dyDescent="0.2">
      <c r="A2580" s="227"/>
      <c r="B2580" s="227"/>
      <c r="C2580" s="361"/>
      <c r="D2580" s="227"/>
      <c r="E2580" s="364"/>
      <c r="F2580" s="227"/>
      <c r="G2580" s="227"/>
      <c r="H2580" s="227"/>
      <c r="I2580" s="231"/>
      <c r="J2580" s="227"/>
      <c r="K2580" s="226"/>
    </row>
    <row r="2581" spans="1:11" ht="12.75" x14ac:dyDescent="0.2">
      <c r="A2581" s="227"/>
      <c r="B2581" s="227"/>
      <c r="C2581" s="361"/>
      <c r="D2581" s="227"/>
      <c r="E2581" s="364"/>
      <c r="F2581" s="227"/>
      <c r="G2581" s="227"/>
      <c r="H2581" s="227"/>
      <c r="I2581" s="231"/>
      <c r="J2581" s="227"/>
      <c r="K2581" s="226"/>
    </row>
    <row r="2582" spans="1:11" ht="12.75" x14ac:dyDescent="0.2">
      <c r="A2582" s="227"/>
      <c r="B2582" s="227"/>
      <c r="C2582" s="361"/>
      <c r="D2582" s="227"/>
      <c r="E2582" s="364"/>
      <c r="F2582" s="227"/>
      <c r="G2582" s="227"/>
      <c r="H2582" s="227"/>
      <c r="I2582" s="231"/>
      <c r="J2582" s="227"/>
      <c r="K2582" s="226"/>
    </row>
    <row r="2583" spans="1:11" ht="12.75" x14ac:dyDescent="0.2">
      <c r="A2583" s="227"/>
      <c r="B2583" s="227"/>
      <c r="C2583" s="361"/>
      <c r="D2583" s="227"/>
      <c r="E2583" s="364"/>
      <c r="F2583" s="227"/>
      <c r="G2583" s="227"/>
      <c r="H2583" s="227"/>
      <c r="I2583" s="231"/>
      <c r="J2583" s="227"/>
      <c r="K2583" s="226"/>
    </row>
    <row r="2584" spans="1:11" ht="12.75" x14ac:dyDescent="0.2">
      <c r="A2584" s="227"/>
      <c r="B2584" s="227"/>
      <c r="C2584" s="361"/>
      <c r="D2584" s="227"/>
      <c r="E2584" s="364"/>
      <c r="F2584" s="227"/>
      <c r="G2584" s="227"/>
      <c r="H2584" s="227"/>
      <c r="I2584" s="231"/>
      <c r="J2584" s="227"/>
      <c r="K2584" s="226"/>
    </row>
    <row r="2585" spans="1:11" ht="12.75" x14ac:dyDescent="0.2">
      <c r="A2585" s="227"/>
      <c r="B2585" s="227"/>
      <c r="C2585" s="361"/>
      <c r="D2585" s="227"/>
      <c r="E2585" s="364"/>
      <c r="F2585" s="227"/>
      <c r="G2585" s="227"/>
      <c r="H2585" s="227"/>
      <c r="I2585" s="231"/>
      <c r="J2585" s="227"/>
      <c r="K2585" s="226"/>
    </row>
    <row r="2586" spans="1:11" ht="12.75" x14ac:dyDescent="0.2">
      <c r="A2586" s="227"/>
      <c r="B2586" s="227"/>
      <c r="C2586" s="361"/>
      <c r="D2586" s="227"/>
      <c r="E2586" s="364"/>
      <c r="F2586" s="227"/>
      <c r="G2586" s="227"/>
      <c r="H2586" s="227"/>
      <c r="I2586" s="231"/>
      <c r="J2586" s="227"/>
      <c r="K2586" s="226"/>
    </row>
    <row r="2587" spans="1:11" ht="12.75" x14ac:dyDescent="0.2">
      <c r="A2587" s="227"/>
      <c r="B2587" s="227"/>
      <c r="C2587" s="361"/>
      <c r="D2587" s="227"/>
      <c r="E2587" s="364"/>
      <c r="F2587" s="227"/>
      <c r="G2587" s="227"/>
      <c r="H2587" s="227"/>
      <c r="I2587" s="231"/>
      <c r="J2587" s="227"/>
      <c r="K2587" s="226"/>
    </row>
    <row r="2588" spans="1:11" ht="12.75" x14ac:dyDescent="0.2">
      <c r="A2588" s="227"/>
      <c r="B2588" s="227"/>
      <c r="C2588" s="361"/>
      <c r="D2588" s="227"/>
      <c r="E2588" s="364"/>
      <c r="F2588" s="227"/>
      <c r="G2588" s="227"/>
      <c r="H2588" s="227"/>
      <c r="I2588" s="231"/>
      <c r="J2588" s="227"/>
      <c r="K2588" s="226"/>
    </row>
    <row r="2589" spans="1:11" ht="12.75" x14ac:dyDescent="0.2">
      <c r="A2589" s="227"/>
      <c r="B2589" s="227"/>
      <c r="C2589" s="361"/>
      <c r="D2589" s="227"/>
      <c r="E2589" s="364"/>
      <c r="F2589" s="227"/>
      <c r="G2589" s="227"/>
      <c r="H2589" s="227"/>
      <c r="I2589" s="231"/>
      <c r="J2589" s="227"/>
      <c r="K2589" s="226"/>
    </row>
    <row r="2590" spans="1:11" ht="12.75" x14ac:dyDescent="0.2">
      <c r="A2590" s="227"/>
      <c r="B2590" s="227"/>
      <c r="C2590" s="361"/>
      <c r="D2590" s="227"/>
      <c r="E2590" s="364"/>
      <c r="F2590" s="227"/>
      <c r="G2590" s="227"/>
      <c r="H2590" s="227"/>
      <c r="I2590" s="231"/>
      <c r="J2590" s="227"/>
      <c r="K2590" s="226"/>
    </row>
    <row r="2591" spans="1:11" ht="12.75" x14ac:dyDescent="0.2">
      <c r="A2591" s="227"/>
      <c r="B2591" s="227"/>
      <c r="C2591" s="361"/>
      <c r="D2591" s="227"/>
      <c r="E2591" s="364"/>
      <c r="F2591" s="227"/>
      <c r="G2591" s="227"/>
      <c r="H2591" s="227"/>
      <c r="I2591" s="231"/>
      <c r="J2591" s="227"/>
      <c r="K2591" s="226"/>
    </row>
    <row r="2592" spans="1:11" ht="12.75" x14ac:dyDescent="0.2">
      <c r="A2592" s="227"/>
      <c r="B2592" s="227"/>
      <c r="C2592" s="361"/>
      <c r="D2592" s="227"/>
      <c r="E2592" s="364"/>
      <c r="F2592" s="227"/>
      <c r="G2592" s="227"/>
      <c r="H2592" s="227"/>
      <c r="I2592" s="231"/>
      <c r="J2592" s="227"/>
      <c r="K2592" s="226"/>
    </row>
    <row r="2593" spans="1:11" ht="12.75" x14ac:dyDescent="0.2">
      <c r="A2593" s="227"/>
      <c r="B2593" s="227"/>
      <c r="C2593" s="361"/>
      <c r="D2593" s="227"/>
      <c r="E2593" s="364"/>
      <c r="F2593" s="227"/>
      <c r="G2593" s="227"/>
      <c r="H2593" s="227"/>
      <c r="I2593" s="231"/>
      <c r="J2593" s="227"/>
      <c r="K2593" s="226"/>
    </row>
    <row r="2594" spans="1:11" ht="12.75" x14ac:dyDescent="0.2">
      <c r="A2594" s="227"/>
      <c r="B2594" s="227"/>
      <c r="C2594" s="361"/>
      <c r="D2594" s="227"/>
      <c r="E2594" s="364"/>
      <c r="F2594" s="227"/>
      <c r="G2594" s="227"/>
      <c r="H2594" s="227"/>
      <c r="I2594" s="231"/>
      <c r="J2594" s="227"/>
      <c r="K2594" s="226"/>
    </row>
    <row r="2595" spans="1:11" ht="12.75" x14ac:dyDescent="0.2">
      <c r="A2595" s="227"/>
      <c r="B2595" s="227"/>
      <c r="C2595" s="361"/>
      <c r="D2595" s="227"/>
      <c r="E2595" s="364"/>
      <c r="F2595" s="227"/>
      <c r="G2595" s="227"/>
      <c r="H2595" s="227"/>
      <c r="I2595" s="231"/>
      <c r="J2595" s="227"/>
      <c r="K2595" s="226"/>
    </row>
    <row r="2596" spans="1:11" ht="12.75" x14ac:dyDescent="0.2">
      <c r="A2596" s="227"/>
      <c r="B2596" s="227"/>
      <c r="C2596" s="361"/>
      <c r="D2596" s="227"/>
      <c r="E2596" s="364"/>
      <c r="F2596" s="227"/>
      <c r="G2596" s="227"/>
      <c r="H2596" s="227"/>
      <c r="I2596" s="231"/>
      <c r="J2596" s="227"/>
      <c r="K2596" s="226"/>
    </row>
    <row r="2597" spans="1:11" ht="12.75" x14ac:dyDescent="0.2">
      <c r="A2597" s="227"/>
      <c r="B2597" s="227"/>
      <c r="C2597" s="361"/>
      <c r="D2597" s="227"/>
      <c r="E2597" s="364"/>
      <c r="F2597" s="227"/>
      <c r="G2597" s="227"/>
      <c r="H2597" s="227"/>
      <c r="I2597" s="231"/>
      <c r="J2597" s="227"/>
      <c r="K2597" s="226"/>
    </row>
    <row r="2598" spans="1:11" ht="12.75" x14ac:dyDescent="0.2">
      <c r="A2598" s="227"/>
      <c r="B2598" s="227"/>
      <c r="C2598" s="361"/>
      <c r="D2598" s="227"/>
      <c r="E2598" s="364"/>
      <c r="F2598" s="227"/>
      <c r="G2598" s="227"/>
      <c r="H2598" s="227"/>
      <c r="I2598" s="231"/>
      <c r="J2598" s="227"/>
      <c r="K2598" s="226"/>
    </row>
    <row r="2599" spans="1:11" ht="12.75" x14ac:dyDescent="0.2">
      <c r="A2599" s="227"/>
      <c r="B2599" s="227"/>
      <c r="C2599" s="361"/>
      <c r="D2599" s="227"/>
      <c r="E2599" s="364"/>
      <c r="F2599" s="227"/>
      <c r="G2599" s="227"/>
      <c r="H2599" s="227"/>
      <c r="I2599" s="231"/>
      <c r="J2599" s="227"/>
      <c r="K2599" s="226"/>
    </row>
    <row r="2600" spans="1:11" ht="12.75" x14ac:dyDescent="0.2">
      <c r="A2600" s="227"/>
      <c r="B2600" s="227"/>
      <c r="C2600" s="361"/>
      <c r="D2600" s="227"/>
      <c r="E2600" s="364"/>
      <c r="F2600" s="227"/>
      <c r="G2600" s="227"/>
      <c r="H2600" s="227"/>
      <c r="I2600" s="231"/>
      <c r="J2600" s="227"/>
      <c r="K2600" s="226"/>
    </row>
    <row r="2601" spans="1:11" ht="12.75" x14ac:dyDescent="0.2">
      <c r="A2601" s="227"/>
      <c r="B2601" s="227"/>
      <c r="C2601" s="361"/>
      <c r="D2601" s="227"/>
      <c r="E2601" s="364"/>
      <c r="F2601" s="227"/>
      <c r="G2601" s="227"/>
      <c r="H2601" s="227"/>
      <c r="I2601" s="231"/>
      <c r="J2601" s="227"/>
      <c r="K2601" s="226"/>
    </row>
    <row r="2602" spans="1:11" ht="12.75" x14ac:dyDescent="0.2">
      <c r="A2602" s="227"/>
      <c r="B2602" s="227"/>
      <c r="C2602" s="361"/>
      <c r="D2602" s="227"/>
      <c r="E2602" s="364"/>
      <c r="F2602" s="227"/>
      <c r="G2602" s="227"/>
      <c r="H2602" s="227"/>
      <c r="I2602" s="231"/>
      <c r="J2602" s="227"/>
      <c r="K2602" s="226"/>
    </row>
    <row r="2603" spans="1:11" ht="12.75" x14ac:dyDescent="0.2">
      <c r="A2603" s="227"/>
      <c r="B2603" s="227"/>
      <c r="C2603" s="361"/>
      <c r="D2603" s="227"/>
      <c r="E2603" s="364"/>
      <c r="F2603" s="227"/>
      <c r="G2603" s="227"/>
      <c r="H2603" s="227"/>
      <c r="I2603" s="231"/>
      <c r="J2603" s="227"/>
      <c r="K2603" s="226"/>
    </row>
    <row r="2604" spans="1:11" ht="12.75" x14ac:dyDescent="0.2">
      <c r="A2604" s="227"/>
      <c r="B2604" s="227"/>
      <c r="C2604" s="361"/>
      <c r="D2604" s="227"/>
      <c r="E2604" s="364"/>
      <c r="F2604" s="227"/>
      <c r="G2604" s="227"/>
      <c r="H2604" s="227"/>
      <c r="I2604" s="231"/>
      <c r="J2604" s="227"/>
      <c r="K2604" s="226"/>
    </row>
    <row r="2605" spans="1:11" ht="12.75" x14ac:dyDescent="0.2">
      <c r="A2605" s="227"/>
      <c r="B2605" s="227"/>
      <c r="C2605" s="361"/>
      <c r="D2605" s="227"/>
      <c r="E2605" s="364"/>
      <c r="F2605" s="227"/>
      <c r="G2605" s="227"/>
      <c r="H2605" s="227"/>
      <c r="I2605" s="231"/>
      <c r="J2605" s="227"/>
      <c r="K2605" s="226"/>
    </row>
    <row r="2606" spans="1:11" ht="12.75" x14ac:dyDescent="0.2">
      <c r="A2606" s="227"/>
      <c r="B2606" s="227"/>
      <c r="C2606" s="361"/>
      <c r="D2606" s="227"/>
      <c r="E2606" s="364"/>
      <c r="F2606" s="227"/>
      <c r="G2606" s="227"/>
      <c r="H2606" s="227"/>
      <c r="I2606" s="231"/>
      <c r="J2606" s="227"/>
      <c r="K2606" s="226"/>
    </row>
    <row r="2607" spans="1:11" ht="12.75" x14ac:dyDescent="0.2">
      <c r="A2607" s="227"/>
      <c r="B2607" s="227"/>
      <c r="C2607" s="361"/>
      <c r="D2607" s="227"/>
      <c r="E2607" s="364"/>
      <c r="F2607" s="227"/>
      <c r="G2607" s="227"/>
      <c r="H2607" s="227"/>
      <c r="I2607" s="231"/>
      <c r="J2607" s="227"/>
      <c r="K2607" s="226"/>
    </row>
    <row r="2608" spans="1:11" ht="12.75" x14ac:dyDescent="0.2">
      <c r="A2608" s="227"/>
      <c r="B2608" s="227"/>
      <c r="C2608" s="361"/>
      <c r="D2608" s="227"/>
      <c r="E2608" s="364"/>
      <c r="F2608" s="227"/>
      <c r="G2608" s="227"/>
      <c r="H2608" s="227"/>
      <c r="I2608" s="231"/>
      <c r="J2608" s="227"/>
      <c r="K2608" s="226"/>
    </row>
    <row r="2609" spans="1:11" ht="12.75" x14ac:dyDescent="0.2">
      <c r="A2609" s="227"/>
      <c r="B2609" s="227"/>
      <c r="C2609" s="361"/>
      <c r="D2609" s="227"/>
      <c r="E2609" s="364"/>
      <c r="F2609" s="227"/>
      <c r="G2609" s="227"/>
      <c r="H2609" s="227"/>
      <c r="I2609" s="231"/>
      <c r="J2609" s="227"/>
      <c r="K2609" s="226"/>
    </row>
    <row r="2610" spans="1:11" ht="12.75" x14ac:dyDescent="0.2">
      <c r="A2610" s="227"/>
      <c r="B2610" s="227"/>
      <c r="C2610" s="361"/>
      <c r="D2610" s="227"/>
      <c r="E2610" s="364"/>
      <c r="F2610" s="227"/>
      <c r="G2610" s="227"/>
      <c r="H2610" s="227"/>
      <c r="I2610" s="231"/>
      <c r="J2610" s="227"/>
      <c r="K2610" s="226"/>
    </row>
    <row r="2611" spans="1:11" ht="12.75" x14ac:dyDescent="0.2">
      <c r="A2611" s="227"/>
      <c r="B2611" s="227"/>
      <c r="C2611" s="361"/>
      <c r="D2611" s="227"/>
      <c r="E2611" s="364"/>
      <c r="F2611" s="227"/>
      <c r="G2611" s="227"/>
      <c r="H2611" s="227"/>
      <c r="I2611" s="231"/>
      <c r="J2611" s="227"/>
      <c r="K2611" s="226"/>
    </row>
    <row r="2612" spans="1:11" ht="12.75" x14ac:dyDescent="0.2">
      <c r="A2612" s="227"/>
      <c r="B2612" s="227"/>
      <c r="C2612" s="361"/>
      <c r="D2612" s="227"/>
      <c r="E2612" s="364"/>
      <c r="F2612" s="227"/>
      <c r="G2612" s="227"/>
      <c r="H2612" s="227"/>
      <c r="I2612" s="231"/>
      <c r="J2612" s="227"/>
      <c r="K2612" s="226"/>
    </row>
    <row r="2613" spans="1:11" ht="12.75" x14ac:dyDescent="0.2">
      <c r="A2613" s="227"/>
      <c r="B2613" s="227"/>
      <c r="C2613" s="361"/>
      <c r="D2613" s="227"/>
      <c r="E2613" s="364"/>
      <c r="F2613" s="227"/>
      <c r="G2613" s="227"/>
      <c r="H2613" s="227"/>
      <c r="I2613" s="231"/>
      <c r="J2613" s="227"/>
      <c r="K2613" s="226"/>
    </row>
    <row r="2614" spans="1:11" ht="12.75" x14ac:dyDescent="0.2">
      <c r="A2614" s="227"/>
      <c r="B2614" s="227"/>
      <c r="C2614" s="361"/>
      <c r="D2614" s="227"/>
      <c r="E2614" s="364"/>
      <c r="F2614" s="227"/>
      <c r="G2614" s="227"/>
      <c r="H2614" s="227"/>
      <c r="I2614" s="231"/>
      <c r="J2614" s="227"/>
      <c r="K2614" s="226"/>
    </row>
    <row r="2615" spans="1:11" ht="12.75" x14ac:dyDescent="0.2">
      <c r="A2615" s="227"/>
      <c r="B2615" s="227"/>
      <c r="C2615" s="361"/>
      <c r="D2615" s="227"/>
      <c r="E2615" s="364"/>
      <c r="F2615" s="227"/>
      <c r="G2615" s="227"/>
      <c r="H2615" s="227"/>
      <c r="I2615" s="231"/>
      <c r="J2615" s="227"/>
      <c r="K2615" s="226"/>
    </row>
    <row r="2616" spans="1:11" ht="12.75" x14ac:dyDescent="0.2">
      <c r="A2616" s="227"/>
      <c r="B2616" s="227"/>
      <c r="C2616" s="361"/>
      <c r="D2616" s="227"/>
      <c r="E2616" s="364"/>
      <c r="F2616" s="227"/>
      <c r="G2616" s="227"/>
      <c r="H2616" s="227"/>
      <c r="I2616" s="231"/>
      <c r="J2616" s="227"/>
      <c r="K2616" s="226"/>
    </row>
    <row r="2617" spans="1:11" ht="12.75" x14ac:dyDescent="0.2">
      <c r="A2617" s="227"/>
      <c r="B2617" s="227"/>
      <c r="C2617" s="361"/>
      <c r="D2617" s="227"/>
      <c r="E2617" s="364"/>
      <c r="F2617" s="227"/>
      <c r="G2617" s="227"/>
      <c r="H2617" s="227"/>
      <c r="I2617" s="231"/>
      <c r="J2617" s="227"/>
      <c r="K2617" s="226"/>
    </row>
    <row r="2618" spans="1:11" ht="12.75" x14ac:dyDescent="0.2">
      <c r="A2618" s="227"/>
      <c r="B2618" s="227"/>
      <c r="C2618" s="361"/>
      <c r="D2618" s="227"/>
      <c r="E2618" s="364"/>
      <c r="F2618" s="227"/>
      <c r="G2618" s="227"/>
      <c r="H2618" s="227"/>
      <c r="I2618" s="231"/>
      <c r="J2618" s="227"/>
      <c r="K2618" s="226"/>
    </row>
    <row r="2619" spans="1:11" ht="12.75" x14ac:dyDescent="0.2">
      <c r="A2619" s="227"/>
      <c r="B2619" s="227"/>
      <c r="C2619" s="361"/>
      <c r="D2619" s="227"/>
      <c r="E2619" s="364"/>
      <c r="F2619" s="227"/>
      <c r="G2619" s="227"/>
      <c r="H2619" s="227"/>
      <c r="I2619" s="231"/>
      <c r="J2619" s="227"/>
      <c r="K2619" s="226"/>
    </row>
    <row r="2620" spans="1:11" ht="12.75" x14ac:dyDescent="0.2">
      <c r="A2620" s="227"/>
      <c r="B2620" s="227"/>
      <c r="C2620" s="361"/>
      <c r="D2620" s="227"/>
      <c r="E2620" s="364"/>
      <c r="F2620" s="227"/>
      <c r="G2620" s="227"/>
      <c r="H2620" s="227"/>
      <c r="I2620" s="231"/>
      <c r="J2620" s="227"/>
      <c r="K2620" s="226"/>
    </row>
    <row r="2621" spans="1:11" ht="12.75" x14ac:dyDescent="0.2">
      <c r="A2621" s="227"/>
      <c r="B2621" s="227"/>
      <c r="C2621" s="361"/>
      <c r="D2621" s="227"/>
      <c r="E2621" s="364"/>
      <c r="F2621" s="227"/>
      <c r="G2621" s="227"/>
      <c r="H2621" s="227"/>
      <c r="I2621" s="231"/>
      <c r="J2621" s="227"/>
      <c r="K2621" s="226"/>
    </row>
    <row r="2622" spans="1:11" ht="12.75" x14ac:dyDescent="0.2">
      <c r="A2622" s="227"/>
      <c r="B2622" s="227"/>
      <c r="C2622" s="361"/>
      <c r="D2622" s="227"/>
      <c r="E2622" s="364"/>
      <c r="F2622" s="227"/>
      <c r="G2622" s="227"/>
      <c r="H2622" s="227"/>
      <c r="I2622" s="231"/>
      <c r="J2622" s="227"/>
      <c r="K2622" s="226"/>
    </row>
    <row r="2623" spans="1:11" ht="12.75" x14ac:dyDescent="0.2">
      <c r="A2623" s="227"/>
      <c r="B2623" s="227"/>
      <c r="C2623" s="361"/>
      <c r="D2623" s="227"/>
      <c r="E2623" s="364"/>
      <c r="F2623" s="227"/>
      <c r="G2623" s="227"/>
      <c r="H2623" s="227"/>
      <c r="I2623" s="231"/>
      <c r="J2623" s="227"/>
      <c r="K2623" s="226"/>
    </row>
    <row r="2624" spans="1:11" ht="12.75" x14ac:dyDescent="0.2">
      <c r="A2624" s="227"/>
      <c r="B2624" s="227"/>
      <c r="C2624" s="361"/>
      <c r="D2624" s="227"/>
      <c r="E2624" s="364"/>
      <c r="F2624" s="227"/>
      <c r="G2624" s="227"/>
      <c r="H2624" s="227"/>
      <c r="I2624" s="231"/>
      <c r="J2624" s="227"/>
      <c r="K2624" s="226"/>
    </row>
    <row r="2625" spans="1:11" ht="12.75" x14ac:dyDescent="0.2">
      <c r="A2625" s="227"/>
      <c r="B2625" s="227"/>
      <c r="C2625" s="361"/>
      <c r="D2625" s="227"/>
      <c r="E2625" s="364"/>
      <c r="F2625" s="227"/>
      <c r="G2625" s="227"/>
      <c r="H2625" s="227"/>
      <c r="I2625" s="231"/>
      <c r="J2625" s="227"/>
      <c r="K2625" s="226"/>
    </row>
    <row r="2626" spans="1:11" ht="12.75" x14ac:dyDescent="0.2">
      <c r="A2626" s="227"/>
      <c r="B2626" s="227"/>
      <c r="C2626" s="361"/>
      <c r="D2626" s="227"/>
      <c r="E2626" s="364"/>
      <c r="F2626" s="227"/>
      <c r="G2626" s="227"/>
      <c r="H2626" s="227"/>
      <c r="I2626" s="231"/>
      <c r="J2626" s="227"/>
      <c r="K2626" s="226"/>
    </row>
    <row r="2627" spans="1:11" ht="12.75" x14ac:dyDescent="0.2">
      <c r="A2627" s="227"/>
      <c r="B2627" s="227"/>
      <c r="C2627" s="361"/>
      <c r="D2627" s="227"/>
      <c r="E2627" s="364"/>
      <c r="F2627" s="227"/>
      <c r="G2627" s="227"/>
      <c r="H2627" s="227"/>
      <c r="I2627" s="231"/>
      <c r="J2627" s="227"/>
      <c r="K2627" s="226"/>
    </row>
    <row r="2628" spans="1:11" ht="12.75" x14ac:dyDescent="0.2">
      <c r="A2628" s="227"/>
      <c r="B2628" s="227"/>
      <c r="C2628" s="361"/>
      <c r="D2628" s="227"/>
      <c r="E2628" s="364"/>
      <c r="F2628" s="227"/>
      <c r="G2628" s="227"/>
      <c r="H2628" s="227"/>
      <c r="I2628" s="231"/>
      <c r="J2628" s="227"/>
      <c r="K2628" s="226"/>
    </row>
    <row r="2629" spans="1:11" ht="12.75" x14ac:dyDescent="0.2">
      <c r="A2629" s="227"/>
      <c r="B2629" s="227"/>
      <c r="C2629" s="361"/>
      <c r="D2629" s="227"/>
      <c r="E2629" s="364"/>
      <c r="F2629" s="227"/>
      <c r="G2629" s="227"/>
      <c r="H2629" s="227"/>
      <c r="I2629" s="231"/>
      <c r="J2629" s="227"/>
      <c r="K2629" s="226"/>
    </row>
    <row r="2630" spans="1:11" ht="12.75" x14ac:dyDescent="0.2">
      <c r="A2630" s="227"/>
      <c r="B2630" s="227"/>
      <c r="C2630" s="361"/>
      <c r="D2630" s="227"/>
      <c r="E2630" s="364"/>
      <c r="F2630" s="227"/>
      <c r="G2630" s="227"/>
      <c r="H2630" s="227"/>
      <c r="I2630" s="231"/>
      <c r="J2630" s="227"/>
      <c r="K2630" s="226"/>
    </row>
    <row r="2631" spans="1:11" ht="12.75" x14ac:dyDescent="0.2">
      <c r="A2631" s="227"/>
      <c r="B2631" s="227"/>
      <c r="C2631" s="361"/>
      <c r="D2631" s="227"/>
      <c r="E2631" s="364"/>
      <c r="F2631" s="227"/>
      <c r="G2631" s="227"/>
      <c r="H2631" s="227"/>
      <c r="I2631" s="231"/>
      <c r="J2631" s="227"/>
      <c r="K2631" s="226"/>
    </row>
    <row r="2632" spans="1:11" ht="12.75" x14ac:dyDescent="0.2">
      <c r="A2632" s="227"/>
      <c r="B2632" s="227"/>
      <c r="C2632" s="361"/>
      <c r="D2632" s="227"/>
      <c r="E2632" s="364"/>
      <c r="F2632" s="227"/>
      <c r="G2632" s="227"/>
      <c r="H2632" s="227"/>
      <c r="I2632" s="231"/>
      <c r="J2632" s="227"/>
      <c r="K2632" s="226"/>
    </row>
    <row r="2633" spans="1:11" ht="12.75" x14ac:dyDescent="0.2">
      <c r="A2633" s="227"/>
      <c r="B2633" s="227"/>
      <c r="C2633" s="361"/>
      <c r="D2633" s="227"/>
      <c r="E2633" s="364"/>
      <c r="F2633" s="227"/>
      <c r="G2633" s="227"/>
      <c r="H2633" s="227"/>
      <c r="I2633" s="231"/>
      <c r="J2633" s="227"/>
      <c r="K2633" s="226"/>
    </row>
    <row r="2634" spans="1:11" ht="12.75" x14ac:dyDescent="0.2">
      <c r="A2634" s="227"/>
      <c r="B2634" s="227"/>
      <c r="C2634" s="361"/>
      <c r="D2634" s="227"/>
      <c r="E2634" s="364"/>
      <c r="F2634" s="227"/>
      <c r="G2634" s="227"/>
      <c r="H2634" s="227"/>
      <c r="I2634" s="231"/>
      <c r="J2634" s="227"/>
      <c r="K2634" s="226"/>
    </row>
    <row r="2635" spans="1:11" ht="12.75" x14ac:dyDescent="0.2">
      <c r="A2635" s="227"/>
      <c r="B2635" s="227"/>
      <c r="C2635" s="361"/>
      <c r="D2635" s="227"/>
      <c r="E2635" s="364"/>
      <c r="F2635" s="227"/>
      <c r="G2635" s="227"/>
      <c r="H2635" s="227"/>
      <c r="I2635" s="231"/>
      <c r="J2635" s="227"/>
      <c r="K2635" s="226"/>
    </row>
    <row r="2636" spans="1:11" ht="12.75" x14ac:dyDescent="0.2">
      <c r="A2636" s="227"/>
      <c r="B2636" s="227"/>
      <c r="C2636" s="361"/>
      <c r="D2636" s="227"/>
      <c r="E2636" s="364"/>
      <c r="F2636" s="227"/>
      <c r="G2636" s="227"/>
      <c r="H2636" s="227"/>
      <c r="I2636" s="231"/>
      <c r="J2636" s="227"/>
      <c r="K2636" s="226"/>
    </row>
    <row r="2637" spans="1:11" ht="12.75" x14ac:dyDescent="0.2">
      <c r="A2637" s="227"/>
      <c r="B2637" s="227"/>
      <c r="C2637" s="361"/>
      <c r="D2637" s="227"/>
      <c r="E2637" s="364"/>
      <c r="F2637" s="227"/>
      <c r="G2637" s="227"/>
      <c r="H2637" s="227"/>
      <c r="I2637" s="231"/>
      <c r="J2637" s="227"/>
      <c r="K2637" s="226"/>
    </row>
    <row r="2638" spans="1:11" ht="12.75" x14ac:dyDescent="0.2">
      <c r="A2638" s="227"/>
      <c r="B2638" s="227"/>
      <c r="C2638" s="361"/>
      <c r="D2638" s="227"/>
      <c r="E2638" s="364"/>
      <c r="F2638" s="227"/>
      <c r="G2638" s="227"/>
      <c r="H2638" s="227"/>
      <c r="I2638" s="231"/>
      <c r="J2638" s="227"/>
      <c r="K2638" s="226"/>
    </row>
    <row r="2639" spans="1:11" ht="12.75" x14ac:dyDescent="0.2">
      <c r="A2639" s="227"/>
      <c r="B2639" s="227"/>
      <c r="C2639" s="361"/>
      <c r="D2639" s="227"/>
      <c r="E2639" s="364"/>
      <c r="F2639" s="227"/>
      <c r="G2639" s="227"/>
      <c r="H2639" s="227"/>
      <c r="I2639" s="231"/>
      <c r="J2639" s="227"/>
      <c r="K2639" s="226"/>
    </row>
    <row r="2640" spans="1:11" ht="12.75" x14ac:dyDescent="0.2">
      <c r="A2640" s="227"/>
      <c r="B2640" s="227"/>
      <c r="C2640" s="361"/>
      <c r="D2640" s="227"/>
      <c r="E2640" s="364"/>
      <c r="F2640" s="227"/>
      <c r="G2640" s="227"/>
      <c r="H2640" s="227"/>
      <c r="I2640" s="231"/>
      <c r="J2640" s="227"/>
      <c r="K2640" s="226"/>
    </row>
    <row r="2641" spans="1:11" ht="12.75" x14ac:dyDescent="0.2">
      <c r="A2641" s="227"/>
      <c r="B2641" s="227"/>
      <c r="C2641" s="361"/>
      <c r="D2641" s="227"/>
      <c r="E2641" s="364"/>
      <c r="F2641" s="227"/>
      <c r="G2641" s="227"/>
      <c r="H2641" s="227"/>
      <c r="I2641" s="231"/>
      <c r="J2641" s="227"/>
      <c r="K2641" s="226"/>
    </row>
    <row r="2642" spans="1:11" ht="12.75" x14ac:dyDescent="0.2">
      <c r="A2642" s="227"/>
      <c r="B2642" s="227"/>
      <c r="C2642" s="361"/>
      <c r="D2642" s="227"/>
      <c r="E2642" s="364"/>
      <c r="F2642" s="227"/>
      <c r="G2642" s="227"/>
      <c r="H2642" s="227"/>
      <c r="I2642" s="231"/>
      <c r="J2642" s="227"/>
      <c r="K2642" s="226"/>
    </row>
    <row r="2643" spans="1:11" ht="12.75" x14ac:dyDescent="0.2">
      <c r="A2643" s="227"/>
      <c r="B2643" s="227"/>
      <c r="C2643" s="361"/>
      <c r="D2643" s="227"/>
      <c r="E2643" s="364"/>
      <c r="F2643" s="227"/>
      <c r="G2643" s="227"/>
      <c r="H2643" s="227"/>
      <c r="I2643" s="231"/>
      <c r="J2643" s="227"/>
      <c r="K2643" s="226"/>
    </row>
    <row r="2644" spans="1:11" ht="12.75" x14ac:dyDescent="0.2">
      <c r="A2644" s="227"/>
      <c r="B2644" s="227"/>
      <c r="C2644" s="361"/>
      <c r="D2644" s="227"/>
      <c r="E2644" s="364"/>
      <c r="F2644" s="227"/>
      <c r="G2644" s="227"/>
      <c r="H2644" s="227"/>
      <c r="I2644" s="231"/>
      <c r="J2644" s="227"/>
      <c r="K2644" s="226"/>
    </row>
    <row r="2645" spans="1:11" ht="12.75" x14ac:dyDescent="0.2">
      <c r="A2645" s="227"/>
      <c r="B2645" s="227"/>
      <c r="C2645" s="361"/>
      <c r="D2645" s="227"/>
      <c r="E2645" s="364"/>
      <c r="F2645" s="227"/>
      <c r="G2645" s="227"/>
      <c r="H2645" s="227"/>
      <c r="I2645" s="231"/>
      <c r="J2645" s="227"/>
      <c r="K2645" s="226"/>
    </row>
    <row r="2646" spans="1:11" ht="12.75" x14ac:dyDescent="0.2">
      <c r="A2646" s="227"/>
      <c r="B2646" s="227"/>
      <c r="C2646" s="361"/>
      <c r="D2646" s="227"/>
      <c r="E2646" s="364"/>
      <c r="F2646" s="227"/>
      <c r="G2646" s="227"/>
      <c r="H2646" s="227"/>
      <c r="I2646" s="231"/>
      <c r="J2646" s="227"/>
      <c r="K2646" s="226"/>
    </row>
    <row r="2647" spans="1:11" ht="12.75" x14ac:dyDescent="0.2">
      <c r="A2647" s="227"/>
      <c r="B2647" s="227"/>
      <c r="C2647" s="361"/>
      <c r="D2647" s="227"/>
      <c r="E2647" s="364"/>
      <c r="F2647" s="227"/>
      <c r="G2647" s="227"/>
      <c r="H2647" s="227"/>
      <c r="I2647" s="231"/>
      <c r="J2647" s="227"/>
      <c r="K2647" s="226"/>
    </row>
    <row r="2648" spans="1:11" ht="12.75" x14ac:dyDescent="0.2">
      <c r="A2648" s="227"/>
      <c r="B2648" s="227"/>
      <c r="C2648" s="361"/>
      <c r="D2648" s="227"/>
      <c r="E2648" s="364"/>
      <c r="F2648" s="227"/>
      <c r="G2648" s="227"/>
      <c r="H2648" s="227"/>
      <c r="I2648" s="231"/>
      <c r="J2648" s="227"/>
      <c r="K2648" s="226"/>
    </row>
    <row r="2649" spans="1:11" ht="12.75" x14ac:dyDescent="0.2">
      <c r="A2649" s="227"/>
      <c r="B2649" s="227"/>
      <c r="C2649" s="361"/>
      <c r="D2649" s="227"/>
      <c r="E2649" s="364"/>
      <c r="F2649" s="227"/>
      <c r="G2649" s="227"/>
      <c r="H2649" s="227"/>
      <c r="I2649" s="231"/>
      <c r="J2649" s="227"/>
      <c r="K2649" s="226"/>
    </row>
    <row r="2650" spans="1:11" ht="12.75" x14ac:dyDescent="0.2">
      <c r="A2650" s="227"/>
      <c r="B2650" s="227"/>
      <c r="C2650" s="361"/>
      <c r="D2650" s="227"/>
      <c r="E2650" s="364"/>
      <c r="F2650" s="227"/>
      <c r="G2650" s="227"/>
      <c r="H2650" s="227"/>
      <c r="I2650" s="231"/>
      <c r="J2650" s="227"/>
      <c r="K2650" s="226"/>
    </row>
    <row r="2651" spans="1:11" ht="12.75" x14ac:dyDescent="0.2">
      <c r="A2651" s="227"/>
      <c r="B2651" s="227"/>
      <c r="C2651" s="361"/>
      <c r="D2651" s="227"/>
      <c r="E2651" s="364"/>
      <c r="F2651" s="227"/>
      <c r="G2651" s="227"/>
      <c r="H2651" s="227"/>
      <c r="I2651" s="231"/>
      <c r="J2651" s="227"/>
      <c r="K2651" s="226"/>
    </row>
    <row r="2652" spans="1:11" ht="12.75" x14ac:dyDescent="0.2">
      <c r="A2652" s="227"/>
      <c r="B2652" s="227"/>
      <c r="C2652" s="361"/>
      <c r="D2652" s="227"/>
      <c r="E2652" s="364"/>
      <c r="F2652" s="227"/>
      <c r="G2652" s="227"/>
      <c r="H2652" s="227"/>
      <c r="I2652" s="231"/>
      <c r="J2652" s="227"/>
      <c r="K2652" s="226"/>
    </row>
    <row r="2653" spans="1:11" ht="12.75" x14ac:dyDescent="0.2">
      <c r="A2653" s="227"/>
      <c r="B2653" s="227"/>
      <c r="C2653" s="361"/>
      <c r="D2653" s="227"/>
      <c r="E2653" s="364"/>
      <c r="F2653" s="227"/>
      <c r="G2653" s="227"/>
      <c r="H2653" s="227"/>
      <c r="I2653" s="231"/>
      <c r="J2653" s="227"/>
      <c r="K2653" s="226"/>
    </row>
    <row r="2654" spans="1:11" ht="12.75" x14ac:dyDescent="0.2">
      <c r="A2654" s="227"/>
      <c r="B2654" s="227"/>
      <c r="C2654" s="361"/>
      <c r="D2654" s="227"/>
      <c r="E2654" s="364"/>
      <c r="F2654" s="227"/>
      <c r="G2654" s="227"/>
      <c r="H2654" s="227"/>
      <c r="I2654" s="231"/>
      <c r="J2654" s="227"/>
      <c r="K2654" s="226"/>
    </row>
    <row r="2655" spans="1:11" ht="12.75" x14ac:dyDescent="0.2">
      <c r="A2655" s="227"/>
      <c r="B2655" s="227"/>
      <c r="C2655" s="361"/>
      <c r="D2655" s="227"/>
      <c r="E2655" s="364"/>
      <c r="F2655" s="227"/>
      <c r="G2655" s="227"/>
      <c r="H2655" s="227"/>
      <c r="I2655" s="231"/>
      <c r="J2655" s="227"/>
      <c r="K2655" s="226"/>
    </row>
    <row r="2656" spans="1:11" ht="12.75" x14ac:dyDescent="0.2">
      <c r="A2656" s="227"/>
      <c r="B2656" s="227"/>
      <c r="C2656" s="361"/>
      <c r="D2656" s="227"/>
      <c r="E2656" s="364"/>
      <c r="F2656" s="227"/>
      <c r="G2656" s="227"/>
      <c r="H2656" s="227"/>
      <c r="I2656" s="231"/>
      <c r="J2656" s="227"/>
      <c r="K2656" s="226"/>
    </row>
    <row r="2657" spans="1:11" ht="12.75" x14ac:dyDescent="0.2">
      <c r="A2657" s="227"/>
      <c r="B2657" s="227"/>
      <c r="C2657" s="361"/>
      <c r="D2657" s="227"/>
      <c r="E2657" s="364"/>
      <c r="F2657" s="227"/>
      <c r="G2657" s="227"/>
      <c r="H2657" s="227"/>
      <c r="I2657" s="231"/>
      <c r="J2657" s="227"/>
      <c r="K2657" s="226"/>
    </row>
    <row r="2658" spans="1:11" ht="12.75" x14ac:dyDescent="0.2">
      <c r="A2658" s="227"/>
      <c r="B2658" s="227"/>
      <c r="C2658" s="361"/>
      <c r="D2658" s="227"/>
      <c r="E2658" s="364"/>
      <c r="F2658" s="227"/>
      <c r="G2658" s="227"/>
      <c r="H2658" s="227"/>
      <c r="I2658" s="231"/>
      <c r="J2658" s="227"/>
      <c r="K2658" s="226"/>
    </row>
    <row r="2659" spans="1:11" ht="12.75" x14ac:dyDescent="0.2">
      <c r="A2659" s="227"/>
      <c r="B2659" s="227"/>
      <c r="C2659" s="361"/>
      <c r="D2659" s="227"/>
      <c r="E2659" s="364"/>
      <c r="F2659" s="227"/>
      <c r="G2659" s="227"/>
      <c r="H2659" s="227"/>
      <c r="I2659" s="231"/>
      <c r="J2659" s="227"/>
      <c r="K2659" s="226"/>
    </row>
    <row r="2660" spans="1:11" ht="12.75" x14ac:dyDescent="0.2">
      <c r="A2660" s="227"/>
      <c r="B2660" s="227"/>
      <c r="C2660" s="361"/>
      <c r="D2660" s="227"/>
      <c r="E2660" s="364"/>
      <c r="F2660" s="227"/>
      <c r="G2660" s="227"/>
      <c r="H2660" s="227"/>
      <c r="I2660" s="231"/>
      <c r="J2660" s="227"/>
      <c r="K2660" s="226"/>
    </row>
    <row r="2661" spans="1:11" ht="12.75" x14ac:dyDescent="0.2">
      <c r="A2661" s="227"/>
      <c r="B2661" s="227"/>
      <c r="C2661" s="361"/>
      <c r="D2661" s="227"/>
      <c r="E2661" s="364"/>
      <c r="F2661" s="227"/>
      <c r="G2661" s="227"/>
      <c r="H2661" s="227"/>
      <c r="I2661" s="231"/>
      <c r="J2661" s="227"/>
      <c r="K2661" s="226"/>
    </row>
    <row r="2662" spans="1:11" ht="12.75" x14ac:dyDescent="0.2">
      <c r="A2662" s="227"/>
      <c r="B2662" s="227"/>
      <c r="C2662" s="361"/>
      <c r="D2662" s="227"/>
      <c r="E2662" s="364"/>
      <c r="F2662" s="227"/>
      <c r="G2662" s="227"/>
      <c r="H2662" s="227"/>
      <c r="I2662" s="231"/>
      <c r="J2662" s="227"/>
      <c r="K2662" s="226"/>
    </row>
    <row r="2663" spans="1:11" ht="12.75" x14ac:dyDescent="0.2">
      <c r="A2663" s="227"/>
      <c r="B2663" s="227"/>
      <c r="C2663" s="361"/>
      <c r="D2663" s="227"/>
      <c r="E2663" s="364"/>
      <c r="F2663" s="227"/>
      <c r="G2663" s="227"/>
      <c r="H2663" s="227"/>
      <c r="I2663" s="231"/>
      <c r="J2663" s="227"/>
      <c r="K2663" s="226"/>
    </row>
    <row r="2664" spans="1:11" ht="12.75" x14ac:dyDescent="0.2">
      <c r="A2664" s="227"/>
      <c r="B2664" s="227"/>
      <c r="C2664" s="361"/>
      <c r="D2664" s="227"/>
      <c r="E2664" s="364"/>
      <c r="F2664" s="227"/>
      <c r="G2664" s="227"/>
      <c r="H2664" s="227"/>
      <c r="I2664" s="231"/>
      <c r="J2664" s="227"/>
      <c r="K2664" s="226"/>
    </row>
    <row r="2665" spans="1:11" ht="12.75" x14ac:dyDescent="0.2">
      <c r="A2665" s="227"/>
      <c r="B2665" s="227"/>
      <c r="C2665" s="361"/>
      <c r="D2665" s="227"/>
      <c r="E2665" s="364"/>
      <c r="F2665" s="227"/>
      <c r="G2665" s="227"/>
      <c r="H2665" s="227"/>
      <c r="I2665" s="231"/>
      <c r="J2665" s="227"/>
      <c r="K2665" s="226"/>
    </row>
    <row r="2666" spans="1:11" ht="12.75" x14ac:dyDescent="0.2">
      <c r="A2666" s="227"/>
      <c r="B2666" s="227"/>
      <c r="C2666" s="361"/>
      <c r="D2666" s="227"/>
      <c r="E2666" s="364"/>
      <c r="F2666" s="227"/>
      <c r="G2666" s="227"/>
      <c r="H2666" s="227"/>
      <c r="I2666" s="231"/>
      <c r="J2666" s="227"/>
      <c r="K2666" s="226"/>
    </row>
    <row r="2667" spans="1:11" ht="12.75" x14ac:dyDescent="0.2">
      <c r="A2667" s="227"/>
      <c r="B2667" s="227"/>
      <c r="C2667" s="361"/>
      <c r="D2667" s="227"/>
      <c r="E2667" s="364"/>
      <c r="F2667" s="227"/>
      <c r="G2667" s="227"/>
      <c r="H2667" s="227"/>
      <c r="I2667" s="231"/>
      <c r="J2667" s="227"/>
      <c r="K2667" s="226"/>
    </row>
    <row r="2668" spans="1:11" ht="12.75" x14ac:dyDescent="0.2">
      <c r="A2668" s="227"/>
      <c r="B2668" s="227"/>
      <c r="C2668" s="361"/>
      <c r="D2668" s="227"/>
      <c r="E2668" s="364"/>
      <c r="F2668" s="227"/>
      <c r="G2668" s="227"/>
      <c r="H2668" s="227"/>
      <c r="I2668" s="231"/>
      <c r="J2668" s="227"/>
      <c r="K2668" s="226"/>
    </row>
    <row r="2669" spans="1:11" ht="12.75" x14ac:dyDescent="0.2">
      <c r="A2669" s="227"/>
      <c r="B2669" s="227"/>
      <c r="C2669" s="361"/>
      <c r="D2669" s="227"/>
      <c r="E2669" s="364"/>
      <c r="F2669" s="227"/>
      <c r="G2669" s="227"/>
      <c r="H2669" s="227"/>
      <c r="I2669" s="231"/>
      <c r="J2669" s="227"/>
      <c r="K2669" s="226"/>
    </row>
    <row r="2670" spans="1:11" ht="12.75" x14ac:dyDescent="0.2">
      <c r="A2670" s="227"/>
      <c r="B2670" s="227"/>
      <c r="C2670" s="361"/>
      <c r="D2670" s="227"/>
      <c r="E2670" s="364"/>
      <c r="F2670" s="227"/>
      <c r="G2670" s="227"/>
      <c r="H2670" s="227"/>
      <c r="I2670" s="231"/>
      <c r="J2670" s="227"/>
      <c r="K2670" s="226"/>
    </row>
    <row r="2671" spans="1:11" ht="12.75" x14ac:dyDescent="0.2">
      <c r="A2671" s="227"/>
      <c r="B2671" s="227"/>
      <c r="C2671" s="361"/>
      <c r="D2671" s="227"/>
      <c r="E2671" s="364"/>
      <c r="F2671" s="227"/>
      <c r="G2671" s="227"/>
      <c r="H2671" s="227"/>
      <c r="I2671" s="231"/>
      <c r="J2671" s="227"/>
      <c r="K2671" s="226"/>
    </row>
    <row r="2672" spans="1:11" ht="12.75" x14ac:dyDescent="0.2">
      <c r="A2672" s="227"/>
      <c r="B2672" s="227"/>
      <c r="C2672" s="361"/>
      <c r="D2672" s="227"/>
      <c r="E2672" s="364"/>
      <c r="F2672" s="227"/>
      <c r="G2672" s="227"/>
      <c r="H2672" s="227"/>
      <c r="I2672" s="231"/>
      <c r="J2672" s="227"/>
      <c r="K2672" s="226"/>
    </row>
    <row r="2673" spans="1:11" ht="12.75" x14ac:dyDescent="0.2">
      <c r="A2673" s="227"/>
      <c r="B2673" s="227"/>
      <c r="C2673" s="361"/>
      <c r="D2673" s="227"/>
      <c r="E2673" s="364"/>
      <c r="F2673" s="227"/>
      <c r="G2673" s="227"/>
      <c r="H2673" s="227"/>
      <c r="I2673" s="231"/>
      <c r="J2673" s="227"/>
      <c r="K2673" s="226"/>
    </row>
    <row r="2674" spans="1:11" ht="12.75" x14ac:dyDescent="0.2">
      <c r="A2674" s="227"/>
      <c r="B2674" s="227"/>
      <c r="C2674" s="361"/>
      <c r="D2674" s="227"/>
      <c r="E2674" s="364"/>
      <c r="F2674" s="227"/>
      <c r="G2674" s="227"/>
      <c r="H2674" s="227"/>
      <c r="I2674" s="231"/>
      <c r="J2674" s="227"/>
      <c r="K2674" s="226"/>
    </row>
    <row r="2675" spans="1:11" ht="12.75" x14ac:dyDescent="0.2">
      <c r="A2675" s="227"/>
      <c r="B2675" s="227"/>
      <c r="C2675" s="361"/>
      <c r="D2675" s="227"/>
      <c r="E2675" s="364"/>
      <c r="F2675" s="227"/>
      <c r="G2675" s="227"/>
      <c r="H2675" s="227"/>
      <c r="I2675" s="231"/>
      <c r="J2675" s="227"/>
      <c r="K2675" s="226"/>
    </row>
    <row r="2676" spans="1:11" ht="12.75" x14ac:dyDescent="0.2">
      <c r="A2676" s="227"/>
      <c r="B2676" s="227"/>
      <c r="C2676" s="361"/>
      <c r="D2676" s="227"/>
      <c r="E2676" s="364"/>
      <c r="F2676" s="227"/>
      <c r="G2676" s="227"/>
      <c r="H2676" s="227"/>
      <c r="I2676" s="231"/>
      <c r="J2676" s="227"/>
      <c r="K2676" s="226"/>
    </row>
    <row r="2677" spans="1:11" ht="12.75" x14ac:dyDescent="0.2">
      <c r="A2677" s="227"/>
      <c r="B2677" s="227"/>
      <c r="C2677" s="361"/>
      <c r="D2677" s="227"/>
      <c r="E2677" s="364"/>
      <c r="F2677" s="227"/>
      <c r="G2677" s="227"/>
      <c r="H2677" s="227"/>
      <c r="I2677" s="231"/>
      <c r="J2677" s="227"/>
      <c r="K2677" s="226"/>
    </row>
    <row r="2678" spans="1:11" ht="12.75" x14ac:dyDescent="0.2">
      <c r="A2678" s="227"/>
      <c r="B2678" s="227"/>
      <c r="C2678" s="361"/>
      <c r="D2678" s="227"/>
      <c r="E2678" s="364"/>
      <c r="F2678" s="227"/>
      <c r="G2678" s="227"/>
      <c r="H2678" s="227"/>
      <c r="I2678" s="231"/>
      <c r="J2678" s="227"/>
      <c r="K2678" s="226"/>
    </row>
    <row r="2679" spans="1:11" ht="12.75" x14ac:dyDescent="0.2">
      <c r="A2679" s="227"/>
      <c r="B2679" s="227"/>
      <c r="C2679" s="361"/>
      <c r="D2679" s="227"/>
      <c r="E2679" s="364"/>
      <c r="F2679" s="227"/>
      <c r="G2679" s="227"/>
      <c r="H2679" s="227"/>
      <c r="I2679" s="231"/>
      <c r="J2679" s="227"/>
      <c r="K2679" s="226"/>
    </row>
    <row r="2680" spans="1:11" ht="12.75" x14ac:dyDescent="0.2">
      <c r="A2680" s="227"/>
      <c r="B2680" s="227"/>
      <c r="C2680" s="361"/>
      <c r="D2680" s="227"/>
      <c r="E2680" s="364"/>
      <c r="F2680" s="227"/>
      <c r="G2680" s="227"/>
      <c r="H2680" s="227"/>
      <c r="I2680" s="231"/>
      <c r="J2680" s="227"/>
      <c r="K2680" s="226"/>
    </row>
    <row r="2681" spans="1:11" ht="12.75" x14ac:dyDescent="0.2">
      <c r="A2681" s="227"/>
      <c r="B2681" s="227"/>
      <c r="C2681" s="361"/>
      <c r="D2681" s="227"/>
      <c r="E2681" s="364"/>
      <c r="F2681" s="227"/>
      <c r="G2681" s="227"/>
      <c r="H2681" s="227"/>
      <c r="I2681" s="231"/>
      <c r="J2681" s="227"/>
      <c r="K2681" s="226"/>
    </row>
    <row r="2682" spans="1:11" ht="12.75" x14ac:dyDescent="0.2">
      <c r="A2682" s="227"/>
      <c r="B2682" s="227"/>
      <c r="C2682" s="361"/>
      <c r="D2682" s="227"/>
      <c r="E2682" s="364"/>
      <c r="F2682" s="227"/>
      <c r="G2682" s="227"/>
      <c r="H2682" s="227"/>
      <c r="I2682" s="231"/>
      <c r="J2682" s="227"/>
      <c r="K2682" s="226"/>
    </row>
    <row r="2683" spans="1:11" ht="12.75" x14ac:dyDescent="0.2">
      <c r="A2683" s="227"/>
      <c r="B2683" s="227"/>
      <c r="C2683" s="361"/>
      <c r="D2683" s="227"/>
      <c r="E2683" s="364"/>
      <c r="F2683" s="227"/>
      <c r="G2683" s="227"/>
      <c r="H2683" s="227"/>
      <c r="I2683" s="231"/>
      <c r="J2683" s="227"/>
      <c r="K2683" s="226"/>
    </row>
    <row r="2684" spans="1:11" ht="12.75" x14ac:dyDescent="0.2">
      <c r="A2684" s="227"/>
      <c r="B2684" s="227"/>
      <c r="C2684" s="361"/>
      <c r="D2684" s="227"/>
      <c r="E2684" s="364"/>
      <c r="F2684" s="227"/>
      <c r="G2684" s="227"/>
      <c r="H2684" s="227"/>
      <c r="I2684" s="231"/>
      <c r="J2684" s="227"/>
      <c r="K2684" s="226"/>
    </row>
    <row r="2685" spans="1:11" ht="12.75" x14ac:dyDescent="0.2">
      <c r="A2685" s="227"/>
      <c r="B2685" s="227"/>
      <c r="C2685" s="361"/>
      <c r="D2685" s="227"/>
      <c r="E2685" s="364"/>
      <c r="F2685" s="227"/>
      <c r="G2685" s="227"/>
      <c r="H2685" s="227"/>
      <c r="I2685" s="231"/>
      <c r="J2685" s="227"/>
      <c r="K2685" s="226"/>
    </row>
    <row r="2686" spans="1:11" ht="12.75" x14ac:dyDescent="0.2">
      <c r="A2686" s="227"/>
      <c r="B2686" s="227"/>
      <c r="C2686" s="361"/>
      <c r="D2686" s="227"/>
      <c r="E2686" s="364"/>
      <c r="F2686" s="227"/>
      <c r="G2686" s="227"/>
      <c r="H2686" s="227"/>
      <c r="I2686" s="231"/>
      <c r="J2686" s="227"/>
      <c r="K2686" s="226"/>
    </row>
    <row r="2687" spans="1:11" ht="12.75" x14ac:dyDescent="0.2">
      <c r="A2687" s="227"/>
      <c r="B2687" s="227"/>
      <c r="C2687" s="361"/>
      <c r="D2687" s="227"/>
      <c r="E2687" s="364"/>
      <c r="F2687" s="227"/>
      <c r="G2687" s="227"/>
      <c r="H2687" s="227"/>
      <c r="I2687" s="231"/>
      <c r="J2687" s="227"/>
      <c r="K2687" s="226"/>
    </row>
    <row r="2688" spans="1:11" ht="12.75" x14ac:dyDescent="0.2">
      <c r="A2688" s="227"/>
      <c r="B2688" s="227"/>
      <c r="C2688" s="361"/>
      <c r="D2688" s="227"/>
      <c r="E2688" s="364"/>
      <c r="F2688" s="227"/>
      <c r="G2688" s="227"/>
      <c r="H2688" s="227"/>
      <c r="I2688" s="231"/>
      <c r="J2688" s="227"/>
      <c r="K2688" s="226"/>
    </row>
    <row r="2689" spans="1:11" ht="12.75" x14ac:dyDescent="0.2">
      <c r="A2689" s="227"/>
      <c r="B2689" s="227"/>
      <c r="C2689" s="361"/>
      <c r="D2689" s="227"/>
      <c r="E2689" s="364"/>
      <c r="F2689" s="227"/>
      <c r="G2689" s="227"/>
      <c r="H2689" s="227"/>
      <c r="I2689" s="231"/>
      <c r="J2689" s="227"/>
      <c r="K2689" s="226"/>
    </row>
    <row r="2690" spans="1:11" ht="12.75" x14ac:dyDescent="0.2">
      <c r="A2690" s="227"/>
      <c r="B2690" s="227"/>
      <c r="C2690" s="361"/>
      <c r="D2690" s="227"/>
      <c r="E2690" s="364"/>
      <c r="F2690" s="227"/>
      <c r="G2690" s="227"/>
      <c r="H2690" s="227"/>
      <c r="I2690" s="231"/>
      <c r="J2690" s="227"/>
      <c r="K2690" s="226"/>
    </row>
    <row r="2691" spans="1:11" ht="12.75" x14ac:dyDescent="0.2">
      <c r="A2691" s="227"/>
      <c r="B2691" s="227"/>
      <c r="C2691" s="361"/>
      <c r="D2691" s="227"/>
      <c r="E2691" s="364"/>
      <c r="F2691" s="227"/>
      <c r="G2691" s="227"/>
      <c r="H2691" s="227"/>
      <c r="I2691" s="231"/>
      <c r="J2691" s="227"/>
      <c r="K2691" s="226"/>
    </row>
    <row r="2692" spans="1:11" ht="12.75" x14ac:dyDescent="0.2">
      <c r="A2692" s="227"/>
      <c r="B2692" s="227"/>
      <c r="C2692" s="361"/>
      <c r="D2692" s="227"/>
      <c r="E2692" s="364"/>
      <c r="F2692" s="227"/>
      <c r="G2692" s="227"/>
      <c r="H2692" s="227"/>
      <c r="I2692" s="231"/>
      <c r="J2692" s="227"/>
      <c r="K2692" s="226"/>
    </row>
    <row r="2693" spans="1:11" ht="12.75" x14ac:dyDescent="0.2">
      <c r="A2693" s="227"/>
      <c r="B2693" s="227"/>
      <c r="C2693" s="361"/>
      <c r="D2693" s="227"/>
      <c r="E2693" s="364"/>
      <c r="F2693" s="227"/>
      <c r="G2693" s="227"/>
      <c r="H2693" s="227"/>
      <c r="I2693" s="231"/>
      <c r="J2693" s="227"/>
      <c r="K2693" s="226"/>
    </row>
    <row r="2694" spans="1:11" ht="12.75" x14ac:dyDescent="0.2">
      <c r="A2694" s="227"/>
      <c r="B2694" s="227"/>
      <c r="C2694" s="361"/>
      <c r="D2694" s="227"/>
      <c r="E2694" s="364"/>
      <c r="F2694" s="227"/>
      <c r="G2694" s="227"/>
      <c r="H2694" s="227"/>
      <c r="I2694" s="231"/>
      <c r="J2694" s="227"/>
      <c r="K2694" s="226"/>
    </row>
    <row r="2695" spans="1:11" ht="12.75" x14ac:dyDescent="0.2">
      <c r="A2695" s="227"/>
      <c r="B2695" s="227"/>
      <c r="C2695" s="361"/>
      <c r="D2695" s="227"/>
      <c r="E2695" s="364"/>
      <c r="F2695" s="227"/>
      <c r="G2695" s="227"/>
      <c r="H2695" s="227"/>
      <c r="I2695" s="231"/>
      <c r="J2695" s="227"/>
      <c r="K2695" s="226"/>
    </row>
    <row r="2696" spans="1:11" ht="12.75" x14ac:dyDescent="0.2">
      <c r="A2696" s="227"/>
      <c r="B2696" s="227"/>
      <c r="C2696" s="361"/>
      <c r="D2696" s="227"/>
      <c r="E2696" s="364"/>
      <c r="F2696" s="227"/>
      <c r="G2696" s="227"/>
      <c r="H2696" s="227"/>
      <c r="I2696" s="231"/>
      <c r="J2696" s="227"/>
      <c r="K2696" s="226"/>
    </row>
    <row r="2697" spans="1:11" ht="12.75" x14ac:dyDescent="0.2">
      <c r="A2697" s="227"/>
      <c r="B2697" s="227"/>
      <c r="C2697" s="361"/>
      <c r="D2697" s="227"/>
      <c r="E2697" s="364"/>
      <c r="F2697" s="227"/>
      <c r="G2697" s="227"/>
      <c r="H2697" s="227"/>
      <c r="I2697" s="231"/>
      <c r="J2697" s="227"/>
      <c r="K2697" s="226"/>
    </row>
    <row r="2698" spans="1:11" ht="12.75" x14ac:dyDescent="0.2">
      <c r="A2698" s="227"/>
      <c r="B2698" s="227"/>
      <c r="C2698" s="361"/>
      <c r="D2698" s="227"/>
      <c r="E2698" s="364"/>
      <c r="F2698" s="227"/>
      <c r="G2698" s="227"/>
      <c r="H2698" s="227"/>
      <c r="I2698" s="231"/>
      <c r="J2698" s="227"/>
      <c r="K2698" s="226"/>
    </row>
    <row r="2699" spans="1:11" ht="12.75" x14ac:dyDescent="0.2">
      <c r="A2699" s="227"/>
      <c r="B2699" s="227"/>
      <c r="C2699" s="361"/>
      <c r="D2699" s="227"/>
      <c r="E2699" s="364"/>
      <c r="F2699" s="227"/>
      <c r="G2699" s="227"/>
      <c r="H2699" s="227"/>
      <c r="I2699" s="231"/>
      <c r="J2699" s="227"/>
      <c r="K2699" s="226"/>
    </row>
    <row r="2700" spans="1:11" ht="12.75" x14ac:dyDescent="0.2">
      <c r="A2700" s="227"/>
      <c r="B2700" s="227"/>
      <c r="C2700" s="361"/>
      <c r="D2700" s="227"/>
      <c r="E2700" s="364"/>
      <c r="F2700" s="227"/>
      <c r="G2700" s="227"/>
      <c r="H2700" s="227"/>
      <c r="I2700" s="231"/>
      <c r="J2700" s="227"/>
      <c r="K2700" s="226"/>
    </row>
    <row r="2701" spans="1:11" ht="12.75" x14ac:dyDescent="0.2">
      <c r="A2701" s="227"/>
      <c r="B2701" s="227"/>
      <c r="C2701" s="361"/>
      <c r="D2701" s="227"/>
      <c r="E2701" s="364"/>
      <c r="F2701" s="227"/>
      <c r="G2701" s="227"/>
      <c r="H2701" s="227"/>
      <c r="I2701" s="231"/>
      <c r="J2701" s="227"/>
      <c r="K2701" s="226"/>
    </row>
    <row r="2702" spans="1:11" ht="12.75" x14ac:dyDescent="0.2">
      <c r="A2702" s="227"/>
      <c r="B2702" s="227"/>
      <c r="C2702" s="361"/>
      <c r="D2702" s="227"/>
      <c r="E2702" s="364"/>
      <c r="F2702" s="227"/>
      <c r="G2702" s="227"/>
      <c r="H2702" s="227"/>
      <c r="I2702" s="231"/>
      <c r="J2702" s="227"/>
      <c r="K2702" s="226"/>
    </row>
    <row r="2703" spans="1:11" ht="12.75" x14ac:dyDescent="0.2">
      <c r="A2703" s="227"/>
      <c r="B2703" s="227"/>
      <c r="C2703" s="361"/>
      <c r="D2703" s="227"/>
      <c r="E2703" s="364"/>
      <c r="F2703" s="227"/>
      <c r="G2703" s="227"/>
      <c r="H2703" s="227"/>
      <c r="I2703" s="231"/>
      <c r="J2703" s="227"/>
      <c r="K2703" s="226"/>
    </row>
    <row r="2704" spans="1:11" ht="12.75" x14ac:dyDescent="0.2">
      <c r="A2704" s="227"/>
      <c r="B2704" s="227"/>
      <c r="C2704" s="361"/>
      <c r="D2704" s="227"/>
      <c r="E2704" s="364"/>
      <c r="F2704" s="227"/>
      <c r="G2704" s="227"/>
      <c r="H2704" s="227"/>
      <c r="I2704" s="231"/>
      <c r="J2704" s="227"/>
      <c r="K2704" s="226"/>
    </row>
    <row r="2705" spans="1:11" ht="12.75" x14ac:dyDescent="0.2">
      <c r="A2705" s="227"/>
      <c r="B2705" s="227"/>
      <c r="C2705" s="361"/>
      <c r="D2705" s="227"/>
      <c r="E2705" s="364"/>
      <c r="F2705" s="227"/>
      <c r="G2705" s="227"/>
      <c r="H2705" s="227"/>
      <c r="I2705" s="231"/>
      <c r="J2705" s="227"/>
      <c r="K2705" s="226"/>
    </row>
    <row r="2706" spans="1:11" ht="12.75" x14ac:dyDescent="0.2">
      <c r="A2706" s="227"/>
      <c r="B2706" s="227"/>
      <c r="C2706" s="361"/>
      <c r="D2706" s="227"/>
      <c r="E2706" s="364"/>
      <c r="F2706" s="227"/>
      <c r="G2706" s="227"/>
      <c r="H2706" s="227"/>
      <c r="I2706" s="231"/>
      <c r="J2706" s="227"/>
      <c r="K2706" s="226"/>
    </row>
    <row r="2707" spans="1:11" ht="12.75" x14ac:dyDescent="0.2">
      <c r="A2707" s="227"/>
      <c r="B2707" s="227"/>
      <c r="C2707" s="361"/>
      <c r="D2707" s="227"/>
      <c r="E2707" s="364"/>
      <c r="F2707" s="227"/>
      <c r="G2707" s="227"/>
      <c r="H2707" s="227"/>
      <c r="I2707" s="231"/>
      <c r="J2707" s="227"/>
      <c r="K2707" s="226"/>
    </row>
    <row r="2708" spans="1:11" ht="12.75" x14ac:dyDescent="0.2">
      <c r="A2708" s="227"/>
      <c r="B2708" s="227"/>
      <c r="C2708" s="361"/>
      <c r="D2708" s="227"/>
      <c r="E2708" s="364"/>
      <c r="F2708" s="227"/>
      <c r="G2708" s="227"/>
      <c r="H2708" s="227"/>
      <c r="I2708" s="231"/>
      <c r="J2708" s="227"/>
      <c r="K2708" s="226"/>
    </row>
    <row r="2709" spans="1:11" ht="12.75" x14ac:dyDescent="0.2">
      <c r="A2709" s="227"/>
      <c r="B2709" s="227"/>
      <c r="C2709" s="361"/>
      <c r="D2709" s="227"/>
      <c r="E2709" s="364"/>
      <c r="F2709" s="227"/>
      <c r="G2709" s="227"/>
      <c r="H2709" s="227"/>
      <c r="I2709" s="231"/>
      <c r="J2709" s="227"/>
      <c r="K2709" s="226"/>
    </row>
    <row r="2710" spans="1:11" ht="12.75" x14ac:dyDescent="0.2">
      <c r="A2710" s="227"/>
      <c r="B2710" s="227"/>
      <c r="C2710" s="361"/>
      <c r="D2710" s="227"/>
      <c r="E2710" s="364"/>
      <c r="F2710" s="227"/>
      <c r="G2710" s="227"/>
      <c r="H2710" s="227"/>
      <c r="I2710" s="231"/>
      <c r="J2710" s="227"/>
      <c r="K2710" s="226"/>
    </row>
    <row r="2711" spans="1:11" ht="12.75" x14ac:dyDescent="0.2">
      <c r="A2711" s="227"/>
      <c r="B2711" s="227"/>
      <c r="C2711" s="361"/>
      <c r="D2711" s="227"/>
      <c r="E2711" s="364"/>
      <c r="F2711" s="227"/>
      <c r="G2711" s="227"/>
      <c r="H2711" s="227"/>
      <c r="I2711" s="231"/>
      <c r="J2711" s="227"/>
      <c r="K2711" s="226"/>
    </row>
    <row r="2712" spans="1:11" ht="12.75" x14ac:dyDescent="0.2">
      <c r="A2712" s="227"/>
      <c r="B2712" s="227"/>
      <c r="C2712" s="361"/>
      <c r="D2712" s="227"/>
      <c r="E2712" s="364"/>
      <c r="F2712" s="227"/>
      <c r="G2712" s="227"/>
      <c r="H2712" s="227"/>
      <c r="I2712" s="231"/>
      <c r="J2712" s="227"/>
      <c r="K2712" s="226"/>
    </row>
    <row r="2713" spans="1:11" ht="12.75" x14ac:dyDescent="0.2">
      <c r="A2713" s="227"/>
      <c r="B2713" s="227"/>
      <c r="C2713" s="361"/>
      <c r="D2713" s="227"/>
      <c r="E2713" s="364"/>
      <c r="F2713" s="227"/>
      <c r="G2713" s="227"/>
      <c r="H2713" s="227"/>
      <c r="I2713" s="231"/>
      <c r="J2713" s="227"/>
      <c r="K2713" s="226"/>
    </row>
    <row r="2714" spans="1:11" ht="12.75" x14ac:dyDescent="0.2">
      <c r="A2714" s="227"/>
      <c r="B2714" s="227"/>
      <c r="C2714" s="361"/>
      <c r="D2714" s="227"/>
      <c r="E2714" s="364"/>
      <c r="F2714" s="227"/>
      <c r="G2714" s="227"/>
      <c r="H2714" s="227"/>
      <c r="I2714" s="231"/>
      <c r="J2714" s="227"/>
      <c r="K2714" s="226"/>
    </row>
    <row r="2715" spans="1:11" ht="12.75" x14ac:dyDescent="0.2">
      <c r="A2715" s="227"/>
      <c r="B2715" s="227"/>
      <c r="C2715" s="361"/>
      <c r="D2715" s="227"/>
      <c r="E2715" s="364"/>
      <c r="F2715" s="227"/>
      <c r="G2715" s="227"/>
      <c r="H2715" s="227"/>
      <c r="I2715" s="231"/>
      <c r="J2715" s="227"/>
      <c r="K2715" s="226"/>
    </row>
    <row r="2716" spans="1:11" ht="12.75" x14ac:dyDescent="0.2">
      <c r="A2716" s="227"/>
      <c r="B2716" s="227"/>
      <c r="C2716" s="361"/>
      <c r="D2716" s="227"/>
      <c r="E2716" s="364"/>
      <c r="F2716" s="227"/>
      <c r="G2716" s="227"/>
      <c r="H2716" s="227"/>
      <c r="I2716" s="231"/>
      <c r="J2716" s="227"/>
      <c r="K2716" s="226"/>
    </row>
    <row r="2717" spans="1:11" ht="12.75" x14ac:dyDescent="0.2">
      <c r="A2717" s="227"/>
      <c r="B2717" s="227"/>
      <c r="C2717" s="361"/>
      <c r="D2717" s="227"/>
      <c r="E2717" s="364"/>
      <c r="F2717" s="227"/>
      <c r="G2717" s="227"/>
      <c r="H2717" s="227"/>
      <c r="I2717" s="231"/>
      <c r="J2717" s="227"/>
      <c r="K2717" s="226"/>
    </row>
    <row r="2718" spans="1:11" ht="12.75" x14ac:dyDescent="0.2">
      <c r="A2718" s="227"/>
      <c r="B2718" s="227"/>
      <c r="C2718" s="361"/>
      <c r="D2718" s="227"/>
      <c r="E2718" s="364"/>
      <c r="F2718" s="227"/>
      <c r="G2718" s="227"/>
      <c r="H2718" s="227"/>
      <c r="I2718" s="231"/>
      <c r="J2718" s="227"/>
      <c r="K2718" s="226"/>
    </row>
    <row r="2719" spans="1:11" ht="12.75" x14ac:dyDescent="0.2">
      <c r="A2719" s="227"/>
      <c r="B2719" s="227"/>
      <c r="C2719" s="361"/>
      <c r="D2719" s="227"/>
      <c r="E2719" s="364"/>
      <c r="F2719" s="227"/>
      <c r="G2719" s="227"/>
      <c r="H2719" s="227"/>
      <c r="I2719" s="231"/>
      <c r="J2719" s="227"/>
      <c r="K2719" s="226"/>
    </row>
    <row r="2720" spans="1:11" ht="12.75" x14ac:dyDescent="0.2">
      <c r="A2720" s="227"/>
      <c r="B2720" s="227"/>
      <c r="C2720" s="361"/>
      <c r="D2720" s="227"/>
      <c r="E2720" s="364"/>
      <c r="F2720" s="227"/>
      <c r="G2720" s="227"/>
      <c r="H2720" s="227"/>
      <c r="I2720" s="231"/>
      <c r="J2720" s="227"/>
      <c r="K2720" s="226"/>
    </row>
    <row r="2721" spans="1:11" ht="12.75" x14ac:dyDescent="0.2">
      <c r="A2721" s="227"/>
      <c r="B2721" s="227"/>
      <c r="C2721" s="361"/>
      <c r="D2721" s="227"/>
      <c r="E2721" s="364"/>
      <c r="F2721" s="227"/>
      <c r="G2721" s="227"/>
      <c r="H2721" s="227"/>
      <c r="I2721" s="231"/>
      <c r="J2721" s="227"/>
      <c r="K2721" s="226"/>
    </row>
    <row r="2722" spans="1:11" ht="12.75" x14ac:dyDescent="0.2">
      <c r="A2722" s="227"/>
      <c r="B2722" s="227"/>
      <c r="C2722" s="361"/>
      <c r="D2722" s="227"/>
      <c r="E2722" s="364"/>
      <c r="F2722" s="227"/>
      <c r="G2722" s="227"/>
      <c r="H2722" s="227"/>
      <c r="I2722" s="231"/>
      <c r="J2722" s="227"/>
      <c r="K2722" s="226"/>
    </row>
    <row r="2723" spans="1:11" ht="12.75" x14ac:dyDescent="0.2">
      <c r="A2723" s="227"/>
      <c r="B2723" s="227"/>
      <c r="C2723" s="361"/>
      <c r="D2723" s="227"/>
      <c r="E2723" s="364"/>
      <c r="F2723" s="227"/>
      <c r="G2723" s="227"/>
      <c r="H2723" s="227"/>
      <c r="I2723" s="231"/>
      <c r="J2723" s="227"/>
      <c r="K2723" s="226"/>
    </row>
    <row r="2724" spans="1:11" ht="12.75" x14ac:dyDescent="0.2">
      <c r="A2724" s="227"/>
      <c r="B2724" s="227"/>
      <c r="C2724" s="361"/>
      <c r="D2724" s="227"/>
      <c r="E2724" s="364"/>
      <c r="F2724" s="227"/>
      <c r="G2724" s="227"/>
      <c r="H2724" s="227"/>
      <c r="I2724" s="231"/>
      <c r="J2724" s="227"/>
      <c r="K2724" s="226"/>
    </row>
    <row r="2725" spans="1:11" ht="12.75" x14ac:dyDescent="0.2">
      <c r="A2725" s="227"/>
      <c r="B2725" s="227"/>
      <c r="C2725" s="361"/>
      <c r="D2725" s="227"/>
      <c r="E2725" s="364"/>
      <c r="F2725" s="227"/>
      <c r="G2725" s="227"/>
      <c r="H2725" s="227"/>
      <c r="I2725" s="231"/>
      <c r="J2725" s="227"/>
      <c r="K2725" s="226"/>
    </row>
    <row r="2726" spans="1:11" ht="12.75" x14ac:dyDescent="0.2">
      <c r="A2726" s="227"/>
      <c r="B2726" s="227"/>
      <c r="C2726" s="361"/>
      <c r="D2726" s="227"/>
      <c r="E2726" s="364"/>
      <c r="F2726" s="227"/>
      <c r="G2726" s="227"/>
      <c r="H2726" s="227"/>
      <c r="I2726" s="231"/>
      <c r="J2726" s="227"/>
      <c r="K2726" s="226"/>
    </row>
    <row r="2727" spans="1:11" ht="12.75" x14ac:dyDescent="0.2">
      <c r="A2727" s="227"/>
      <c r="B2727" s="227"/>
      <c r="C2727" s="361"/>
      <c r="D2727" s="227"/>
      <c r="E2727" s="364"/>
      <c r="F2727" s="227"/>
      <c r="G2727" s="227"/>
      <c r="H2727" s="227"/>
      <c r="I2727" s="231"/>
      <c r="J2727" s="227"/>
      <c r="K2727" s="226"/>
    </row>
    <row r="2728" spans="1:11" ht="12.75" x14ac:dyDescent="0.2">
      <c r="A2728" s="227"/>
      <c r="B2728" s="227"/>
      <c r="C2728" s="361"/>
      <c r="D2728" s="227"/>
      <c r="E2728" s="364"/>
      <c r="F2728" s="227"/>
      <c r="G2728" s="227"/>
      <c r="H2728" s="227"/>
      <c r="I2728" s="231"/>
      <c r="J2728" s="227"/>
      <c r="K2728" s="226"/>
    </row>
    <row r="2729" spans="1:11" ht="12.75" x14ac:dyDescent="0.2">
      <c r="A2729" s="227"/>
      <c r="B2729" s="227"/>
      <c r="C2729" s="361"/>
      <c r="D2729" s="227"/>
      <c r="E2729" s="364"/>
      <c r="F2729" s="227"/>
      <c r="G2729" s="227"/>
      <c r="H2729" s="227"/>
      <c r="I2729" s="231"/>
      <c r="J2729" s="227"/>
      <c r="K2729" s="226"/>
    </row>
    <row r="2730" spans="1:11" ht="12.75" x14ac:dyDescent="0.2">
      <c r="A2730" s="227"/>
      <c r="B2730" s="227"/>
      <c r="C2730" s="361"/>
      <c r="D2730" s="227"/>
      <c r="E2730" s="364"/>
      <c r="F2730" s="227"/>
      <c r="G2730" s="227"/>
      <c r="H2730" s="227"/>
      <c r="I2730" s="231"/>
      <c r="J2730" s="227"/>
      <c r="K2730" s="226"/>
    </row>
    <row r="2731" spans="1:11" ht="12.75" x14ac:dyDescent="0.2">
      <c r="A2731" s="227"/>
      <c r="B2731" s="227"/>
      <c r="C2731" s="361"/>
      <c r="D2731" s="227"/>
      <c r="E2731" s="364"/>
      <c r="F2731" s="227"/>
      <c r="G2731" s="227"/>
      <c r="H2731" s="227"/>
      <c r="I2731" s="231"/>
      <c r="J2731" s="227"/>
      <c r="K2731" s="226"/>
    </row>
    <row r="2732" spans="1:11" ht="12.75" x14ac:dyDescent="0.2">
      <c r="A2732" s="227"/>
      <c r="B2732" s="227"/>
      <c r="C2732" s="361"/>
      <c r="D2732" s="227"/>
      <c r="E2732" s="364"/>
      <c r="F2732" s="227"/>
      <c r="G2732" s="227"/>
      <c r="H2732" s="227"/>
      <c r="I2732" s="231"/>
      <c r="J2732" s="227"/>
      <c r="K2732" s="226"/>
    </row>
    <row r="2733" spans="1:11" ht="12.75" x14ac:dyDescent="0.2">
      <c r="A2733" s="227"/>
      <c r="B2733" s="227"/>
      <c r="C2733" s="361"/>
      <c r="D2733" s="227"/>
      <c r="E2733" s="364"/>
      <c r="F2733" s="227"/>
      <c r="G2733" s="227"/>
      <c r="H2733" s="227"/>
      <c r="I2733" s="231"/>
      <c r="J2733" s="227"/>
      <c r="K2733" s="226"/>
    </row>
    <row r="2734" spans="1:11" ht="12.75" x14ac:dyDescent="0.2">
      <c r="A2734" s="227"/>
      <c r="B2734" s="227"/>
      <c r="C2734" s="361"/>
      <c r="D2734" s="227"/>
      <c r="E2734" s="364"/>
      <c r="F2734" s="227"/>
      <c r="G2734" s="227"/>
      <c r="H2734" s="227"/>
      <c r="I2734" s="231"/>
      <c r="J2734" s="227"/>
      <c r="K2734" s="226"/>
    </row>
    <row r="2735" spans="1:11" ht="12.75" x14ac:dyDescent="0.2">
      <c r="A2735" s="227"/>
      <c r="B2735" s="227"/>
      <c r="C2735" s="361"/>
      <c r="D2735" s="227"/>
      <c r="E2735" s="364"/>
      <c r="F2735" s="227"/>
      <c r="G2735" s="227"/>
      <c r="H2735" s="227"/>
      <c r="I2735" s="231"/>
      <c r="J2735" s="227"/>
      <c r="K2735" s="226"/>
    </row>
    <row r="2736" spans="1:11" ht="12.75" x14ac:dyDescent="0.2">
      <c r="A2736" s="227"/>
      <c r="B2736" s="227"/>
      <c r="C2736" s="361"/>
      <c r="D2736" s="227"/>
      <c r="E2736" s="364"/>
      <c r="F2736" s="227"/>
      <c r="G2736" s="227"/>
      <c r="H2736" s="227"/>
      <c r="I2736" s="231"/>
      <c r="J2736" s="227"/>
      <c r="K2736" s="226"/>
    </row>
    <row r="2737" spans="1:11" ht="12.75" x14ac:dyDescent="0.2">
      <c r="A2737" s="227"/>
      <c r="B2737" s="227"/>
      <c r="C2737" s="361"/>
      <c r="D2737" s="227"/>
      <c r="E2737" s="364"/>
      <c r="F2737" s="227"/>
      <c r="G2737" s="227"/>
      <c r="H2737" s="227"/>
      <c r="I2737" s="231"/>
      <c r="J2737" s="227"/>
      <c r="K2737" s="226"/>
    </row>
    <row r="2738" spans="1:11" ht="12.75" x14ac:dyDescent="0.2">
      <c r="A2738" s="227"/>
      <c r="B2738" s="227"/>
      <c r="C2738" s="361"/>
      <c r="D2738" s="227"/>
      <c r="E2738" s="364"/>
      <c r="F2738" s="227"/>
      <c r="G2738" s="227"/>
      <c r="H2738" s="227"/>
      <c r="I2738" s="231"/>
      <c r="J2738" s="227"/>
      <c r="K2738" s="226"/>
    </row>
    <row r="2739" spans="1:11" ht="12.75" x14ac:dyDescent="0.2">
      <c r="A2739" s="227"/>
      <c r="B2739" s="227"/>
      <c r="C2739" s="361"/>
      <c r="D2739" s="227"/>
      <c r="E2739" s="364"/>
      <c r="F2739" s="227"/>
      <c r="G2739" s="227"/>
      <c r="H2739" s="227"/>
      <c r="I2739" s="231"/>
      <c r="J2739" s="227"/>
      <c r="K2739" s="226"/>
    </row>
    <row r="2740" spans="1:11" ht="12.75" x14ac:dyDescent="0.2">
      <c r="A2740" s="227"/>
      <c r="B2740" s="227"/>
      <c r="C2740" s="361"/>
      <c r="D2740" s="227"/>
      <c r="E2740" s="364"/>
      <c r="F2740" s="227"/>
      <c r="G2740" s="227"/>
      <c r="H2740" s="227"/>
      <c r="I2740" s="231"/>
      <c r="J2740" s="227"/>
      <c r="K2740" s="226"/>
    </row>
    <row r="2741" spans="1:11" ht="12.75" x14ac:dyDescent="0.2">
      <c r="A2741" s="227"/>
      <c r="B2741" s="227"/>
      <c r="C2741" s="361"/>
      <c r="D2741" s="227"/>
      <c r="E2741" s="364"/>
      <c r="F2741" s="227"/>
      <c r="G2741" s="227"/>
      <c r="H2741" s="227"/>
      <c r="I2741" s="231"/>
      <c r="J2741" s="227"/>
      <c r="K2741" s="226"/>
    </row>
    <row r="2742" spans="1:11" ht="12.75" x14ac:dyDescent="0.2">
      <c r="A2742" s="227"/>
      <c r="B2742" s="227"/>
      <c r="C2742" s="361"/>
      <c r="D2742" s="227"/>
      <c r="E2742" s="364"/>
      <c r="F2742" s="227"/>
      <c r="G2742" s="227"/>
      <c r="H2742" s="227"/>
      <c r="I2742" s="231"/>
      <c r="J2742" s="227"/>
      <c r="K2742" s="226"/>
    </row>
    <row r="2743" spans="1:11" ht="12.75" x14ac:dyDescent="0.2">
      <c r="A2743" s="227"/>
      <c r="B2743" s="227"/>
      <c r="C2743" s="361"/>
      <c r="D2743" s="227"/>
      <c r="E2743" s="364"/>
      <c r="F2743" s="227"/>
      <c r="G2743" s="227"/>
      <c r="H2743" s="227"/>
      <c r="I2743" s="231"/>
      <c r="J2743" s="227"/>
      <c r="K2743" s="226"/>
    </row>
    <row r="2744" spans="1:11" ht="12.75" x14ac:dyDescent="0.2">
      <c r="A2744" s="227"/>
      <c r="B2744" s="227"/>
      <c r="C2744" s="361"/>
      <c r="D2744" s="227"/>
      <c r="E2744" s="364"/>
      <c r="F2744" s="227"/>
      <c r="G2744" s="227"/>
      <c r="H2744" s="227"/>
      <c r="I2744" s="231"/>
      <c r="J2744" s="227"/>
      <c r="K2744" s="226"/>
    </row>
    <row r="2745" spans="1:11" ht="12.75" x14ac:dyDescent="0.2">
      <c r="A2745" s="227"/>
      <c r="B2745" s="227"/>
      <c r="C2745" s="361"/>
      <c r="D2745" s="227"/>
      <c r="E2745" s="364"/>
      <c r="F2745" s="227"/>
      <c r="G2745" s="227"/>
      <c r="H2745" s="227"/>
      <c r="I2745" s="231"/>
      <c r="J2745" s="227"/>
      <c r="K2745" s="226"/>
    </row>
    <row r="2746" spans="1:11" ht="12.75" x14ac:dyDescent="0.2">
      <c r="A2746" s="227"/>
      <c r="B2746" s="227"/>
      <c r="C2746" s="361"/>
      <c r="D2746" s="227"/>
      <c r="E2746" s="364"/>
      <c r="F2746" s="227"/>
      <c r="G2746" s="227"/>
      <c r="H2746" s="227"/>
      <c r="I2746" s="231"/>
      <c r="J2746" s="227"/>
      <c r="K2746" s="226"/>
    </row>
    <row r="2747" spans="1:11" ht="12.75" x14ac:dyDescent="0.2">
      <c r="A2747" s="227"/>
      <c r="B2747" s="227"/>
      <c r="C2747" s="361"/>
      <c r="D2747" s="227"/>
      <c r="E2747" s="364"/>
      <c r="F2747" s="227"/>
      <c r="G2747" s="227"/>
      <c r="H2747" s="227"/>
      <c r="I2747" s="231"/>
      <c r="J2747" s="227"/>
      <c r="K2747" s="226"/>
    </row>
    <row r="2748" spans="1:11" ht="12.75" x14ac:dyDescent="0.2">
      <c r="A2748" s="227"/>
      <c r="B2748" s="227"/>
      <c r="C2748" s="361"/>
      <c r="D2748" s="227"/>
      <c r="E2748" s="364"/>
      <c r="F2748" s="227"/>
      <c r="G2748" s="227"/>
      <c r="H2748" s="227"/>
      <c r="I2748" s="231"/>
      <c r="J2748" s="227"/>
      <c r="K2748" s="226"/>
    </row>
    <row r="2749" spans="1:11" ht="12.75" x14ac:dyDescent="0.2">
      <c r="A2749" s="227"/>
      <c r="B2749" s="227"/>
      <c r="C2749" s="361"/>
      <c r="D2749" s="227"/>
      <c r="E2749" s="364"/>
      <c r="F2749" s="227"/>
      <c r="G2749" s="227"/>
      <c r="H2749" s="227"/>
      <c r="I2749" s="231"/>
      <c r="J2749" s="227"/>
      <c r="K2749" s="226"/>
    </row>
    <row r="2750" spans="1:11" ht="12.75" x14ac:dyDescent="0.2">
      <c r="A2750" s="227"/>
      <c r="B2750" s="227"/>
      <c r="C2750" s="361"/>
      <c r="D2750" s="227"/>
      <c r="E2750" s="364"/>
      <c r="F2750" s="227"/>
      <c r="G2750" s="227"/>
      <c r="H2750" s="227"/>
      <c r="I2750" s="231"/>
      <c r="J2750" s="227"/>
      <c r="K2750" s="226"/>
    </row>
    <row r="2751" spans="1:11" ht="12.75" x14ac:dyDescent="0.2">
      <c r="A2751" s="227"/>
      <c r="B2751" s="227"/>
      <c r="C2751" s="361"/>
      <c r="D2751" s="227"/>
      <c r="E2751" s="364"/>
      <c r="F2751" s="227"/>
      <c r="G2751" s="227"/>
      <c r="H2751" s="227"/>
      <c r="I2751" s="231"/>
      <c r="J2751" s="227"/>
      <c r="K2751" s="226"/>
    </row>
    <row r="2752" spans="1:11" ht="12.75" x14ac:dyDescent="0.2">
      <c r="A2752" s="227"/>
      <c r="B2752" s="227"/>
      <c r="C2752" s="361"/>
      <c r="D2752" s="227"/>
      <c r="E2752" s="364"/>
      <c r="F2752" s="227"/>
      <c r="G2752" s="227"/>
      <c r="H2752" s="227"/>
      <c r="I2752" s="231"/>
      <c r="J2752" s="227"/>
      <c r="K2752" s="226"/>
    </row>
    <row r="2753" spans="1:11" ht="12.75" x14ac:dyDescent="0.2">
      <c r="A2753" s="227"/>
      <c r="B2753" s="227"/>
      <c r="C2753" s="361"/>
      <c r="D2753" s="227"/>
      <c r="E2753" s="364"/>
      <c r="F2753" s="227"/>
      <c r="G2753" s="227"/>
      <c r="H2753" s="227"/>
      <c r="I2753" s="231"/>
      <c r="J2753" s="227"/>
      <c r="K2753" s="226"/>
    </row>
    <row r="2754" spans="1:11" ht="12.75" x14ac:dyDescent="0.2">
      <c r="A2754" s="227"/>
      <c r="B2754" s="227"/>
      <c r="C2754" s="361"/>
      <c r="D2754" s="227"/>
      <c r="E2754" s="364"/>
      <c r="F2754" s="227"/>
      <c r="G2754" s="227"/>
      <c r="H2754" s="227"/>
      <c r="I2754" s="231"/>
      <c r="J2754" s="227"/>
      <c r="K2754" s="226"/>
    </row>
    <row r="2755" spans="1:11" ht="12.75" x14ac:dyDescent="0.2">
      <c r="A2755" s="227"/>
      <c r="B2755" s="227"/>
      <c r="C2755" s="361"/>
      <c r="D2755" s="227"/>
      <c r="E2755" s="364"/>
      <c r="F2755" s="227"/>
      <c r="G2755" s="227"/>
      <c r="H2755" s="227"/>
      <c r="I2755" s="231"/>
      <c r="J2755" s="227"/>
      <c r="K2755" s="226"/>
    </row>
    <row r="2756" spans="1:11" ht="12.75" x14ac:dyDescent="0.2">
      <c r="A2756" s="227"/>
      <c r="B2756" s="227"/>
      <c r="C2756" s="361"/>
      <c r="D2756" s="227"/>
      <c r="E2756" s="364"/>
      <c r="F2756" s="227"/>
      <c r="G2756" s="227"/>
      <c r="H2756" s="227"/>
      <c r="I2756" s="231"/>
      <c r="J2756" s="227"/>
      <c r="K2756" s="226"/>
    </row>
    <row r="2757" spans="1:11" ht="12.75" x14ac:dyDescent="0.2">
      <c r="A2757" s="227"/>
      <c r="B2757" s="227"/>
      <c r="C2757" s="361"/>
      <c r="D2757" s="227"/>
      <c r="E2757" s="364"/>
      <c r="F2757" s="227"/>
      <c r="G2757" s="227"/>
      <c r="H2757" s="227"/>
      <c r="I2757" s="231"/>
      <c r="J2757" s="227"/>
      <c r="K2757" s="226"/>
    </row>
    <row r="2758" spans="1:11" ht="12.75" x14ac:dyDescent="0.2">
      <c r="A2758" s="227"/>
      <c r="B2758" s="227"/>
      <c r="C2758" s="361"/>
      <c r="D2758" s="227"/>
      <c r="E2758" s="364"/>
      <c r="F2758" s="227"/>
      <c r="G2758" s="227"/>
      <c r="H2758" s="227"/>
      <c r="I2758" s="231"/>
      <c r="J2758" s="227"/>
      <c r="K2758" s="226"/>
    </row>
    <row r="2759" spans="1:11" ht="12.75" x14ac:dyDescent="0.2">
      <c r="A2759" s="227"/>
      <c r="B2759" s="227"/>
      <c r="C2759" s="361"/>
      <c r="D2759" s="227"/>
      <c r="E2759" s="364"/>
      <c r="F2759" s="227"/>
      <c r="G2759" s="227"/>
      <c r="H2759" s="227"/>
      <c r="I2759" s="231"/>
      <c r="J2759" s="227"/>
      <c r="K2759" s="226"/>
    </row>
    <row r="2760" spans="1:11" ht="12.75" x14ac:dyDescent="0.2">
      <c r="A2760" s="227"/>
      <c r="B2760" s="227"/>
      <c r="C2760" s="361"/>
      <c r="D2760" s="227"/>
      <c r="E2760" s="364"/>
      <c r="F2760" s="227"/>
      <c r="G2760" s="227"/>
      <c r="H2760" s="227"/>
      <c r="I2760" s="231"/>
      <c r="J2760" s="227"/>
      <c r="K2760" s="226"/>
    </row>
    <row r="2761" spans="1:11" ht="12.75" x14ac:dyDescent="0.2">
      <c r="A2761" s="227"/>
      <c r="B2761" s="227"/>
      <c r="C2761" s="361"/>
      <c r="D2761" s="227"/>
      <c r="E2761" s="364"/>
      <c r="F2761" s="227"/>
      <c r="G2761" s="227"/>
      <c r="H2761" s="227"/>
      <c r="I2761" s="231"/>
      <c r="J2761" s="227"/>
      <c r="K2761" s="226"/>
    </row>
    <row r="2762" spans="1:11" ht="12.75" x14ac:dyDescent="0.2">
      <c r="A2762" s="227"/>
      <c r="B2762" s="227"/>
      <c r="C2762" s="361"/>
      <c r="D2762" s="227"/>
      <c r="E2762" s="364"/>
      <c r="F2762" s="227"/>
      <c r="G2762" s="227"/>
      <c r="H2762" s="227"/>
      <c r="I2762" s="231"/>
      <c r="J2762" s="227"/>
      <c r="K2762" s="226"/>
    </row>
    <row r="2763" spans="1:11" ht="12.75" x14ac:dyDescent="0.2">
      <c r="A2763" s="227"/>
      <c r="B2763" s="227"/>
      <c r="C2763" s="361"/>
      <c r="D2763" s="227"/>
      <c r="E2763" s="364"/>
      <c r="F2763" s="227"/>
      <c r="G2763" s="227"/>
      <c r="H2763" s="227"/>
      <c r="I2763" s="231"/>
      <c r="J2763" s="227"/>
      <c r="K2763" s="226"/>
    </row>
    <row r="2764" spans="1:11" ht="12.75" x14ac:dyDescent="0.2">
      <c r="A2764" s="227"/>
      <c r="B2764" s="227"/>
      <c r="C2764" s="361"/>
      <c r="D2764" s="227"/>
      <c r="E2764" s="364"/>
      <c r="F2764" s="227"/>
      <c r="G2764" s="227"/>
      <c r="H2764" s="227"/>
      <c r="I2764" s="231"/>
      <c r="J2764" s="227"/>
      <c r="K2764" s="226"/>
    </row>
    <row r="2765" spans="1:11" ht="12.75" x14ac:dyDescent="0.2">
      <c r="A2765" s="227"/>
      <c r="B2765" s="227"/>
      <c r="C2765" s="361"/>
      <c r="D2765" s="227"/>
      <c r="E2765" s="364"/>
      <c r="F2765" s="227"/>
      <c r="G2765" s="227"/>
      <c r="H2765" s="227"/>
      <c r="I2765" s="231"/>
      <c r="J2765" s="227"/>
      <c r="K2765" s="226"/>
    </row>
    <row r="2766" spans="1:11" ht="12.75" x14ac:dyDescent="0.2">
      <c r="A2766" s="227"/>
      <c r="B2766" s="227"/>
      <c r="C2766" s="361"/>
      <c r="D2766" s="227"/>
      <c r="E2766" s="364"/>
      <c r="F2766" s="227"/>
      <c r="G2766" s="227"/>
      <c r="H2766" s="227"/>
      <c r="I2766" s="231"/>
      <c r="J2766" s="227"/>
      <c r="K2766" s="226"/>
    </row>
    <row r="2767" spans="1:11" ht="12.75" x14ac:dyDescent="0.2">
      <c r="A2767" s="227"/>
      <c r="B2767" s="227"/>
      <c r="C2767" s="361"/>
      <c r="D2767" s="227"/>
      <c r="E2767" s="364"/>
      <c r="F2767" s="227"/>
      <c r="G2767" s="227"/>
      <c r="H2767" s="227"/>
      <c r="I2767" s="231"/>
      <c r="J2767" s="227"/>
      <c r="K2767" s="226"/>
    </row>
    <row r="2768" spans="1:11" ht="12.75" x14ac:dyDescent="0.2">
      <c r="A2768" s="227"/>
      <c r="B2768" s="227"/>
      <c r="C2768" s="361"/>
      <c r="D2768" s="227"/>
      <c r="E2768" s="364"/>
      <c r="F2768" s="227"/>
      <c r="G2768" s="227"/>
      <c r="H2768" s="227"/>
      <c r="I2768" s="231"/>
      <c r="J2768" s="227"/>
      <c r="K2768" s="226"/>
    </row>
    <row r="2769" spans="1:11" ht="12.75" x14ac:dyDescent="0.2">
      <c r="A2769" s="227"/>
      <c r="B2769" s="227"/>
      <c r="C2769" s="361"/>
      <c r="D2769" s="227"/>
      <c r="E2769" s="364"/>
      <c r="F2769" s="227"/>
      <c r="G2769" s="227"/>
      <c r="H2769" s="227"/>
      <c r="I2769" s="231"/>
      <c r="J2769" s="227"/>
      <c r="K2769" s="226"/>
    </row>
    <row r="2770" spans="1:11" ht="12.75" x14ac:dyDescent="0.2">
      <c r="A2770" s="227"/>
      <c r="B2770" s="227"/>
      <c r="C2770" s="361"/>
      <c r="D2770" s="227"/>
      <c r="E2770" s="364"/>
      <c r="F2770" s="227"/>
      <c r="G2770" s="227"/>
      <c r="H2770" s="227"/>
      <c r="I2770" s="231"/>
      <c r="J2770" s="227"/>
      <c r="K2770" s="226"/>
    </row>
    <row r="2771" spans="1:11" ht="12.75" x14ac:dyDescent="0.2">
      <c r="A2771" s="227"/>
      <c r="B2771" s="227"/>
      <c r="C2771" s="361"/>
      <c r="D2771" s="227"/>
      <c r="E2771" s="364"/>
      <c r="F2771" s="227"/>
      <c r="G2771" s="227"/>
      <c r="H2771" s="227"/>
      <c r="I2771" s="231"/>
      <c r="J2771" s="227"/>
      <c r="K2771" s="226"/>
    </row>
    <row r="2772" spans="1:11" ht="12.75" x14ac:dyDescent="0.2">
      <c r="A2772" s="227"/>
      <c r="B2772" s="227"/>
      <c r="C2772" s="361"/>
      <c r="D2772" s="227"/>
      <c r="E2772" s="364"/>
      <c r="F2772" s="227"/>
      <c r="G2772" s="227"/>
      <c r="H2772" s="227"/>
      <c r="I2772" s="231"/>
      <c r="J2772" s="227"/>
      <c r="K2772" s="226"/>
    </row>
    <row r="2773" spans="1:11" ht="12.75" x14ac:dyDescent="0.2">
      <c r="A2773" s="227"/>
      <c r="B2773" s="227"/>
      <c r="C2773" s="361"/>
      <c r="D2773" s="227"/>
      <c r="E2773" s="364"/>
      <c r="F2773" s="227"/>
      <c r="G2773" s="227"/>
      <c r="H2773" s="227"/>
      <c r="I2773" s="231"/>
      <c r="J2773" s="227"/>
      <c r="K2773" s="226"/>
    </row>
    <row r="2774" spans="1:11" ht="12.75" x14ac:dyDescent="0.2">
      <c r="A2774" s="227"/>
      <c r="B2774" s="227"/>
      <c r="C2774" s="361"/>
      <c r="D2774" s="227"/>
      <c r="E2774" s="364"/>
      <c r="F2774" s="227"/>
      <c r="G2774" s="227"/>
      <c r="H2774" s="227"/>
      <c r="I2774" s="231"/>
      <c r="J2774" s="227"/>
      <c r="K2774" s="226"/>
    </row>
    <row r="2775" spans="1:11" ht="12.75" x14ac:dyDescent="0.2">
      <c r="A2775" s="227"/>
      <c r="B2775" s="227"/>
      <c r="C2775" s="361"/>
      <c r="D2775" s="227"/>
      <c r="E2775" s="364"/>
      <c r="F2775" s="227"/>
      <c r="G2775" s="227"/>
      <c r="H2775" s="227"/>
      <c r="I2775" s="231"/>
      <c r="J2775" s="227"/>
      <c r="K2775" s="226"/>
    </row>
    <row r="2776" spans="1:11" ht="12.75" x14ac:dyDescent="0.2">
      <c r="A2776" s="227"/>
      <c r="B2776" s="227"/>
      <c r="C2776" s="361"/>
      <c r="D2776" s="227"/>
      <c r="E2776" s="364"/>
      <c r="F2776" s="227"/>
      <c r="G2776" s="227"/>
      <c r="H2776" s="227"/>
      <c r="I2776" s="231"/>
      <c r="J2776" s="227"/>
      <c r="K2776" s="226"/>
    </row>
    <row r="2777" spans="1:11" ht="12.75" x14ac:dyDescent="0.2">
      <c r="A2777" s="227"/>
      <c r="B2777" s="227"/>
      <c r="C2777" s="361"/>
      <c r="D2777" s="227"/>
      <c r="E2777" s="364"/>
      <c r="F2777" s="227"/>
      <c r="G2777" s="227"/>
      <c r="H2777" s="227"/>
      <c r="I2777" s="231"/>
      <c r="J2777" s="227"/>
      <c r="K2777" s="226"/>
    </row>
    <row r="2778" spans="1:11" ht="12.75" x14ac:dyDescent="0.2">
      <c r="A2778" s="227"/>
      <c r="B2778" s="227"/>
      <c r="C2778" s="361"/>
      <c r="D2778" s="227"/>
      <c r="E2778" s="364"/>
      <c r="F2778" s="227"/>
      <c r="G2778" s="227"/>
      <c r="H2778" s="227"/>
      <c r="I2778" s="231"/>
      <c r="J2778" s="227"/>
      <c r="K2778" s="226"/>
    </row>
    <row r="2779" spans="1:11" ht="12.75" x14ac:dyDescent="0.2">
      <c r="A2779" s="227"/>
      <c r="B2779" s="227"/>
      <c r="C2779" s="361"/>
      <c r="D2779" s="227"/>
      <c r="E2779" s="364"/>
      <c r="F2779" s="227"/>
      <c r="G2779" s="227"/>
      <c r="H2779" s="227"/>
      <c r="I2779" s="231"/>
      <c r="J2779" s="227"/>
      <c r="K2779" s="226"/>
    </row>
    <row r="2780" spans="1:11" ht="12.75" x14ac:dyDescent="0.2">
      <c r="A2780" s="227"/>
      <c r="B2780" s="227"/>
      <c r="C2780" s="361"/>
      <c r="D2780" s="227"/>
      <c r="E2780" s="364"/>
      <c r="F2780" s="227"/>
      <c r="G2780" s="227"/>
      <c r="H2780" s="227"/>
      <c r="I2780" s="231"/>
      <c r="J2780" s="227"/>
      <c r="K2780" s="226"/>
    </row>
    <row r="2781" spans="1:11" ht="12.75" x14ac:dyDescent="0.2">
      <c r="A2781" s="227"/>
      <c r="B2781" s="227"/>
      <c r="C2781" s="361"/>
      <c r="D2781" s="227"/>
      <c r="E2781" s="364"/>
      <c r="F2781" s="227"/>
      <c r="G2781" s="227"/>
      <c r="H2781" s="227"/>
      <c r="I2781" s="231"/>
      <c r="J2781" s="227"/>
      <c r="K2781" s="226"/>
    </row>
    <row r="2782" spans="1:11" ht="12.75" x14ac:dyDescent="0.2">
      <c r="A2782" s="227"/>
      <c r="B2782" s="227"/>
      <c r="C2782" s="361"/>
      <c r="D2782" s="227"/>
      <c r="E2782" s="364"/>
      <c r="F2782" s="227"/>
      <c r="G2782" s="227"/>
      <c r="H2782" s="227"/>
      <c r="I2782" s="231"/>
      <c r="J2782" s="227"/>
      <c r="K2782" s="226"/>
    </row>
    <row r="2783" spans="1:11" ht="12.75" x14ac:dyDescent="0.2">
      <c r="A2783" s="227"/>
      <c r="B2783" s="227"/>
      <c r="C2783" s="361"/>
      <c r="D2783" s="227"/>
      <c r="E2783" s="364"/>
      <c r="F2783" s="227"/>
      <c r="G2783" s="227"/>
      <c r="H2783" s="227"/>
      <c r="I2783" s="231"/>
      <c r="J2783" s="227"/>
      <c r="K2783" s="226"/>
    </row>
    <row r="2784" spans="1:11" ht="12.75" x14ac:dyDescent="0.2">
      <c r="A2784" s="227"/>
      <c r="B2784" s="227"/>
      <c r="C2784" s="361"/>
      <c r="D2784" s="227"/>
      <c r="E2784" s="364"/>
      <c r="F2784" s="227"/>
      <c r="G2784" s="227"/>
      <c r="H2784" s="227"/>
      <c r="I2784" s="231"/>
      <c r="J2784" s="227"/>
      <c r="K2784" s="226"/>
    </row>
    <row r="2785" spans="1:11" ht="12.75" x14ac:dyDescent="0.2">
      <c r="A2785" s="227"/>
      <c r="B2785" s="227"/>
      <c r="C2785" s="361"/>
      <c r="D2785" s="227"/>
      <c r="E2785" s="364"/>
      <c r="F2785" s="227"/>
      <c r="G2785" s="227"/>
      <c r="H2785" s="227"/>
      <c r="I2785" s="231"/>
      <c r="J2785" s="227"/>
      <c r="K2785" s="226"/>
    </row>
    <row r="2786" spans="1:11" ht="12.75" x14ac:dyDescent="0.2">
      <c r="A2786" s="227"/>
      <c r="B2786" s="227"/>
      <c r="C2786" s="361"/>
      <c r="D2786" s="227"/>
      <c r="E2786" s="364"/>
      <c r="F2786" s="227"/>
      <c r="G2786" s="227"/>
      <c r="H2786" s="227"/>
      <c r="I2786" s="231"/>
      <c r="J2786" s="227"/>
      <c r="K2786" s="226"/>
    </row>
    <row r="2787" spans="1:11" ht="12.75" x14ac:dyDescent="0.2">
      <c r="A2787" s="227"/>
      <c r="B2787" s="227"/>
      <c r="C2787" s="361"/>
      <c r="D2787" s="227"/>
      <c r="E2787" s="364"/>
      <c r="F2787" s="227"/>
      <c r="G2787" s="227"/>
      <c r="H2787" s="227"/>
      <c r="I2787" s="231"/>
      <c r="J2787" s="227"/>
      <c r="K2787" s="226"/>
    </row>
    <row r="2788" spans="1:11" ht="12.75" x14ac:dyDescent="0.2">
      <c r="A2788" s="227"/>
      <c r="B2788" s="227"/>
      <c r="C2788" s="361"/>
      <c r="D2788" s="227"/>
      <c r="E2788" s="364"/>
      <c r="F2788" s="227"/>
      <c r="G2788" s="227"/>
      <c r="H2788" s="227"/>
      <c r="I2788" s="231"/>
      <c r="J2788" s="227"/>
      <c r="K2788" s="226"/>
    </row>
    <row r="2789" spans="1:11" ht="12.75" x14ac:dyDescent="0.2">
      <c r="A2789" s="227"/>
      <c r="B2789" s="227"/>
      <c r="C2789" s="361"/>
      <c r="D2789" s="227"/>
      <c r="E2789" s="364"/>
      <c r="F2789" s="227"/>
      <c r="G2789" s="227"/>
      <c r="H2789" s="227"/>
      <c r="I2789" s="231"/>
      <c r="J2789" s="227"/>
      <c r="K2789" s="226"/>
    </row>
    <row r="2790" spans="1:11" ht="12.75" x14ac:dyDescent="0.2">
      <c r="A2790" s="227"/>
      <c r="B2790" s="227"/>
      <c r="C2790" s="361"/>
      <c r="D2790" s="227"/>
      <c r="E2790" s="364"/>
      <c r="F2790" s="227"/>
      <c r="G2790" s="227"/>
      <c r="H2790" s="227"/>
      <c r="I2790" s="231"/>
      <c r="J2790" s="227"/>
      <c r="K2790" s="226"/>
    </row>
    <row r="2791" spans="1:11" ht="12.75" x14ac:dyDescent="0.2">
      <c r="A2791" s="227"/>
      <c r="B2791" s="227"/>
      <c r="C2791" s="361"/>
      <c r="D2791" s="227"/>
      <c r="E2791" s="364"/>
      <c r="F2791" s="227"/>
      <c r="G2791" s="227"/>
      <c r="H2791" s="227"/>
      <c r="I2791" s="231"/>
      <c r="J2791" s="227"/>
      <c r="K2791" s="226"/>
    </row>
    <row r="2792" spans="1:11" ht="12.75" x14ac:dyDescent="0.2">
      <c r="A2792" s="227"/>
      <c r="B2792" s="227"/>
      <c r="C2792" s="361"/>
      <c r="D2792" s="227"/>
      <c r="E2792" s="364"/>
      <c r="F2792" s="227"/>
      <c r="G2792" s="227"/>
      <c r="H2792" s="227"/>
      <c r="I2792" s="231"/>
      <c r="J2792" s="227"/>
      <c r="K2792" s="226"/>
    </row>
    <row r="2793" spans="1:11" ht="12.75" x14ac:dyDescent="0.2">
      <c r="A2793" s="227"/>
      <c r="B2793" s="227"/>
      <c r="C2793" s="361"/>
      <c r="D2793" s="227"/>
      <c r="E2793" s="364"/>
      <c r="F2793" s="227"/>
      <c r="G2793" s="227"/>
      <c r="H2793" s="227"/>
      <c r="I2793" s="231"/>
      <c r="J2793" s="227"/>
      <c r="K2793" s="226"/>
    </row>
    <row r="2794" spans="1:11" ht="12.75" x14ac:dyDescent="0.2">
      <c r="A2794" s="227"/>
      <c r="B2794" s="227"/>
      <c r="C2794" s="361"/>
      <c r="D2794" s="227"/>
      <c r="E2794" s="364"/>
      <c r="F2794" s="227"/>
      <c r="G2794" s="227"/>
      <c r="H2794" s="227"/>
      <c r="I2794" s="231"/>
      <c r="J2794" s="227"/>
      <c r="K2794" s="226"/>
    </row>
    <row r="2795" spans="1:11" ht="12.75" x14ac:dyDescent="0.2">
      <c r="A2795" s="227"/>
      <c r="B2795" s="227"/>
      <c r="C2795" s="361"/>
      <c r="D2795" s="227"/>
      <c r="E2795" s="364"/>
      <c r="F2795" s="227"/>
      <c r="G2795" s="227"/>
      <c r="H2795" s="227"/>
      <c r="I2795" s="231"/>
      <c r="J2795" s="227"/>
      <c r="K2795" s="226"/>
    </row>
    <row r="2796" spans="1:11" ht="12.75" x14ac:dyDescent="0.2">
      <c r="A2796" s="227"/>
      <c r="B2796" s="227"/>
      <c r="C2796" s="361"/>
      <c r="D2796" s="227"/>
      <c r="E2796" s="364"/>
      <c r="F2796" s="227"/>
      <c r="G2796" s="227"/>
      <c r="H2796" s="227"/>
      <c r="I2796" s="231"/>
      <c r="J2796" s="227"/>
      <c r="K2796" s="226"/>
    </row>
    <row r="2797" spans="1:11" ht="12.75" x14ac:dyDescent="0.2">
      <c r="A2797" s="227"/>
      <c r="B2797" s="227"/>
      <c r="C2797" s="361"/>
      <c r="D2797" s="227"/>
      <c r="E2797" s="364"/>
      <c r="F2797" s="227"/>
      <c r="G2797" s="227"/>
      <c r="H2797" s="227"/>
      <c r="I2797" s="231"/>
      <c r="J2797" s="227"/>
      <c r="K2797" s="226"/>
    </row>
    <row r="2798" spans="1:11" ht="12.75" x14ac:dyDescent="0.2">
      <c r="A2798" s="227"/>
      <c r="B2798" s="227"/>
      <c r="C2798" s="361"/>
      <c r="D2798" s="227"/>
      <c r="E2798" s="364"/>
      <c r="F2798" s="227"/>
      <c r="G2798" s="227"/>
      <c r="H2798" s="227"/>
      <c r="I2798" s="231"/>
      <c r="J2798" s="227"/>
      <c r="K2798" s="226"/>
    </row>
    <row r="2799" spans="1:11" ht="12.75" x14ac:dyDescent="0.2">
      <c r="A2799" s="227"/>
      <c r="B2799" s="227"/>
      <c r="C2799" s="361"/>
      <c r="D2799" s="227"/>
      <c r="E2799" s="364"/>
      <c r="F2799" s="227"/>
      <c r="G2799" s="227"/>
      <c r="H2799" s="227"/>
      <c r="I2799" s="231"/>
      <c r="J2799" s="227"/>
      <c r="K2799" s="226"/>
    </row>
    <row r="2800" spans="1:11" ht="12.75" x14ac:dyDescent="0.2">
      <c r="A2800" s="227"/>
      <c r="B2800" s="227"/>
      <c r="C2800" s="361"/>
      <c r="D2800" s="227"/>
      <c r="E2800" s="364"/>
      <c r="F2800" s="227"/>
      <c r="G2800" s="227"/>
      <c r="H2800" s="227"/>
      <c r="I2800" s="231"/>
      <c r="J2800" s="227"/>
      <c r="K2800" s="226"/>
    </row>
    <row r="2801" spans="1:11" ht="12.75" x14ac:dyDescent="0.2">
      <c r="A2801" s="227"/>
      <c r="B2801" s="227"/>
      <c r="C2801" s="361"/>
      <c r="D2801" s="227"/>
      <c r="E2801" s="364"/>
      <c r="F2801" s="227"/>
      <c r="G2801" s="227"/>
      <c r="H2801" s="227"/>
      <c r="I2801" s="231"/>
      <c r="J2801" s="227"/>
      <c r="K2801" s="226"/>
    </row>
    <row r="2802" spans="1:11" ht="12.75" x14ac:dyDescent="0.2">
      <c r="A2802" s="227"/>
      <c r="B2802" s="227"/>
      <c r="C2802" s="361"/>
      <c r="D2802" s="227"/>
      <c r="E2802" s="364"/>
      <c r="F2802" s="227"/>
      <c r="G2802" s="227"/>
      <c r="H2802" s="227"/>
      <c r="I2802" s="231"/>
      <c r="J2802" s="227"/>
      <c r="K2802" s="226"/>
    </row>
    <row r="2803" spans="1:11" ht="12.75" x14ac:dyDescent="0.2">
      <c r="A2803" s="227"/>
      <c r="B2803" s="227"/>
      <c r="C2803" s="361"/>
      <c r="D2803" s="227"/>
      <c r="E2803" s="364"/>
      <c r="F2803" s="227"/>
      <c r="G2803" s="227"/>
      <c r="H2803" s="227"/>
      <c r="I2803" s="231"/>
      <c r="J2803" s="227"/>
      <c r="K2803" s="226"/>
    </row>
    <row r="2804" spans="1:11" ht="12.75" x14ac:dyDescent="0.2">
      <c r="A2804" s="227"/>
      <c r="B2804" s="227"/>
      <c r="C2804" s="361"/>
      <c r="D2804" s="227"/>
      <c r="E2804" s="364"/>
      <c r="F2804" s="227"/>
      <c r="G2804" s="227"/>
      <c r="H2804" s="227"/>
      <c r="I2804" s="231"/>
      <c r="J2804" s="227"/>
      <c r="K2804" s="226"/>
    </row>
    <row r="2805" spans="1:11" ht="12.75" x14ac:dyDescent="0.2">
      <c r="A2805" s="227"/>
      <c r="B2805" s="227"/>
      <c r="C2805" s="361"/>
      <c r="D2805" s="227"/>
      <c r="E2805" s="364"/>
      <c r="F2805" s="227"/>
      <c r="G2805" s="227"/>
      <c r="H2805" s="227"/>
      <c r="I2805" s="231"/>
      <c r="J2805" s="227"/>
      <c r="K2805" s="226"/>
    </row>
    <row r="2806" spans="1:11" ht="12.75" x14ac:dyDescent="0.2">
      <c r="A2806" s="227"/>
      <c r="B2806" s="227"/>
      <c r="C2806" s="361"/>
      <c r="D2806" s="227"/>
      <c r="E2806" s="364"/>
      <c r="F2806" s="227"/>
      <c r="G2806" s="227"/>
      <c r="H2806" s="227"/>
      <c r="I2806" s="231"/>
      <c r="J2806" s="227"/>
      <c r="K2806" s="226"/>
    </row>
    <row r="2807" spans="1:11" ht="12.75" x14ac:dyDescent="0.2">
      <c r="A2807" s="227"/>
      <c r="B2807" s="227"/>
      <c r="C2807" s="361"/>
      <c r="D2807" s="227"/>
      <c r="E2807" s="364"/>
      <c r="F2807" s="227"/>
      <c r="G2807" s="227"/>
      <c r="H2807" s="227"/>
      <c r="I2807" s="231"/>
      <c r="J2807" s="227"/>
      <c r="K2807" s="226"/>
    </row>
    <row r="2808" spans="1:11" ht="12.75" x14ac:dyDescent="0.2">
      <c r="A2808" s="227"/>
      <c r="B2808" s="227"/>
      <c r="C2808" s="361"/>
      <c r="D2808" s="227"/>
      <c r="E2808" s="364"/>
      <c r="F2808" s="227"/>
      <c r="G2808" s="227"/>
      <c r="H2808" s="227"/>
      <c r="I2808" s="231"/>
      <c r="J2808" s="227"/>
      <c r="K2808" s="226"/>
    </row>
    <row r="2809" spans="1:11" ht="12.75" x14ac:dyDescent="0.2">
      <c r="A2809" s="227"/>
      <c r="B2809" s="227"/>
      <c r="C2809" s="361"/>
      <c r="D2809" s="227"/>
      <c r="E2809" s="364"/>
      <c r="F2809" s="227"/>
      <c r="G2809" s="227"/>
      <c r="H2809" s="227"/>
      <c r="I2809" s="231"/>
      <c r="J2809" s="227"/>
      <c r="K2809" s="226"/>
    </row>
    <row r="2810" spans="1:11" ht="12.75" x14ac:dyDescent="0.2">
      <c r="A2810" s="227"/>
      <c r="B2810" s="227"/>
      <c r="C2810" s="361"/>
      <c r="D2810" s="227"/>
      <c r="E2810" s="364"/>
      <c r="F2810" s="227"/>
      <c r="G2810" s="227"/>
      <c r="H2810" s="227"/>
      <c r="I2810" s="231"/>
      <c r="J2810" s="227"/>
      <c r="K2810" s="226"/>
    </row>
    <row r="2811" spans="1:11" ht="12.75" x14ac:dyDescent="0.2">
      <c r="A2811" s="227"/>
      <c r="B2811" s="227"/>
      <c r="C2811" s="361"/>
      <c r="D2811" s="227"/>
      <c r="E2811" s="364"/>
      <c r="F2811" s="227"/>
      <c r="G2811" s="227"/>
      <c r="H2811" s="227"/>
      <c r="I2811" s="231"/>
      <c r="J2811" s="227"/>
      <c r="K2811" s="226"/>
    </row>
    <row r="2812" spans="1:11" ht="12.75" x14ac:dyDescent="0.2">
      <c r="A2812" s="227"/>
      <c r="B2812" s="227"/>
      <c r="C2812" s="361"/>
      <c r="D2812" s="227"/>
      <c r="E2812" s="364"/>
      <c r="F2812" s="227"/>
      <c r="G2812" s="227"/>
      <c r="H2812" s="227"/>
      <c r="I2812" s="231"/>
      <c r="J2812" s="227"/>
      <c r="K2812" s="226"/>
    </row>
    <row r="2813" spans="1:11" ht="12.75" x14ac:dyDescent="0.2">
      <c r="A2813" s="227"/>
      <c r="B2813" s="227"/>
      <c r="C2813" s="361"/>
      <c r="D2813" s="227"/>
      <c r="E2813" s="364"/>
      <c r="F2813" s="227"/>
      <c r="G2813" s="227"/>
      <c r="H2813" s="227"/>
      <c r="I2813" s="231"/>
      <c r="J2813" s="227"/>
      <c r="K2813" s="226"/>
    </row>
    <row r="2814" spans="1:11" ht="12.75" x14ac:dyDescent="0.2">
      <c r="A2814" s="227"/>
      <c r="B2814" s="227"/>
      <c r="C2814" s="361"/>
      <c r="D2814" s="227"/>
      <c r="E2814" s="364"/>
      <c r="F2814" s="227"/>
      <c r="G2814" s="227"/>
      <c r="H2814" s="227"/>
      <c r="I2814" s="231"/>
      <c r="J2814" s="227"/>
      <c r="K2814" s="226"/>
    </row>
    <row r="2815" spans="1:11" ht="12.75" x14ac:dyDescent="0.2">
      <c r="A2815" s="227"/>
      <c r="B2815" s="227"/>
      <c r="C2815" s="361"/>
      <c r="D2815" s="227"/>
      <c r="E2815" s="364"/>
      <c r="F2815" s="227"/>
      <c r="G2815" s="227"/>
      <c r="H2815" s="227"/>
      <c r="I2815" s="231"/>
      <c r="J2815" s="227"/>
      <c r="K2815" s="226"/>
    </row>
    <row r="2816" spans="1:11" ht="12.75" x14ac:dyDescent="0.2">
      <c r="A2816" s="227"/>
      <c r="B2816" s="227"/>
      <c r="C2816" s="361"/>
      <c r="D2816" s="227"/>
      <c r="E2816" s="364"/>
      <c r="F2816" s="227"/>
      <c r="G2816" s="227"/>
      <c r="H2816" s="227"/>
      <c r="I2816" s="231"/>
      <c r="J2816" s="227"/>
      <c r="K2816" s="226"/>
    </row>
    <row r="2817" spans="1:11" ht="12.75" x14ac:dyDescent="0.2">
      <c r="A2817" s="227"/>
      <c r="B2817" s="227"/>
      <c r="C2817" s="361"/>
      <c r="D2817" s="227"/>
      <c r="E2817" s="364"/>
      <c r="F2817" s="227"/>
      <c r="G2817" s="227"/>
      <c r="H2817" s="227"/>
      <c r="I2817" s="231"/>
      <c r="J2817" s="227"/>
      <c r="K2817" s="226"/>
    </row>
    <row r="2818" spans="1:11" ht="12.75" x14ac:dyDescent="0.2">
      <c r="A2818" s="227"/>
      <c r="B2818" s="227"/>
      <c r="C2818" s="361"/>
      <c r="D2818" s="227"/>
      <c r="E2818" s="364"/>
      <c r="F2818" s="227"/>
      <c r="G2818" s="227"/>
      <c r="H2818" s="227"/>
      <c r="I2818" s="231"/>
      <c r="J2818" s="227"/>
      <c r="K2818" s="226"/>
    </row>
    <row r="2819" spans="1:11" ht="12.75" x14ac:dyDescent="0.2">
      <c r="A2819" s="227"/>
      <c r="B2819" s="227"/>
      <c r="C2819" s="361"/>
      <c r="D2819" s="227"/>
      <c r="E2819" s="364"/>
      <c r="F2819" s="227"/>
      <c r="G2819" s="227"/>
      <c r="H2819" s="227"/>
      <c r="I2819" s="231"/>
      <c r="J2819" s="227"/>
      <c r="K2819" s="226"/>
    </row>
    <row r="2820" spans="1:11" ht="12.75" x14ac:dyDescent="0.2">
      <c r="A2820" s="227"/>
      <c r="B2820" s="227"/>
      <c r="C2820" s="361"/>
      <c r="D2820" s="227"/>
      <c r="E2820" s="364"/>
      <c r="F2820" s="227"/>
      <c r="G2820" s="227"/>
      <c r="H2820" s="227"/>
      <c r="I2820" s="231"/>
      <c r="J2820" s="227"/>
      <c r="K2820" s="226"/>
    </row>
    <row r="2821" spans="1:11" ht="12.75" x14ac:dyDescent="0.2">
      <c r="A2821" s="227"/>
      <c r="B2821" s="227"/>
      <c r="C2821" s="361"/>
      <c r="D2821" s="227"/>
      <c r="E2821" s="364"/>
      <c r="F2821" s="227"/>
      <c r="G2821" s="227"/>
      <c r="H2821" s="227"/>
      <c r="I2821" s="231"/>
      <c r="J2821" s="227"/>
      <c r="K2821" s="226"/>
    </row>
    <row r="2822" spans="1:11" ht="12.75" x14ac:dyDescent="0.2">
      <c r="A2822" s="227"/>
      <c r="B2822" s="227"/>
      <c r="C2822" s="361"/>
      <c r="D2822" s="227"/>
      <c r="E2822" s="364"/>
      <c r="F2822" s="227"/>
      <c r="G2822" s="227"/>
      <c r="H2822" s="227"/>
      <c r="I2822" s="231"/>
      <c r="J2822" s="227"/>
      <c r="K2822" s="226"/>
    </row>
    <row r="2823" spans="1:11" ht="12.75" x14ac:dyDescent="0.2">
      <c r="A2823" s="227"/>
      <c r="B2823" s="227"/>
      <c r="C2823" s="361"/>
      <c r="D2823" s="227"/>
      <c r="E2823" s="364"/>
      <c r="F2823" s="227"/>
      <c r="G2823" s="227"/>
      <c r="H2823" s="227"/>
      <c r="I2823" s="231"/>
      <c r="J2823" s="227"/>
      <c r="K2823" s="226"/>
    </row>
    <row r="2824" spans="1:11" ht="12.75" x14ac:dyDescent="0.2">
      <c r="A2824" s="227"/>
      <c r="B2824" s="227"/>
      <c r="C2824" s="361"/>
      <c r="D2824" s="227"/>
      <c r="E2824" s="364"/>
      <c r="F2824" s="227"/>
      <c r="G2824" s="227"/>
      <c r="H2824" s="227"/>
      <c r="I2824" s="231"/>
      <c r="J2824" s="227"/>
      <c r="K2824" s="226"/>
    </row>
    <row r="2825" spans="1:11" ht="12.75" x14ac:dyDescent="0.2">
      <c r="A2825" s="227"/>
      <c r="B2825" s="227"/>
      <c r="C2825" s="361"/>
      <c r="D2825" s="227"/>
      <c r="E2825" s="364"/>
      <c r="F2825" s="227"/>
      <c r="G2825" s="227"/>
      <c r="H2825" s="227"/>
      <c r="I2825" s="231"/>
      <c r="J2825" s="227"/>
      <c r="K2825" s="226"/>
    </row>
    <row r="2826" spans="1:11" ht="12.75" x14ac:dyDescent="0.2">
      <c r="A2826" s="227"/>
      <c r="B2826" s="227"/>
      <c r="C2826" s="361"/>
      <c r="D2826" s="227"/>
      <c r="E2826" s="364"/>
      <c r="F2826" s="227"/>
      <c r="G2826" s="227"/>
      <c r="H2826" s="227"/>
      <c r="I2826" s="231"/>
      <c r="J2826" s="227"/>
      <c r="K2826" s="226"/>
    </row>
    <row r="2827" spans="1:11" ht="12.75" x14ac:dyDescent="0.2">
      <c r="A2827" s="227"/>
      <c r="B2827" s="227"/>
      <c r="C2827" s="361"/>
      <c r="D2827" s="227"/>
      <c r="E2827" s="364"/>
      <c r="F2827" s="227"/>
      <c r="G2827" s="227"/>
      <c r="H2827" s="227"/>
      <c r="I2827" s="231"/>
      <c r="J2827" s="227"/>
      <c r="K2827" s="226"/>
    </row>
    <row r="2828" spans="1:11" ht="12.75" x14ac:dyDescent="0.2">
      <c r="A2828" s="227"/>
      <c r="B2828" s="227"/>
      <c r="C2828" s="361"/>
      <c r="D2828" s="227"/>
      <c r="E2828" s="364"/>
      <c r="F2828" s="227"/>
      <c r="G2828" s="227"/>
      <c r="H2828" s="227"/>
      <c r="I2828" s="231"/>
      <c r="J2828" s="227"/>
      <c r="K2828" s="226"/>
    </row>
    <row r="2829" spans="1:11" ht="12.75" x14ac:dyDescent="0.2">
      <c r="A2829" s="227"/>
      <c r="B2829" s="227"/>
      <c r="C2829" s="361"/>
      <c r="D2829" s="227"/>
      <c r="E2829" s="364"/>
      <c r="F2829" s="227"/>
      <c r="G2829" s="227"/>
      <c r="H2829" s="227"/>
      <c r="I2829" s="231"/>
      <c r="J2829" s="227"/>
      <c r="K2829" s="226"/>
    </row>
    <row r="2830" spans="1:11" ht="12.75" x14ac:dyDescent="0.2">
      <c r="A2830" s="227"/>
      <c r="B2830" s="227"/>
      <c r="C2830" s="361"/>
      <c r="D2830" s="227"/>
      <c r="E2830" s="364"/>
      <c r="F2830" s="227"/>
      <c r="G2830" s="227"/>
      <c r="H2830" s="227"/>
      <c r="I2830" s="231"/>
      <c r="J2830" s="227"/>
      <c r="K2830" s="226"/>
    </row>
    <row r="2831" spans="1:11" ht="12.75" x14ac:dyDescent="0.2">
      <c r="A2831" s="227"/>
      <c r="B2831" s="227"/>
      <c r="C2831" s="361"/>
      <c r="D2831" s="227"/>
      <c r="E2831" s="364"/>
      <c r="F2831" s="227"/>
      <c r="G2831" s="227"/>
      <c r="H2831" s="227"/>
      <c r="I2831" s="231"/>
      <c r="J2831" s="227"/>
      <c r="K2831" s="226"/>
    </row>
    <row r="2832" spans="1:11" ht="12.75" x14ac:dyDescent="0.2">
      <c r="A2832" s="227"/>
      <c r="B2832" s="227"/>
      <c r="C2832" s="361"/>
      <c r="D2832" s="227"/>
      <c r="E2832" s="364"/>
      <c r="F2832" s="227"/>
      <c r="G2832" s="227"/>
      <c r="H2832" s="227"/>
      <c r="I2832" s="231"/>
      <c r="J2832" s="227"/>
      <c r="K2832" s="226"/>
    </row>
    <row r="2833" spans="1:11" ht="12.75" x14ac:dyDescent="0.2">
      <c r="A2833" s="227"/>
      <c r="B2833" s="227"/>
      <c r="C2833" s="361"/>
      <c r="D2833" s="227"/>
      <c r="E2833" s="364"/>
      <c r="F2833" s="227"/>
      <c r="G2833" s="227"/>
      <c r="H2833" s="227"/>
      <c r="I2833" s="231"/>
      <c r="J2833" s="227"/>
      <c r="K2833" s="226"/>
    </row>
    <row r="2834" spans="1:11" ht="12.75" x14ac:dyDescent="0.2">
      <c r="A2834" s="227"/>
      <c r="B2834" s="227"/>
      <c r="C2834" s="361"/>
      <c r="D2834" s="227"/>
      <c r="E2834" s="364"/>
      <c r="F2834" s="227"/>
      <c r="G2834" s="227"/>
      <c r="H2834" s="227"/>
      <c r="I2834" s="231"/>
      <c r="J2834" s="227"/>
      <c r="K2834" s="226"/>
    </row>
    <row r="2835" spans="1:11" ht="12.75" x14ac:dyDescent="0.2">
      <c r="A2835" s="227"/>
      <c r="B2835" s="227"/>
      <c r="C2835" s="361"/>
      <c r="D2835" s="227"/>
      <c r="E2835" s="364"/>
      <c r="F2835" s="227"/>
      <c r="G2835" s="227"/>
      <c r="H2835" s="227"/>
      <c r="I2835" s="231"/>
      <c r="J2835" s="227"/>
      <c r="K2835" s="226"/>
    </row>
    <row r="2836" spans="1:11" ht="12.75" x14ac:dyDescent="0.2">
      <c r="A2836" s="227"/>
      <c r="B2836" s="227"/>
      <c r="C2836" s="361"/>
      <c r="D2836" s="227"/>
      <c r="E2836" s="364"/>
      <c r="F2836" s="227"/>
      <c r="G2836" s="227"/>
      <c r="H2836" s="227"/>
      <c r="I2836" s="231"/>
      <c r="J2836" s="227"/>
      <c r="K2836" s="226"/>
    </row>
    <row r="2837" spans="1:11" ht="12.75" x14ac:dyDescent="0.2">
      <c r="A2837" s="227"/>
      <c r="B2837" s="227"/>
      <c r="C2837" s="361"/>
      <c r="D2837" s="227"/>
      <c r="E2837" s="364"/>
      <c r="F2837" s="227"/>
      <c r="G2837" s="227"/>
      <c r="H2837" s="227"/>
      <c r="I2837" s="231"/>
      <c r="J2837" s="227"/>
      <c r="K2837" s="226"/>
    </row>
    <row r="2838" spans="1:11" ht="12.75" x14ac:dyDescent="0.2">
      <c r="A2838" s="227"/>
      <c r="B2838" s="227"/>
      <c r="C2838" s="361"/>
      <c r="D2838" s="227"/>
      <c r="E2838" s="364"/>
      <c r="F2838" s="227"/>
      <c r="G2838" s="227"/>
      <c r="H2838" s="227"/>
      <c r="I2838" s="231"/>
      <c r="J2838" s="227"/>
      <c r="K2838" s="226"/>
    </row>
    <row r="2839" spans="1:11" ht="12.75" x14ac:dyDescent="0.2">
      <c r="A2839" s="227"/>
      <c r="B2839" s="227"/>
      <c r="C2839" s="361"/>
      <c r="D2839" s="227"/>
      <c r="E2839" s="364"/>
      <c r="F2839" s="227"/>
      <c r="G2839" s="227"/>
      <c r="H2839" s="227"/>
      <c r="I2839" s="231"/>
      <c r="J2839" s="227"/>
      <c r="K2839" s="226"/>
    </row>
    <row r="2840" spans="1:11" ht="12.75" x14ac:dyDescent="0.2">
      <c r="A2840" s="227"/>
      <c r="B2840" s="227"/>
      <c r="C2840" s="361"/>
      <c r="D2840" s="227"/>
      <c r="E2840" s="364"/>
      <c r="F2840" s="227"/>
      <c r="G2840" s="227"/>
      <c r="H2840" s="227"/>
      <c r="I2840" s="231"/>
      <c r="J2840" s="227"/>
      <c r="K2840" s="226"/>
    </row>
    <row r="2841" spans="1:11" ht="12.75" x14ac:dyDescent="0.2">
      <c r="A2841" s="227"/>
      <c r="B2841" s="227"/>
      <c r="C2841" s="361"/>
      <c r="D2841" s="227"/>
      <c r="E2841" s="364"/>
      <c r="F2841" s="227"/>
      <c r="G2841" s="227"/>
      <c r="H2841" s="227"/>
      <c r="I2841" s="231"/>
      <c r="J2841" s="227"/>
      <c r="K2841" s="226"/>
    </row>
    <row r="2842" spans="1:11" ht="12.75" x14ac:dyDescent="0.2">
      <c r="A2842" s="227"/>
      <c r="B2842" s="227"/>
      <c r="C2842" s="361"/>
      <c r="D2842" s="227"/>
      <c r="E2842" s="364"/>
      <c r="F2842" s="227"/>
      <c r="G2842" s="227"/>
      <c r="H2842" s="227"/>
      <c r="I2842" s="231"/>
      <c r="J2842" s="227"/>
      <c r="K2842" s="226"/>
    </row>
    <row r="2843" spans="1:11" ht="12.75" x14ac:dyDescent="0.2">
      <c r="A2843" s="227"/>
      <c r="B2843" s="227"/>
      <c r="C2843" s="361"/>
      <c r="D2843" s="227"/>
      <c r="E2843" s="364"/>
      <c r="F2843" s="227"/>
      <c r="G2843" s="227"/>
      <c r="H2843" s="227"/>
      <c r="I2843" s="231"/>
      <c r="J2843" s="227"/>
      <c r="K2843" s="226"/>
    </row>
    <row r="2844" spans="1:11" ht="12.75" x14ac:dyDescent="0.2">
      <c r="A2844" s="227"/>
      <c r="B2844" s="227"/>
      <c r="C2844" s="361"/>
      <c r="D2844" s="227"/>
      <c r="E2844" s="364"/>
      <c r="F2844" s="227"/>
      <c r="G2844" s="227"/>
      <c r="H2844" s="227"/>
      <c r="I2844" s="231"/>
      <c r="J2844" s="227"/>
      <c r="K2844" s="226"/>
    </row>
    <row r="2845" spans="1:11" ht="12.75" x14ac:dyDescent="0.2">
      <c r="A2845" s="227"/>
      <c r="B2845" s="227"/>
      <c r="C2845" s="361"/>
      <c r="D2845" s="227"/>
      <c r="E2845" s="364"/>
      <c r="F2845" s="227"/>
      <c r="G2845" s="227"/>
      <c r="H2845" s="227"/>
      <c r="I2845" s="231"/>
      <c r="J2845" s="227"/>
      <c r="K2845" s="226"/>
    </row>
    <row r="2846" spans="1:11" ht="12.75" x14ac:dyDescent="0.2">
      <c r="A2846" s="227"/>
      <c r="B2846" s="227"/>
      <c r="C2846" s="361"/>
      <c r="D2846" s="227"/>
      <c r="E2846" s="364"/>
      <c r="F2846" s="227"/>
      <c r="G2846" s="227"/>
      <c r="H2846" s="227"/>
      <c r="I2846" s="231"/>
      <c r="J2846" s="227"/>
      <c r="K2846" s="226"/>
    </row>
    <row r="2847" spans="1:11" ht="12.75" x14ac:dyDescent="0.2">
      <c r="A2847" s="227"/>
      <c r="B2847" s="227"/>
      <c r="C2847" s="361"/>
      <c r="D2847" s="227"/>
      <c r="E2847" s="364"/>
      <c r="F2847" s="227"/>
      <c r="G2847" s="227"/>
      <c r="H2847" s="227"/>
      <c r="I2847" s="231"/>
      <c r="J2847" s="227"/>
      <c r="K2847" s="226"/>
    </row>
    <row r="2848" spans="1:11" ht="12.75" x14ac:dyDescent="0.2">
      <c r="A2848" s="227"/>
      <c r="B2848" s="227"/>
      <c r="C2848" s="361"/>
      <c r="D2848" s="227"/>
      <c r="E2848" s="364"/>
      <c r="F2848" s="227"/>
      <c r="G2848" s="227"/>
      <c r="H2848" s="227"/>
      <c r="I2848" s="231"/>
      <c r="J2848" s="227"/>
      <c r="K2848" s="226"/>
    </row>
    <row r="2849" spans="1:11" ht="12.75" x14ac:dyDescent="0.2">
      <c r="A2849" s="227"/>
      <c r="B2849" s="227"/>
      <c r="C2849" s="361"/>
      <c r="D2849" s="227"/>
      <c r="E2849" s="364"/>
      <c r="F2849" s="227"/>
      <c r="G2849" s="227"/>
      <c r="H2849" s="227"/>
      <c r="I2849" s="231"/>
      <c r="J2849" s="227"/>
      <c r="K2849" s="226"/>
    </row>
    <row r="2850" spans="1:11" ht="12.75" x14ac:dyDescent="0.2">
      <c r="A2850" s="227"/>
      <c r="B2850" s="227"/>
      <c r="C2850" s="361"/>
      <c r="D2850" s="227"/>
      <c r="E2850" s="364"/>
      <c r="F2850" s="227"/>
      <c r="G2850" s="227"/>
      <c r="H2850" s="227"/>
      <c r="I2850" s="231"/>
      <c r="J2850" s="227"/>
      <c r="K2850" s="226"/>
    </row>
    <row r="2851" spans="1:11" ht="12.75" x14ac:dyDescent="0.2">
      <c r="A2851" s="227"/>
      <c r="B2851" s="227"/>
      <c r="C2851" s="361"/>
      <c r="D2851" s="227"/>
      <c r="E2851" s="364"/>
      <c r="F2851" s="227"/>
      <c r="G2851" s="227"/>
      <c r="H2851" s="227"/>
      <c r="I2851" s="231"/>
      <c r="J2851" s="227"/>
      <c r="K2851" s="226"/>
    </row>
    <row r="2852" spans="1:11" ht="12.75" x14ac:dyDescent="0.2">
      <c r="A2852" s="227"/>
      <c r="B2852" s="227"/>
      <c r="C2852" s="361"/>
      <c r="D2852" s="227"/>
      <c r="E2852" s="364"/>
      <c r="F2852" s="227"/>
      <c r="G2852" s="227"/>
      <c r="H2852" s="227"/>
      <c r="I2852" s="231"/>
      <c r="J2852" s="227"/>
      <c r="K2852" s="226"/>
    </row>
    <row r="2853" spans="1:11" ht="12.75" x14ac:dyDescent="0.2">
      <c r="A2853" s="227"/>
      <c r="B2853" s="227"/>
      <c r="C2853" s="361"/>
      <c r="D2853" s="227"/>
      <c r="E2853" s="364"/>
      <c r="F2853" s="227"/>
      <c r="G2853" s="227"/>
      <c r="H2853" s="227"/>
      <c r="I2853" s="231"/>
      <c r="J2853" s="227"/>
      <c r="K2853" s="226"/>
    </row>
    <row r="2854" spans="1:11" ht="12.75" x14ac:dyDescent="0.2">
      <c r="A2854" s="227"/>
      <c r="B2854" s="227"/>
      <c r="C2854" s="361"/>
      <c r="D2854" s="227"/>
      <c r="E2854" s="364"/>
      <c r="F2854" s="227"/>
      <c r="G2854" s="227"/>
      <c r="H2854" s="227"/>
      <c r="I2854" s="231"/>
      <c r="J2854" s="227"/>
      <c r="K2854" s="226"/>
    </row>
    <row r="2855" spans="1:11" ht="12.75" x14ac:dyDescent="0.2">
      <c r="A2855" s="227"/>
      <c r="B2855" s="227"/>
      <c r="C2855" s="361"/>
      <c r="D2855" s="227"/>
      <c r="E2855" s="364"/>
      <c r="F2855" s="227"/>
      <c r="G2855" s="227"/>
      <c r="H2855" s="227"/>
      <c r="I2855" s="231"/>
      <c r="J2855" s="227"/>
      <c r="K2855" s="226"/>
    </row>
    <row r="2856" spans="1:11" ht="12.75" x14ac:dyDescent="0.2">
      <c r="A2856" s="227"/>
      <c r="B2856" s="227"/>
      <c r="C2856" s="361"/>
      <c r="D2856" s="227"/>
      <c r="E2856" s="364"/>
      <c r="F2856" s="227"/>
      <c r="G2856" s="227"/>
      <c r="H2856" s="227"/>
      <c r="I2856" s="231"/>
      <c r="J2856" s="227"/>
      <c r="K2856" s="226"/>
    </row>
    <row r="2857" spans="1:11" ht="12.75" x14ac:dyDescent="0.2">
      <c r="A2857" s="227"/>
      <c r="B2857" s="227"/>
      <c r="C2857" s="361"/>
      <c r="D2857" s="227"/>
      <c r="E2857" s="364"/>
      <c r="F2857" s="227"/>
      <c r="G2857" s="227"/>
      <c r="H2857" s="227"/>
      <c r="I2857" s="231"/>
      <c r="J2857" s="227"/>
      <c r="K2857" s="226"/>
    </row>
    <row r="2858" spans="1:11" ht="12.75" x14ac:dyDescent="0.2">
      <c r="A2858" s="227"/>
      <c r="B2858" s="227"/>
      <c r="C2858" s="361"/>
      <c r="D2858" s="227"/>
      <c r="E2858" s="364"/>
      <c r="F2858" s="227"/>
      <c r="G2858" s="227"/>
      <c r="H2858" s="227"/>
      <c r="I2858" s="231"/>
      <c r="J2858" s="227"/>
      <c r="K2858" s="226"/>
    </row>
    <row r="2859" spans="1:11" ht="12.75" x14ac:dyDescent="0.2">
      <c r="A2859" s="227"/>
      <c r="B2859" s="227"/>
      <c r="C2859" s="361"/>
      <c r="D2859" s="227"/>
      <c r="E2859" s="364"/>
      <c r="F2859" s="227"/>
      <c r="G2859" s="227"/>
      <c r="H2859" s="227"/>
      <c r="I2859" s="231"/>
      <c r="J2859" s="227"/>
      <c r="K2859" s="226"/>
    </row>
    <row r="2860" spans="1:11" ht="12.75" x14ac:dyDescent="0.2">
      <c r="A2860" s="227"/>
      <c r="B2860" s="227"/>
      <c r="C2860" s="361"/>
      <c r="D2860" s="227"/>
      <c r="E2860" s="364"/>
      <c r="F2860" s="227"/>
      <c r="G2860" s="227"/>
      <c r="H2860" s="227"/>
      <c r="I2860" s="231"/>
      <c r="J2860" s="227"/>
      <c r="K2860" s="226"/>
    </row>
    <row r="2861" spans="1:11" ht="12.75" x14ac:dyDescent="0.2">
      <c r="A2861" s="227"/>
      <c r="B2861" s="227"/>
      <c r="C2861" s="361"/>
      <c r="D2861" s="227"/>
      <c r="E2861" s="364"/>
      <c r="F2861" s="227"/>
      <c r="G2861" s="227"/>
      <c r="H2861" s="227"/>
      <c r="I2861" s="231"/>
      <c r="J2861" s="227"/>
      <c r="K2861" s="226"/>
    </row>
    <row r="2862" spans="1:11" ht="12.75" x14ac:dyDescent="0.2">
      <c r="A2862" s="227"/>
      <c r="B2862" s="227"/>
      <c r="C2862" s="361"/>
      <c r="D2862" s="227"/>
      <c r="E2862" s="364"/>
      <c r="F2862" s="227"/>
      <c r="G2862" s="227"/>
      <c r="H2862" s="227"/>
      <c r="I2862" s="231"/>
      <c r="J2862" s="227"/>
      <c r="K2862" s="226"/>
    </row>
    <row r="2863" spans="1:11" ht="12.75" x14ac:dyDescent="0.2">
      <c r="A2863" s="227"/>
      <c r="B2863" s="227"/>
      <c r="C2863" s="361"/>
      <c r="D2863" s="227"/>
      <c r="E2863" s="364"/>
      <c r="F2863" s="227"/>
      <c r="G2863" s="227"/>
      <c r="H2863" s="227"/>
      <c r="I2863" s="231"/>
      <c r="J2863" s="227"/>
      <c r="K2863" s="226"/>
    </row>
    <row r="2864" spans="1:11" ht="12.75" x14ac:dyDescent="0.2">
      <c r="A2864" s="227"/>
      <c r="B2864" s="227"/>
      <c r="C2864" s="361"/>
      <c r="D2864" s="227"/>
      <c r="E2864" s="364"/>
      <c r="F2864" s="227"/>
      <c r="G2864" s="227"/>
      <c r="H2864" s="227"/>
      <c r="I2864" s="231"/>
      <c r="J2864" s="227"/>
      <c r="K2864" s="226"/>
    </row>
    <row r="2865" spans="1:11" ht="12.75" x14ac:dyDescent="0.2">
      <c r="A2865" s="227"/>
      <c r="B2865" s="227"/>
      <c r="C2865" s="361"/>
      <c r="D2865" s="227"/>
      <c r="E2865" s="364"/>
      <c r="F2865" s="227"/>
      <c r="G2865" s="227"/>
      <c r="H2865" s="227"/>
      <c r="I2865" s="231"/>
      <c r="J2865" s="227"/>
      <c r="K2865" s="226"/>
    </row>
    <row r="2866" spans="1:11" ht="12.75" x14ac:dyDescent="0.2">
      <c r="A2866" s="227"/>
      <c r="B2866" s="227"/>
      <c r="C2866" s="361"/>
      <c r="D2866" s="227"/>
      <c r="E2866" s="364"/>
      <c r="F2866" s="227"/>
      <c r="G2866" s="227"/>
      <c r="H2866" s="227"/>
      <c r="I2866" s="231"/>
      <c r="J2866" s="227"/>
      <c r="K2866" s="226"/>
    </row>
    <row r="2867" spans="1:11" ht="12.75" x14ac:dyDescent="0.2">
      <c r="A2867" s="227"/>
      <c r="B2867" s="227"/>
      <c r="C2867" s="361"/>
      <c r="D2867" s="227"/>
      <c r="E2867" s="364"/>
      <c r="F2867" s="227"/>
      <c r="G2867" s="227"/>
      <c r="H2867" s="227"/>
      <c r="I2867" s="231"/>
      <c r="J2867" s="227"/>
      <c r="K2867" s="226"/>
    </row>
    <row r="2868" spans="1:11" ht="12.75" x14ac:dyDescent="0.2">
      <c r="A2868" s="227"/>
      <c r="B2868" s="227"/>
      <c r="C2868" s="361"/>
      <c r="D2868" s="227"/>
      <c r="E2868" s="364"/>
      <c r="F2868" s="227"/>
      <c r="G2868" s="227"/>
      <c r="H2868" s="227"/>
      <c r="I2868" s="231"/>
      <c r="J2868" s="227"/>
      <c r="K2868" s="226"/>
    </row>
    <row r="2869" spans="1:11" ht="12.75" x14ac:dyDescent="0.2">
      <c r="A2869" s="227"/>
      <c r="B2869" s="227"/>
      <c r="C2869" s="361"/>
      <c r="D2869" s="227"/>
      <c r="E2869" s="364"/>
      <c r="F2869" s="227"/>
      <c r="G2869" s="227"/>
      <c r="H2869" s="227"/>
      <c r="I2869" s="231"/>
      <c r="J2869" s="227"/>
      <c r="K2869" s="226"/>
    </row>
    <row r="2870" spans="1:11" ht="12.75" x14ac:dyDescent="0.2">
      <c r="A2870" s="227"/>
      <c r="B2870" s="227"/>
      <c r="C2870" s="361"/>
      <c r="D2870" s="227"/>
      <c r="E2870" s="364"/>
      <c r="F2870" s="227"/>
      <c r="G2870" s="227"/>
      <c r="H2870" s="227"/>
      <c r="I2870" s="231"/>
      <c r="J2870" s="227"/>
      <c r="K2870" s="226"/>
    </row>
    <row r="2871" spans="1:11" ht="12.75" x14ac:dyDescent="0.2">
      <c r="A2871" s="227"/>
      <c r="B2871" s="227"/>
      <c r="C2871" s="361"/>
      <c r="D2871" s="227"/>
      <c r="E2871" s="364"/>
      <c r="F2871" s="227"/>
      <c r="G2871" s="227"/>
      <c r="H2871" s="227"/>
      <c r="I2871" s="231"/>
      <c r="J2871" s="227"/>
      <c r="K2871" s="226"/>
    </row>
    <row r="2872" spans="1:11" ht="12.75" x14ac:dyDescent="0.2">
      <c r="A2872" s="227"/>
      <c r="B2872" s="227"/>
      <c r="C2872" s="361"/>
      <c r="D2872" s="227"/>
      <c r="E2872" s="364"/>
      <c r="F2872" s="227"/>
      <c r="G2872" s="227"/>
      <c r="H2872" s="227"/>
      <c r="I2872" s="231"/>
      <c r="J2872" s="227"/>
      <c r="K2872" s="226"/>
    </row>
    <row r="2873" spans="1:11" ht="12.75" x14ac:dyDescent="0.2">
      <c r="A2873" s="227"/>
      <c r="B2873" s="227"/>
      <c r="C2873" s="361"/>
      <c r="D2873" s="227"/>
      <c r="E2873" s="364"/>
      <c r="F2873" s="227"/>
      <c r="G2873" s="227"/>
      <c r="H2873" s="227"/>
      <c r="I2873" s="231"/>
      <c r="J2873" s="227"/>
      <c r="K2873" s="226"/>
    </row>
    <row r="2874" spans="1:11" ht="12.75" x14ac:dyDescent="0.2">
      <c r="A2874" s="227"/>
      <c r="B2874" s="227"/>
      <c r="C2874" s="361"/>
      <c r="D2874" s="227"/>
      <c r="E2874" s="364"/>
      <c r="F2874" s="227"/>
      <c r="G2874" s="227"/>
      <c r="H2874" s="227"/>
      <c r="I2874" s="231"/>
      <c r="J2874" s="227"/>
      <c r="K2874" s="226"/>
    </row>
    <row r="2875" spans="1:11" ht="12.75" x14ac:dyDescent="0.2">
      <c r="A2875" s="227"/>
      <c r="B2875" s="227"/>
      <c r="C2875" s="361"/>
      <c r="D2875" s="227"/>
      <c r="E2875" s="364"/>
      <c r="F2875" s="227"/>
      <c r="G2875" s="227"/>
      <c r="H2875" s="227"/>
      <c r="I2875" s="231"/>
      <c r="J2875" s="227"/>
      <c r="K2875" s="226"/>
    </row>
    <row r="2876" spans="1:11" ht="12.75" x14ac:dyDescent="0.2">
      <c r="A2876" s="227"/>
      <c r="B2876" s="227"/>
      <c r="C2876" s="361"/>
      <c r="D2876" s="227"/>
      <c r="E2876" s="364"/>
      <c r="F2876" s="227"/>
      <c r="G2876" s="227"/>
      <c r="H2876" s="227"/>
      <c r="I2876" s="231"/>
      <c r="J2876" s="227"/>
      <c r="K2876" s="226"/>
    </row>
    <row r="2877" spans="1:11" ht="12.75" x14ac:dyDescent="0.2">
      <c r="A2877" s="227"/>
      <c r="B2877" s="227"/>
      <c r="C2877" s="361"/>
      <c r="D2877" s="227"/>
      <c r="E2877" s="364"/>
      <c r="F2877" s="227"/>
      <c r="G2877" s="227"/>
      <c r="H2877" s="227"/>
      <c r="I2877" s="231"/>
      <c r="J2877" s="227"/>
      <c r="K2877" s="226"/>
    </row>
    <row r="2878" spans="1:11" ht="12.75" x14ac:dyDescent="0.2">
      <c r="A2878" s="227"/>
      <c r="B2878" s="227"/>
      <c r="C2878" s="361"/>
      <c r="D2878" s="227"/>
      <c r="E2878" s="364"/>
      <c r="F2878" s="227"/>
      <c r="G2878" s="227"/>
      <c r="H2878" s="227"/>
      <c r="I2878" s="231"/>
      <c r="J2878" s="227"/>
      <c r="K2878" s="226"/>
    </row>
    <row r="2879" spans="1:11" ht="12.75" x14ac:dyDescent="0.2">
      <c r="A2879" s="227"/>
      <c r="B2879" s="227"/>
      <c r="C2879" s="361"/>
      <c r="D2879" s="227"/>
      <c r="E2879" s="364"/>
      <c r="F2879" s="227"/>
      <c r="G2879" s="227"/>
      <c r="H2879" s="227"/>
      <c r="I2879" s="231"/>
      <c r="J2879" s="227"/>
      <c r="K2879" s="226"/>
    </row>
    <row r="2880" spans="1:11" ht="12.75" x14ac:dyDescent="0.2">
      <c r="A2880" s="227"/>
      <c r="B2880" s="227"/>
      <c r="C2880" s="361"/>
      <c r="D2880" s="227"/>
      <c r="E2880" s="364"/>
      <c r="F2880" s="227"/>
      <c r="G2880" s="227"/>
      <c r="H2880" s="227"/>
      <c r="I2880" s="231"/>
      <c r="J2880" s="227"/>
      <c r="K2880" s="226"/>
    </row>
    <row r="2881" spans="1:11" ht="12.75" x14ac:dyDescent="0.2">
      <c r="A2881" s="227"/>
      <c r="B2881" s="227"/>
      <c r="C2881" s="361"/>
      <c r="D2881" s="227"/>
      <c r="E2881" s="364"/>
      <c r="F2881" s="227"/>
      <c r="G2881" s="227"/>
      <c r="H2881" s="227"/>
      <c r="I2881" s="231"/>
      <c r="J2881" s="227"/>
      <c r="K2881" s="226"/>
    </row>
    <row r="2882" spans="1:11" ht="12.75" x14ac:dyDescent="0.2">
      <c r="A2882" s="227"/>
      <c r="B2882" s="227"/>
      <c r="C2882" s="361"/>
      <c r="D2882" s="227"/>
      <c r="E2882" s="364"/>
      <c r="F2882" s="227"/>
      <c r="G2882" s="227"/>
      <c r="H2882" s="227"/>
      <c r="I2882" s="231"/>
      <c r="J2882" s="227"/>
      <c r="K2882" s="226"/>
    </row>
    <row r="2883" spans="1:11" ht="12.75" x14ac:dyDescent="0.2">
      <c r="A2883" s="227"/>
      <c r="B2883" s="227"/>
      <c r="C2883" s="361"/>
      <c r="D2883" s="227"/>
      <c r="E2883" s="364"/>
      <c r="F2883" s="227"/>
      <c r="G2883" s="227"/>
      <c r="H2883" s="227"/>
      <c r="I2883" s="231"/>
      <c r="J2883" s="227"/>
      <c r="K2883" s="226"/>
    </row>
    <row r="2884" spans="1:11" ht="12.75" x14ac:dyDescent="0.2">
      <c r="A2884" s="227"/>
      <c r="B2884" s="227"/>
      <c r="C2884" s="361"/>
      <c r="D2884" s="227"/>
      <c r="E2884" s="364"/>
      <c r="F2884" s="227"/>
      <c r="G2884" s="227"/>
      <c r="H2884" s="227"/>
      <c r="I2884" s="231"/>
      <c r="J2884" s="227"/>
      <c r="K2884" s="226"/>
    </row>
    <row r="2885" spans="1:11" ht="12.75" x14ac:dyDescent="0.2">
      <c r="A2885" s="227"/>
      <c r="B2885" s="227"/>
      <c r="C2885" s="361"/>
      <c r="D2885" s="227"/>
      <c r="E2885" s="364"/>
      <c r="F2885" s="227"/>
      <c r="G2885" s="227"/>
      <c r="H2885" s="227"/>
      <c r="I2885" s="231"/>
      <c r="J2885" s="227"/>
      <c r="K2885" s="226"/>
    </row>
    <row r="2886" spans="1:11" ht="12.75" x14ac:dyDescent="0.2">
      <c r="A2886" s="227"/>
      <c r="B2886" s="227"/>
      <c r="C2886" s="361"/>
      <c r="D2886" s="227"/>
      <c r="E2886" s="364"/>
      <c r="F2886" s="227"/>
      <c r="G2886" s="227"/>
      <c r="H2886" s="227"/>
      <c r="I2886" s="231"/>
      <c r="J2886" s="227"/>
      <c r="K2886" s="226"/>
    </row>
    <row r="2887" spans="1:11" ht="12.75" x14ac:dyDescent="0.2">
      <c r="A2887" s="227"/>
      <c r="B2887" s="227"/>
      <c r="C2887" s="361"/>
      <c r="D2887" s="227"/>
      <c r="E2887" s="364"/>
      <c r="F2887" s="227"/>
      <c r="G2887" s="227"/>
      <c r="H2887" s="227"/>
      <c r="I2887" s="231"/>
      <c r="J2887" s="227"/>
      <c r="K2887" s="226"/>
    </row>
    <row r="2888" spans="1:11" ht="12.75" x14ac:dyDescent="0.2">
      <c r="A2888" s="227"/>
      <c r="B2888" s="227"/>
      <c r="C2888" s="361"/>
      <c r="D2888" s="227"/>
      <c r="E2888" s="364"/>
      <c r="F2888" s="227"/>
      <c r="G2888" s="227"/>
      <c r="H2888" s="227"/>
      <c r="I2888" s="231"/>
      <c r="J2888" s="227"/>
      <c r="K2888" s="226"/>
    </row>
    <row r="2889" spans="1:11" ht="12.75" x14ac:dyDescent="0.2">
      <c r="A2889" s="227"/>
      <c r="B2889" s="227"/>
      <c r="C2889" s="361"/>
      <c r="D2889" s="227"/>
      <c r="E2889" s="364"/>
      <c r="F2889" s="227"/>
      <c r="G2889" s="227"/>
      <c r="H2889" s="227"/>
      <c r="I2889" s="231"/>
      <c r="J2889" s="227"/>
      <c r="K2889" s="226"/>
    </row>
    <row r="2890" spans="1:11" ht="12.75" x14ac:dyDescent="0.2">
      <c r="A2890" s="227"/>
      <c r="B2890" s="227"/>
      <c r="C2890" s="361"/>
      <c r="D2890" s="227"/>
      <c r="E2890" s="364"/>
      <c r="F2890" s="227"/>
      <c r="G2890" s="227"/>
      <c r="H2890" s="227"/>
      <c r="I2890" s="231"/>
      <c r="J2890" s="227"/>
      <c r="K2890" s="226"/>
    </row>
    <row r="2891" spans="1:11" ht="12.75" x14ac:dyDescent="0.2">
      <c r="A2891" s="227"/>
      <c r="B2891" s="227"/>
      <c r="C2891" s="361"/>
      <c r="D2891" s="227"/>
      <c r="E2891" s="364"/>
      <c r="F2891" s="227"/>
      <c r="G2891" s="227"/>
      <c r="H2891" s="227"/>
      <c r="I2891" s="231"/>
      <c r="J2891" s="227"/>
      <c r="K2891" s="226"/>
    </row>
    <row r="2892" spans="1:11" ht="12.75" x14ac:dyDescent="0.2">
      <c r="A2892" s="227"/>
      <c r="B2892" s="227"/>
      <c r="C2892" s="361"/>
      <c r="D2892" s="227"/>
      <c r="E2892" s="364"/>
      <c r="F2892" s="227"/>
      <c r="G2892" s="227"/>
      <c r="H2892" s="227"/>
      <c r="I2892" s="231"/>
      <c r="J2892" s="227"/>
      <c r="K2892" s="226"/>
    </row>
    <row r="2893" spans="1:11" ht="12.75" x14ac:dyDescent="0.2">
      <c r="A2893" s="227"/>
      <c r="B2893" s="227"/>
      <c r="C2893" s="361"/>
      <c r="D2893" s="227"/>
      <c r="E2893" s="364"/>
      <c r="F2893" s="227"/>
      <c r="G2893" s="227"/>
      <c r="H2893" s="227"/>
      <c r="I2893" s="231"/>
      <c r="J2893" s="227"/>
      <c r="K2893" s="226"/>
    </row>
    <row r="2894" spans="1:11" ht="12.75" x14ac:dyDescent="0.2">
      <c r="A2894" s="227"/>
      <c r="B2894" s="227"/>
      <c r="C2894" s="361"/>
      <c r="D2894" s="227"/>
      <c r="E2894" s="364"/>
      <c r="F2894" s="227"/>
      <c r="G2894" s="227"/>
      <c r="H2894" s="227"/>
      <c r="I2894" s="231"/>
      <c r="J2894" s="227"/>
      <c r="K2894" s="226"/>
    </row>
    <row r="2895" spans="1:11" ht="12.75" x14ac:dyDescent="0.2">
      <c r="A2895" s="227"/>
      <c r="B2895" s="227"/>
      <c r="C2895" s="361"/>
      <c r="D2895" s="227"/>
      <c r="E2895" s="364"/>
      <c r="F2895" s="227"/>
      <c r="G2895" s="227"/>
      <c r="H2895" s="227"/>
      <c r="I2895" s="231"/>
      <c r="J2895" s="227"/>
      <c r="K2895" s="226"/>
    </row>
    <row r="2896" spans="1:11" ht="12.75" x14ac:dyDescent="0.2">
      <c r="A2896" s="227"/>
      <c r="B2896" s="227"/>
      <c r="C2896" s="361"/>
      <c r="D2896" s="227"/>
      <c r="E2896" s="364"/>
      <c r="F2896" s="227"/>
      <c r="G2896" s="227"/>
      <c r="H2896" s="227"/>
      <c r="I2896" s="231"/>
      <c r="J2896" s="227"/>
      <c r="K2896" s="226"/>
    </row>
    <row r="2897" spans="1:11" ht="12.75" x14ac:dyDescent="0.2">
      <c r="A2897" s="227"/>
      <c r="B2897" s="227"/>
      <c r="C2897" s="361"/>
      <c r="D2897" s="227"/>
      <c r="E2897" s="364"/>
      <c r="F2897" s="227"/>
      <c r="G2897" s="227"/>
      <c r="H2897" s="227"/>
      <c r="I2897" s="231"/>
      <c r="J2897" s="227"/>
      <c r="K2897" s="226"/>
    </row>
    <row r="2898" spans="1:11" ht="12.75" x14ac:dyDescent="0.2">
      <c r="A2898" s="227"/>
      <c r="B2898" s="227"/>
      <c r="C2898" s="361"/>
      <c r="D2898" s="227"/>
      <c r="E2898" s="364"/>
      <c r="F2898" s="227"/>
      <c r="G2898" s="227"/>
      <c r="H2898" s="227"/>
      <c r="I2898" s="231"/>
      <c r="J2898" s="227"/>
      <c r="K2898" s="226"/>
    </row>
    <row r="2899" spans="1:11" ht="12.75" x14ac:dyDescent="0.2">
      <c r="A2899" s="227"/>
      <c r="B2899" s="227"/>
      <c r="C2899" s="361"/>
      <c r="D2899" s="227"/>
      <c r="E2899" s="364"/>
      <c r="F2899" s="227"/>
      <c r="G2899" s="227"/>
      <c r="H2899" s="227"/>
      <c r="I2899" s="231"/>
      <c r="J2899" s="227"/>
      <c r="K2899" s="226"/>
    </row>
    <row r="2900" spans="1:11" ht="12.75" x14ac:dyDescent="0.2">
      <c r="A2900" s="227"/>
      <c r="B2900" s="227"/>
      <c r="C2900" s="361"/>
      <c r="D2900" s="227"/>
      <c r="E2900" s="364"/>
      <c r="F2900" s="227"/>
      <c r="G2900" s="227"/>
      <c r="H2900" s="227"/>
      <c r="I2900" s="231"/>
      <c r="J2900" s="227"/>
      <c r="K2900" s="226"/>
    </row>
    <row r="2901" spans="1:11" ht="12.75" x14ac:dyDescent="0.2">
      <c r="A2901" s="227"/>
      <c r="B2901" s="227"/>
      <c r="C2901" s="361"/>
      <c r="D2901" s="227"/>
      <c r="E2901" s="364"/>
      <c r="F2901" s="227"/>
      <c r="G2901" s="227"/>
      <c r="H2901" s="227"/>
      <c r="I2901" s="231"/>
      <c r="J2901" s="227"/>
      <c r="K2901" s="226"/>
    </row>
    <row r="2902" spans="1:11" ht="12.75" x14ac:dyDescent="0.2">
      <c r="A2902" s="227"/>
      <c r="B2902" s="227"/>
      <c r="C2902" s="361"/>
      <c r="D2902" s="227"/>
      <c r="E2902" s="364"/>
      <c r="F2902" s="227"/>
      <c r="G2902" s="227"/>
      <c r="H2902" s="227"/>
      <c r="I2902" s="231"/>
      <c r="J2902" s="227"/>
      <c r="K2902" s="226"/>
    </row>
    <row r="2903" spans="1:11" ht="12.75" x14ac:dyDescent="0.2">
      <c r="A2903" s="227"/>
      <c r="B2903" s="227"/>
      <c r="C2903" s="361"/>
      <c r="D2903" s="227"/>
      <c r="E2903" s="364"/>
      <c r="F2903" s="227"/>
      <c r="G2903" s="227"/>
      <c r="H2903" s="227"/>
      <c r="I2903" s="231"/>
      <c r="J2903" s="227"/>
      <c r="K2903" s="226"/>
    </row>
    <row r="2904" spans="1:11" ht="12.75" x14ac:dyDescent="0.2">
      <c r="A2904" s="227"/>
      <c r="B2904" s="227"/>
      <c r="C2904" s="361"/>
      <c r="D2904" s="227"/>
      <c r="E2904" s="364"/>
      <c r="F2904" s="227"/>
      <c r="G2904" s="227"/>
      <c r="H2904" s="227"/>
      <c r="I2904" s="231"/>
      <c r="J2904" s="227"/>
      <c r="K2904" s="226"/>
    </row>
    <row r="2905" spans="1:11" ht="12.75" x14ac:dyDescent="0.2">
      <c r="A2905" s="227"/>
      <c r="B2905" s="227"/>
      <c r="C2905" s="361"/>
      <c r="D2905" s="227"/>
      <c r="E2905" s="364"/>
      <c r="F2905" s="227"/>
      <c r="G2905" s="227"/>
      <c r="H2905" s="227"/>
      <c r="I2905" s="231"/>
      <c r="J2905" s="227"/>
      <c r="K2905" s="226"/>
    </row>
    <row r="2906" spans="1:11" ht="12.75" x14ac:dyDescent="0.2">
      <c r="A2906" s="227"/>
      <c r="B2906" s="227"/>
      <c r="C2906" s="361"/>
      <c r="D2906" s="227"/>
      <c r="E2906" s="364"/>
      <c r="F2906" s="227"/>
      <c r="G2906" s="227"/>
      <c r="H2906" s="227"/>
      <c r="I2906" s="231"/>
      <c r="J2906" s="227"/>
      <c r="K2906" s="226"/>
    </row>
    <row r="2907" spans="1:11" ht="12.75" x14ac:dyDescent="0.2">
      <c r="A2907" s="227"/>
      <c r="B2907" s="227"/>
      <c r="C2907" s="361"/>
      <c r="D2907" s="227"/>
      <c r="E2907" s="364"/>
      <c r="F2907" s="227"/>
      <c r="G2907" s="227"/>
      <c r="H2907" s="227"/>
      <c r="I2907" s="231"/>
      <c r="J2907" s="227"/>
      <c r="K2907" s="226"/>
    </row>
    <row r="2908" spans="1:11" ht="12.75" x14ac:dyDescent="0.2">
      <c r="A2908" s="227"/>
      <c r="B2908" s="227"/>
      <c r="C2908" s="361"/>
      <c r="D2908" s="227"/>
      <c r="E2908" s="364"/>
      <c r="F2908" s="227"/>
      <c r="G2908" s="227"/>
      <c r="H2908" s="227"/>
      <c r="I2908" s="231"/>
      <c r="J2908" s="227"/>
      <c r="K2908" s="226"/>
    </row>
    <row r="2909" spans="1:11" ht="12.75" x14ac:dyDescent="0.2">
      <c r="A2909" s="227"/>
      <c r="B2909" s="227"/>
      <c r="C2909" s="361"/>
      <c r="D2909" s="227"/>
      <c r="E2909" s="364"/>
      <c r="F2909" s="227"/>
      <c r="G2909" s="227"/>
      <c r="H2909" s="227"/>
      <c r="I2909" s="231"/>
      <c r="J2909" s="227"/>
      <c r="K2909" s="226"/>
    </row>
    <row r="2910" spans="1:11" ht="12.75" x14ac:dyDescent="0.2">
      <c r="A2910" s="227"/>
      <c r="B2910" s="227"/>
      <c r="C2910" s="361"/>
      <c r="D2910" s="227"/>
      <c r="E2910" s="364"/>
      <c r="F2910" s="227"/>
      <c r="G2910" s="227"/>
      <c r="H2910" s="227"/>
      <c r="I2910" s="231"/>
      <c r="J2910" s="227"/>
      <c r="K2910" s="226"/>
    </row>
    <row r="2911" spans="1:11" ht="12.75" x14ac:dyDescent="0.2">
      <c r="A2911" s="227"/>
      <c r="B2911" s="227"/>
      <c r="C2911" s="361"/>
      <c r="D2911" s="227"/>
      <c r="E2911" s="364"/>
      <c r="F2911" s="227"/>
      <c r="G2911" s="227"/>
      <c r="H2911" s="227"/>
      <c r="I2911" s="231"/>
      <c r="J2911" s="227"/>
      <c r="K2911" s="226"/>
    </row>
    <row r="2912" spans="1:11" ht="12.75" x14ac:dyDescent="0.2">
      <c r="A2912" s="227"/>
      <c r="B2912" s="227"/>
      <c r="C2912" s="361"/>
      <c r="D2912" s="227"/>
      <c r="E2912" s="364"/>
      <c r="F2912" s="227"/>
      <c r="G2912" s="227"/>
      <c r="H2912" s="227"/>
      <c r="I2912" s="231"/>
      <c r="J2912" s="227"/>
      <c r="K2912" s="226"/>
    </row>
    <row r="2913" spans="1:11" ht="12.75" x14ac:dyDescent="0.2">
      <c r="A2913" s="227"/>
      <c r="B2913" s="227"/>
      <c r="C2913" s="361"/>
      <c r="D2913" s="227"/>
      <c r="E2913" s="364"/>
      <c r="F2913" s="227"/>
      <c r="G2913" s="227"/>
      <c r="H2913" s="227"/>
      <c r="I2913" s="231"/>
      <c r="J2913" s="227"/>
      <c r="K2913" s="226"/>
    </row>
    <row r="2914" spans="1:11" ht="12.75" x14ac:dyDescent="0.2">
      <c r="A2914" s="227"/>
      <c r="B2914" s="227"/>
      <c r="C2914" s="361"/>
      <c r="D2914" s="227"/>
      <c r="E2914" s="364"/>
      <c r="F2914" s="227"/>
      <c r="G2914" s="227"/>
      <c r="H2914" s="227"/>
      <c r="I2914" s="231"/>
      <c r="J2914" s="227"/>
      <c r="K2914" s="226"/>
    </row>
    <row r="2915" spans="1:11" ht="12.75" x14ac:dyDescent="0.2">
      <c r="A2915" s="227"/>
      <c r="B2915" s="227"/>
      <c r="C2915" s="361"/>
      <c r="D2915" s="227"/>
      <c r="E2915" s="364"/>
      <c r="F2915" s="227"/>
      <c r="G2915" s="227"/>
      <c r="H2915" s="227"/>
      <c r="I2915" s="231"/>
      <c r="J2915" s="227"/>
      <c r="K2915" s="226"/>
    </row>
    <row r="2916" spans="1:11" ht="12.75" x14ac:dyDescent="0.2">
      <c r="A2916" s="227"/>
      <c r="B2916" s="227"/>
      <c r="C2916" s="361"/>
      <c r="D2916" s="227"/>
      <c r="E2916" s="364"/>
      <c r="F2916" s="227"/>
      <c r="G2916" s="227"/>
      <c r="H2916" s="227"/>
      <c r="I2916" s="231"/>
      <c r="J2916" s="227"/>
      <c r="K2916" s="226"/>
    </row>
    <row r="2917" spans="1:11" ht="12.75" x14ac:dyDescent="0.2">
      <c r="A2917" s="227"/>
      <c r="B2917" s="227"/>
      <c r="C2917" s="361"/>
      <c r="D2917" s="227"/>
      <c r="E2917" s="364"/>
      <c r="F2917" s="227"/>
      <c r="G2917" s="227"/>
      <c r="H2917" s="227"/>
      <c r="I2917" s="231"/>
      <c r="J2917" s="227"/>
      <c r="K2917" s="226"/>
    </row>
    <row r="2918" spans="1:11" ht="12.75" x14ac:dyDescent="0.2">
      <c r="A2918" s="227"/>
      <c r="B2918" s="227"/>
      <c r="C2918" s="361"/>
      <c r="D2918" s="227"/>
      <c r="E2918" s="364"/>
      <c r="F2918" s="227"/>
      <c r="G2918" s="227"/>
      <c r="H2918" s="227"/>
      <c r="I2918" s="231"/>
      <c r="J2918" s="227"/>
      <c r="K2918" s="226"/>
    </row>
    <row r="2919" spans="1:11" ht="12.75" x14ac:dyDescent="0.2">
      <c r="A2919" s="227"/>
      <c r="B2919" s="227"/>
      <c r="C2919" s="361"/>
      <c r="D2919" s="227"/>
      <c r="E2919" s="364"/>
      <c r="F2919" s="227"/>
      <c r="G2919" s="227"/>
      <c r="H2919" s="227"/>
      <c r="I2919" s="231"/>
      <c r="J2919" s="227"/>
      <c r="K2919" s="226"/>
    </row>
    <row r="2920" spans="1:11" ht="12.75" x14ac:dyDescent="0.2">
      <c r="A2920" s="227"/>
      <c r="B2920" s="227"/>
      <c r="C2920" s="361"/>
      <c r="D2920" s="227"/>
      <c r="E2920" s="364"/>
      <c r="F2920" s="227"/>
      <c r="G2920" s="227"/>
      <c r="H2920" s="227"/>
      <c r="I2920" s="231"/>
      <c r="J2920" s="227"/>
      <c r="K2920" s="226"/>
    </row>
    <row r="2921" spans="1:11" ht="12.75" x14ac:dyDescent="0.2">
      <c r="A2921" s="227"/>
      <c r="B2921" s="227"/>
      <c r="C2921" s="361"/>
      <c r="D2921" s="227"/>
      <c r="E2921" s="364"/>
      <c r="F2921" s="227"/>
      <c r="G2921" s="227"/>
      <c r="H2921" s="227"/>
      <c r="I2921" s="231"/>
      <c r="J2921" s="227"/>
      <c r="K2921" s="226"/>
    </row>
    <row r="2922" spans="1:11" ht="12.75" x14ac:dyDescent="0.2">
      <c r="A2922" s="227"/>
      <c r="B2922" s="227"/>
      <c r="C2922" s="361"/>
      <c r="D2922" s="227"/>
      <c r="E2922" s="364"/>
      <c r="F2922" s="227"/>
      <c r="G2922" s="227"/>
      <c r="H2922" s="227"/>
      <c r="I2922" s="231"/>
      <c r="J2922" s="227"/>
      <c r="K2922" s="226"/>
    </row>
    <row r="2923" spans="1:11" ht="12.75" x14ac:dyDescent="0.2">
      <c r="A2923" s="227"/>
      <c r="B2923" s="227"/>
      <c r="C2923" s="361"/>
      <c r="D2923" s="227"/>
      <c r="E2923" s="364"/>
      <c r="F2923" s="227"/>
      <c r="G2923" s="227"/>
      <c r="H2923" s="227"/>
      <c r="I2923" s="231"/>
      <c r="J2923" s="227"/>
      <c r="K2923" s="226"/>
    </row>
    <row r="2924" spans="1:11" ht="12.75" x14ac:dyDescent="0.2">
      <c r="A2924" s="227"/>
      <c r="B2924" s="227"/>
      <c r="C2924" s="361"/>
      <c r="D2924" s="227"/>
      <c r="E2924" s="364"/>
      <c r="F2924" s="227"/>
      <c r="G2924" s="227"/>
      <c r="H2924" s="227"/>
      <c r="I2924" s="231"/>
      <c r="J2924" s="227"/>
      <c r="K2924" s="226"/>
    </row>
    <row r="2925" spans="1:11" ht="12.75" x14ac:dyDescent="0.2">
      <c r="A2925" s="227"/>
      <c r="B2925" s="227"/>
      <c r="C2925" s="361"/>
      <c r="D2925" s="227"/>
      <c r="E2925" s="364"/>
      <c r="F2925" s="227"/>
      <c r="G2925" s="227"/>
      <c r="H2925" s="227"/>
      <c r="I2925" s="231"/>
      <c r="J2925" s="227"/>
      <c r="K2925" s="226"/>
    </row>
    <row r="2926" spans="1:11" ht="12.75" x14ac:dyDescent="0.2">
      <c r="A2926" s="227"/>
      <c r="B2926" s="227"/>
      <c r="C2926" s="361"/>
      <c r="D2926" s="227"/>
      <c r="E2926" s="364"/>
      <c r="F2926" s="227"/>
      <c r="G2926" s="227"/>
      <c r="H2926" s="227"/>
      <c r="I2926" s="231"/>
      <c r="J2926" s="227"/>
      <c r="K2926" s="226"/>
    </row>
    <row r="2927" spans="1:11" ht="12.75" x14ac:dyDescent="0.2">
      <c r="A2927" s="227"/>
      <c r="B2927" s="227"/>
      <c r="C2927" s="361"/>
      <c r="D2927" s="227"/>
      <c r="E2927" s="364"/>
      <c r="F2927" s="227"/>
      <c r="G2927" s="227"/>
      <c r="H2927" s="227"/>
      <c r="I2927" s="231"/>
      <c r="J2927" s="227"/>
      <c r="K2927" s="226"/>
    </row>
    <row r="2928" spans="1:11" ht="12.75" x14ac:dyDescent="0.2">
      <c r="A2928" s="227"/>
      <c r="B2928" s="227"/>
      <c r="C2928" s="361"/>
      <c r="D2928" s="227"/>
      <c r="E2928" s="364"/>
      <c r="F2928" s="227"/>
      <c r="G2928" s="227"/>
      <c r="H2928" s="227"/>
      <c r="I2928" s="231"/>
      <c r="J2928" s="227"/>
      <c r="K2928" s="226"/>
    </row>
    <row r="2929" spans="1:11" ht="12.75" x14ac:dyDescent="0.2">
      <c r="A2929" s="227"/>
      <c r="B2929" s="227"/>
      <c r="C2929" s="361"/>
      <c r="D2929" s="227"/>
      <c r="E2929" s="364"/>
      <c r="F2929" s="227"/>
      <c r="G2929" s="227"/>
      <c r="H2929" s="227"/>
      <c r="I2929" s="231"/>
      <c r="J2929" s="227"/>
      <c r="K2929" s="226"/>
    </row>
    <row r="2930" spans="1:11" ht="12.75" x14ac:dyDescent="0.2">
      <c r="A2930" s="227"/>
      <c r="B2930" s="227"/>
      <c r="C2930" s="361"/>
      <c r="D2930" s="227"/>
      <c r="E2930" s="364"/>
      <c r="F2930" s="227"/>
      <c r="G2930" s="227"/>
      <c r="H2930" s="227"/>
      <c r="I2930" s="231"/>
      <c r="J2930" s="227"/>
      <c r="K2930" s="226"/>
    </row>
    <row r="2931" spans="1:11" ht="12.75" x14ac:dyDescent="0.2">
      <c r="A2931" s="227"/>
      <c r="B2931" s="227"/>
      <c r="C2931" s="361"/>
      <c r="D2931" s="227"/>
      <c r="E2931" s="364"/>
      <c r="F2931" s="227"/>
      <c r="G2931" s="227"/>
      <c r="H2931" s="227"/>
      <c r="I2931" s="231"/>
      <c r="J2931" s="227"/>
      <c r="K2931" s="226"/>
    </row>
    <row r="2932" spans="1:11" ht="12.75" x14ac:dyDescent="0.2">
      <c r="A2932" s="227"/>
      <c r="B2932" s="227"/>
      <c r="C2932" s="361"/>
      <c r="D2932" s="227"/>
      <c r="E2932" s="364"/>
      <c r="F2932" s="227"/>
      <c r="G2932" s="227"/>
      <c r="H2932" s="227"/>
      <c r="I2932" s="231"/>
      <c r="J2932" s="227"/>
      <c r="K2932" s="226"/>
    </row>
    <row r="2933" spans="1:11" ht="12.75" x14ac:dyDescent="0.2">
      <c r="A2933" s="227"/>
      <c r="B2933" s="227"/>
      <c r="C2933" s="361"/>
      <c r="D2933" s="227"/>
      <c r="E2933" s="364"/>
      <c r="F2933" s="227"/>
      <c r="G2933" s="227"/>
      <c r="H2933" s="227"/>
      <c r="I2933" s="231"/>
      <c r="J2933" s="227"/>
      <c r="K2933" s="226"/>
    </row>
    <row r="2934" spans="1:11" ht="12.75" x14ac:dyDescent="0.2">
      <c r="A2934" s="227"/>
      <c r="B2934" s="227"/>
      <c r="C2934" s="361"/>
      <c r="D2934" s="227"/>
      <c r="E2934" s="364"/>
      <c r="F2934" s="227"/>
      <c r="G2934" s="227"/>
      <c r="H2934" s="227"/>
      <c r="I2934" s="231"/>
      <c r="J2934" s="227"/>
      <c r="K2934" s="226"/>
    </row>
    <row r="2935" spans="1:11" ht="12.75" x14ac:dyDescent="0.2">
      <c r="A2935" s="227"/>
      <c r="B2935" s="227"/>
      <c r="C2935" s="361"/>
      <c r="D2935" s="227"/>
      <c r="E2935" s="364"/>
      <c r="F2935" s="227"/>
      <c r="G2935" s="227"/>
      <c r="H2935" s="227"/>
      <c r="I2935" s="231"/>
      <c r="J2935" s="227"/>
      <c r="K2935" s="226"/>
    </row>
    <row r="2936" spans="1:11" ht="12.75" x14ac:dyDescent="0.2">
      <c r="A2936" s="227"/>
      <c r="B2936" s="227"/>
      <c r="C2936" s="361"/>
      <c r="D2936" s="227"/>
      <c r="E2936" s="364"/>
      <c r="F2936" s="227"/>
      <c r="G2936" s="227"/>
      <c r="H2936" s="227"/>
      <c r="I2936" s="231"/>
      <c r="J2936" s="227"/>
      <c r="K2936" s="226"/>
    </row>
    <row r="2937" spans="1:11" ht="12.75" x14ac:dyDescent="0.2">
      <c r="A2937" s="227"/>
      <c r="B2937" s="227"/>
      <c r="C2937" s="361"/>
      <c r="D2937" s="227"/>
      <c r="E2937" s="364"/>
      <c r="F2937" s="227"/>
      <c r="G2937" s="227"/>
      <c r="H2937" s="227"/>
      <c r="I2937" s="231"/>
      <c r="J2937" s="227"/>
      <c r="K2937" s="226"/>
    </row>
    <row r="2938" spans="1:11" ht="12.75" x14ac:dyDescent="0.2">
      <c r="A2938" s="227"/>
      <c r="B2938" s="227"/>
      <c r="C2938" s="361"/>
      <c r="D2938" s="227"/>
      <c r="E2938" s="364"/>
      <c r="F2938" s="227"/>
      <c r="G2938" s="227"/>
      <c r="H2938" s="227"/>
      <c r="I2938" s="231"/>
      <c r="J2938" s="227"/>
      <c r="K2938" s="226"/>
    </row>
    <row r="2939" spans="1:11" ht="12.75" x14ac:dyDescent="0.2">
      <c r="A2939" s="227"/>
      <c r="B2939" s="227"/>
      <c r="C2939" s="361"/>
      <c r="D2939" s="227"/>
      <c r="E2939" s="364"/>
      <c r="F2939" s="227"/>
      <c r="G2939" s="227"/>
      <c r="H2939" s="227"/>
      <c r="I2939" s="231"/>
      <c r="J2939" s="227"/>
      <c r="K2939" s="226"/>
    </row>
    <row r="2940" spans="1:11" ht="12.75" x14ac:dyDescent="0.2">
      <c r="A2940" s="227"/>
      <c r="B2940" s="227"/>
      <c r="C2940" s="361"/>
      <c r="D2940" s="227"/>
      <c r="E2940" s="364"/>
      <c r="F2940" s="227"/>
      <c r="G2940" s="227"/>
      <c r="H2940" s="227"/>
      <c r="I2940" s="231"/>
      <c r="J2940" s="227"/>
      <c r="K2940" s="226"/>
    </row>
    <row r="2941" spans="1:11" ht="12.75" x14ac:dyDescent="0.2">
      <c r="A2941" s="227"/>
      <c r="B2941" s="227"/>
      <c r="C2941" s="361"/>
      <c r="D2941" s="227"/>
      <c r="E2941" s="364"/>
      <c r="F2941" s="227"/>
      <c r="G2941" s="227"/>
      <c r="H2941" s="227"/>
      <c r="I2941" s="231"/>
      <c r="J2941" s="227"/>
      <c r="K2941" s="226"/>
    </row>
    <row r="2942" spans="1:11" ht="12.75" x14ac:dyDescent="0.2">
      <c r="A2942" s="227"/>
      <c r="B2942" s="227"/>
      <c r="C2942" s="361"/>
      <c r="D2942" s="227"/>
      <c r="E2942" s="364"/>
      <c r="F2942" s="227"/>
      <c r="G2942" s="227"/>
      <c r="H2942" s="227"/>
      <c r="I2942" s="231"/>
      <c r="J2942" s="227"/>
      <c r="K2942" s="226"/>
    </row>
    <row r="2943" spans="1:11" ht="12.75" x14ac:dyDescent="0.2">
      <c r="A2943" s="227"/>
      <c r="B2943" s="227"/>
      <c r="C2943" s="361"/>
      <c r="D2943" s="227"/>
      <c r="E2943" s="364"/>
      <c r="F2943" s="227"/>
      <c r="G2943" s="227"/>
      <c r="H2943" s="227"/>
      <c r="I2943" s="231"/>
      <c r="J2943" s="227"/>
      <c r="K2943" s="226"/>
    </row>
    <row r="2944" spans="1:11" ht="12.75" x14ac:dyDescent="0.2">
      <c r="A2944" s="227"/>
      <c r="B2944" s="227"/>
      <c r="C2944" s="361"/>
      <c r="D2944" s="227"/>
      <c r="E2944" s="364"/>
      <c r="F2944" s="227"/>
      <c r="G2944" s="227"/>
      <c r="H2944" s="227"/>
      <c r="I2944" s="231"/>
      <c r="J2944" s="227"/>
      <c r="K2944" s="226"/>
    </row>
    <row r="2945" spans="1:11" ht="12.75" x14ac:dyDescent="0.2">
      <c r="A2945" s="227"/>
      <c r="B2945" s="227"/>
      <c r="C2945" s="361"/>
      <c r="D2945" s="227"/>
      <c r="E2945" s="364"/>
      <c r="F2945" s="227"/>
      <c r="G2945" s="227"/>
      <c r="H2945" s="227"/>
      <c r="I2945" s="231"/>
      <c r="J2945" s="227"/>
      <c r="K2945" s="226"/>
    </row>
    <row r="2946" spans="1:11" ht="12.75" x14ac:dyDescent="0.2">
      <c r="A2946" s="227"/>
      <c r="B2946" s="227"/>
      <c r="C2946" s="361"/>
      <c r="D2946" s="227"/>
      <c r="E2946" s="364"/>
      <c r="F2946" s="227"/>
      <c r="G2946" s="227"/>
      <c r="H2946" s="227"/>
      <c r="I2946" s="231"/>
      <c r="J2946" s="227"/>
      <c r="K2946" s="226"/>
    </row>
    <row r="2947" spans="1:11" ht="12.75" x14ac:dyDescent="0.2">
      <c r="A2947" s="227"/>
      <c r="B2947" s="227"/>
      <c r="C2947" s="361"/>
      <c r="D2947" s="227"/>
      <c r="E2947" s="364"/>
      <c r="F2947" s="227"/>
      <c r="G2947" s="227"/>
      <c r="H2947" s="227"/>
      <c r="I2947" s="231"/>
      <c r="J2947" s="227"/>
      <c r="K2947" s="226"/>
    </row>
    <row r="2948" spans="1:11" ht="12.75" x14ac:dyDescent="0.2">
      <c r="A2948" s="227"/>
      <c r="B2948" s="227"/>
      <c r="C2948" s="361"/>
      <c r="D2948" s="227"/>
      <c r="E2948" s="364"/>
      <c r="F2948" s="227"/>
      <c r="G2948" s="227"/>
      <c r="H2948" s="227"/>
      <c r="I2948" s="231"/>
      <c r="J2948" s="227"/>
      <c r="K2948" s="226"/>
    </row>
    <row r="2949" spans="1:11" ht="12.75" x14ac:dyDescent="0.2">
      <c r="A2949" s="227"/>
      <c r="B2949" s="227"/>
      <c r="C2949" s="361"/>
      <c r="D2949" s="227"/>
      <c r="E2949" s="364"/>
      <c r="F2949" s="227"/>
      <c r="G2949" s="227"/>
      <c r="H2949" s="227"/>
      <c r="I2949" s="231"/>
      <c r="J2949" s="227"/>
      <c r="K2949" s="226"/>
    </row>
    <row r="2950" spans="1:11" ht="12.75" x14ac:dyDescent="0.2">
      <c r="A2950" s="227"/>
      <c r="B2950" s="227"/>
      <c r="C2950" s="361"/>
      <c r="D2950" s="227"/>
      <c r="E2950" s="364"/>
      <c r="F2950" s="227"/>
      <c r="G2950" s="227"/>
      <c r="H2950" s="227"/>
      <c r="I2950" s="231"/>
      <c r="J2950" s="227"/>
      <c r="K2950" s="226"/>
    </row>
    <row r="2951" spans="1:11" ht="12.75" x14ac:dyDescent="0.2">
      <c r="A2951" s="227"/>
      <c r="B2951" s="227"/>
      <c r="C2951" s="361"/>
      <c r="D2951" s="227"/>
      <c r="E2951" s="364"/>
      <c r="F2951" s="227"/>
      <c r="G2951" s="227"/>
      <c r="H2951" s="227"/>
      <c r="I2951" s="231"/>
      <c r="J2951" s="227"/>
      <c r="K2951" s="226"/>
    </row>
    <row r="2952" spans="1:11" ht="12.75" x14ac:dyDescent="0.2">
      <c r="A2952" s="227"/>
      <c r="B2952" s="227"/>
      <c r="C2952" s="361"/>
      <c r="D2952" s="227"/>
      <c r="E2952" s="364"/>
      <c r="F2952" s="227"/>
      <c r="G2952" s="227"/>
      <c r="H2952" s="227"/>
      <c r="I2952" s="231"/>
      <c r="J2952" s="227"/>
      <c r="K2952" s="226"/>
    </row>
    <row r="2953" spans="1:11" ht="12.75" x14ac:dyDescent="0.2">
      <c r="A2953" s="227"/>
      <c r="B2953" s="227"/>
      <c r="C2953" s="361"/>
      <c r="D2953" s="227"/>
      <c r="E2953" s="364"/>
      <c r="F2953" s="227"/>
      <c r="G2953" s="227"/>
      <c r="H2953" s="227"/>
      <c r="I2953" s="231"/>
      <c r="J2953" s="227"/>
      <c r="K2953" s="226"/>
    </row>
    <row r="2954" spans="1:11" ht="12.75" x14ac:dyDescent="0.2">
      <c r="A2954" s="227"/>
      <c r="B2954" s="227"/>
      <c r="C2954" s="361"/>
      <c r="D2954" s="227"/>
      <c r="E2954" s="364"/>
      <c r="F2954" s="227"/>
      <c r="G2954" s="227"/>
      <c r="H2954" s="227"/>
      <c r="I2954" s="231"/>
      <c r="J2954" s="227"/>
      <c r="K2954" s="226"/>
    </row>
    <row r="2955" spans="1:11" ht="12.75" x14ac:dyDescent="0.2">
      <c r="A2955" s="227"/>
      <c r="B2955" s="227"/>
      <c r="C2955" s="361"/>
      <c r="D2955" s="227"/>
      <c r="E2955" s="364"/>
      <c r="F2955" s="227"/>
      <c r="G2955" s="227"/>
      <c r="H2955" s="227"/>
      <c r="I2955" s="231"/>
      <c r="J2955" s="227"/>
      <c r="K2955" s="226"/>
    </row>
    <row r="2956" spans="1:11" ht="12.75" x14ac:dyDescent="0.2">
      <c r="A2956" s="227"/>
      <c r="B2956" s="227"/>
      <c r="C2956" s="361"/>
      <c r="D2956" s="227"/>
      <c r="E2956" s="364"/>
      <c r="F2956" s="227"/>
      <c r="G2956" s="227"/>
      <c r="H2956" s="227"/>
      <c r="I2956" s="231"/>
      <c r="J2956" s="227"/>
      <c r="K2956" s="226"/>
    </row>
    <row r="2957" spans="1:11" ht="12.75" x14ac:dyDescent="0.2">
      <c r="A2957" s="227"/>
      <c r="B2957" s="227"/>
      <c r="C2957" s="361"/>
      <c r="D2957" s="227"/>
      <c r="E2957" s="364"/>
      <c r="F2957" s="227"/>
      <c r="G2957" s="227"/>
      <c r="H2957" s="227"/>
      <c r="I2957" s="231"/>
      <c r="J2957" s="227"/>
      <c r="K2957" s="226"/>
    </row>
    <row r="2958" spans="1:11" ht="12.75" x14ac:dyDescent="0.2">
      <c r="A2958" s="227"/>
      <c r="B2958" s="227"/>
      <c r="C2958" s="361"/>
      <c r="D2958" s="227"/>
      <c r="E2958" s="364"/>
      <c r="F2958" s="227"/>
      <c r="G2958" s="227"/>
      <c r="H2958" s="227"/>
      <c r="I2958" s="231"/>
      <c r="J2958" s="227"/>
      <c r="K2958" s="226"/>
    </row>
    <row r="2959" spans="1:11" ht="12.75" x14ac:dyDescent="0.2">
      <c r="A2959" s="227"/>
      <c r="B2959" s="227"/>
      <c r="C2959" s="361"/>
      <c r="D2959" s="227"/>
      <c r="E2959" s="364"/>
      <c r="F2959" s="227"/>
      <c r="G2959" s="227"/>
      <c r="H2959" s="227"/>
      <c r="I2959" s="231"/>
      <c r="J2959" s="227"/>
      <c r="K2959" s="226"/>
    </row>
    <row r="2960" spans="1:11" ht="12.75" x14ac:dyDescent="0.2">
      <c r="A2960" s="227"/>
      <c r="B2960" s="227"/>
      <c r="C2960" s="361"/>
      <c r="D2960" s="227"/>
      <c r="E2960" s="364"/>
      <c r="F2960" s="227"/>
      <c r="G2960" s="227"/>
      <c r="H2960" s="227"/>
      <c r="I2960" s="231"/>
      <c r="J2960" s="227"/>
      <c r="K2960" s="226"/>
    </row>
    <row r="2961" spans="1:11" ht="12.75" x14ac:dyDescent="0.2">
      <c r="A2961" s="227"/>
      <c r="B2961" s="227"/>
      <c r="C2961" s="361"/>
      <c r="D2961" s="227"/>
      <c r="E2961" s="364"/>
      <c r="F2961" s="227"/>
      <c r="G2961" s="227"/>
      <c r="H2961" s="227"/>
      <c r="I2961" s="231"/>
      <c r="J2961" s="227"/>
      <c r="K2961" s="226"/>
    </row>
    <row r="2962" spans="1:11" ht="12.75" x14ac:dyDescent="0.2">
      <c r="A2962" s="227"/>
      <c r="B2962" s="227"/>
      <c r="C2962" s="361"/>
      <c r="D2962" s="227"/>
      <c r="E2962" s="364"/>
      <c r="F2962" s="227"/>
      <c r="G2962" s="227"/>
      <c r="H2962" s="227"/>
      <c r="I2962" s="231"/>
      <c r="J2962" s="227"/>
      <c r="K2962" s="226"/>
    </row>
    <row r="2963" spans="1:11" ht="12.75" x14ac:dyDescent="0.2">
      <c r="A2963" s="227"/>
      <c r="B2963" s="227"/>
      <c r="C2963" s="361"/>
      <c r="D2963" s="227"/>
      <c r="E2963" s="364"/>
      <c r="F2963" s="227"/>
      <c r="G2963" s="227"/>
      <c r="H2963" s="227"/>
      <c r="I2963" s="231"/>
      <c r="J2963" s="227"/>
      <c r="K2963" s="226"/>
    </row>
    <row r="2964" spans="1:11" ht="12.75" x14ac:dyDescent="0.2">
      <c r="A2964" s="227"/>
      <c r="B2964" s="227"/>
      <c r="C2964" s="361"/>
      <c r="D2964" s="227"/>
      <c r="E2964" s="364"/>
      <c r="F2964" s="227"/>
      <c r="G2964" s="227"/>
      <c r="H2964" s="227"/>
      <c r="I2964" s="231"/>
      <c r="J2964" s="227"/>
      <c r="K2964" s="226"/>
    </row>
    <row r="2965" spans="1:11" ht="12.75" x14ac:dyDescent="0.2">
      <c r="A2965" s="227"/>
      <c r="B2965" s="227"/>
      <c r="C2965" s="361"/>
      <c r="D2965" s="227"/>
      <c r="E2965" s="364"/>
      <c r="F2965" s="227"/>
      <c r="G2965" s="227"/>
      <c r="H2965" s="227"/>
      <c r="I2965" s="231"/>
      <c r="J2965" s="227"/>
      <c r="K2965" s="226"/>
    </row>
    <row r="2966" spans="1:11" ht="12.75" x14ac:dyDescent="0.2">
      <c r="A2966" s="227"/>
      <c r="B2966" s="227"/>
      <c r="C2966" s="361"/>
      <c r="D2966" s="227"/>
      <c r="E2966" s="364"/>
      <c r="F2966" s="227"/>
      <c r="G2966" s="227"/>
      <c r="H2966" s="227"/>
      <c r="I2966" s="231"/>
      <c r="J2966" s="227"/>
      <c r="K2966" s="226"/>
    </row>
    <row r="2967" spans="1:11" ht="12.75" x14ac:dyDescent="0.2">
      <c r="I2967" s="11"/>
      <c r="K2967" s="226"/>
    </row>
    <row r="2968" spans="1:11" ht="12.75" x14ac:dyDescent="0.2">
      <c r="I2968" s="11"/>
      <c r="K2968" s="226"/>
    </row>
    <row r="2969" spans="1:11" ht="12.75" x14ac:dyDescent="0.2">
      <c r="K2969" s="226"/>
    </row>
    <row r="2970" spans="1:11" ht="12.75" x14ac:dyDescent="0.2">
      <c r="K2970" s="226"/>
    </row>
  </sheetData>
  <mergeCells count="15">
    <mergeCell ref="J6:J7"/>
    <mergeCell ref="E6:E7"/>
    <mergeCell ref="F6:F7"/>
    <mergeCell ref="G6:G7"/>
    <mergeCell ref="H6:H7"/>
    <mergeCell ref="A1:J1"/>
    <mergeCell ref="A2:J2"/>
    <mergeCell ref="A3:J3"/>
    <mergeCell ref="A4:J4"/>
    <mergeCell ref="A5:J5"/>
    <mergeCell ref="C6:C7"/>
    <mergeCell ref="B6:B7"/>
    <mergeCell ref="A6:A7"/>
    <mergeCell ref="D6:D7"/>
    <mergeCell ref="I6:I7"/>
  </mergeCells>
  <phoneticPr fontId="3" type="noConversion"/>
  <printOptions horizontalCentered="1" gridLinesSet="0"/>
  <pageMargins left="0" right="0" top="0.75" bottom="0.5" header="0.25" footer="0.5"/>
  <pageSetup fitToHeight="0" orientation="landscape" r:id="rId1"/>
  <headerFooter alignWithMargins="0">
    <oddFooter>&amp;L&amp;"MS Sans Serif,Regular"&amp;F&amp;C&amp;"MS Sans Serif,Regular"&amp;P</oddFooter>
  </headerFooter>
  <rowBreaks count="55" manualBreakCount="55">
    <brk id="44" max="9" man="1"/>
    <brk id="86" max="9" man="1"/>
    <brk id="123" max="9" man="1"/>
    <brk id="162" max="9" man="1"/>
    <brk id="196" max="9" man="1"/>
    <brk id="233" max="9" man="1"/>
    <brk id="266" max="9" man="1"/>
    <brk id="304" max="9" man="1"/>
    <brk id="431" max="9" man="1"/>
    <brk id="478" max="9" man="1"/>
    <brk id="513" max="9" man="1"/>
    <brk id="547" max="9" man="1"/>
    <brk id="582" max="9" man="1"/>
    <brk id="620" max="9" man="1"/>
    <brk id="651" max="9" man="1"/>
    <brk id="776" max="9" man="1"/>
    <brk id="809" max="9" man="1"/>
    <brk id="838" max="9" man="1"/>
    <brk id="866" max="9" man="1"/>
    <brk id="907" max="9" man="1"/>
    <brk id="944" max="9" man="1"/>
    <brk id="982" max="9" man="1"/>
    <brk id="1016" max="9" man="1"/>
    <brk id="1056" max="9" man="1"/>
    <brk id="1092" max="9" man="1"/>
    <brk id="1127" max="9" man="1"/>
    <brk id="1162" max="9" man="1"/>
    <brk id="1271" max="9" man="1"/>
    <brk id="1308" max="9" man="1"/>
    <brk id="1347" max="9" man="1"/>
    <brk id="1386" max="9" man="1"/>
    <brk id="1425" max="9" man="1"/>
    <brk id="1466" max="9" man="1"/>
    <brk id="1513" max="9" man="1"/>
    <brk id="1549" max="9" man="1"/>
    <brk id="1585" max="9" man="1"/>
    <brk id="1626" max="9" man="1"/>
    <brk id="1663" max="9" man="1"/>
    <brk id="1707" max="9" man="1"/>
    <brk id="1764" max="9" man="1"/>
    <brk id="1800" max="9" man="1"/>
    <brk id="1833" max="9" man="1"/>
    <brk id="1879" max="9" man="1"/>
    <brk id="1923" max="9" man="1"/>
    <brk id="1958" max="9" man="1"/>
    <brk id="1990" max="9" man="1"/>
    <brk id="2027" max="9" man="1"/>
    <brk id="2060" max="9" man="1"/>
    <brk id="2189" max="9" man="1"/>
    <brk id="2216" max="9" man="1"/>
    <brk id="2249" max="9" man="1"/>
    <brk id="2296" max="9" man="1"/>
    <brk id="2327" max="9" man="1"/>
    <brk id="2358" max="9" man="1"/>
    <brk id="2393" max="9" man="1"/>
  </rowBreaks>
  <colBreaks count="1" manualBreakCount="1">
    <brk id="3" max="1953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342BED83EFD1B4CA509E07C221404A6" ma:contentTypeVersion="12" ma:contentTypeDescription="Create a new document." ma:contentTypeScope="" ma:versionID="7adc5ff164e610e59772a7e0755392dc">
  <xsd:schema xmlns:xsd="http://www.w3.org/2001/XMLSchema" xmlns:xs="http://www.w3.org/2001/XMLSchema" xmlns:p="http://schemas.microsoft.com/office/2006/metadata/properties" xmlns:ns3="014d1102-4776-4827-a4e5-0e73e2b3b592" xmlns:ns4="98029977-d171-46f5-b656-bdbfb795dc4b" targetNamespace="http://schemas.microsoft.com/office/2006/metadata/properties" ma:root="true" ma:fieldsID="73c5c70eed02ca751dcdd4f5409a1bc0" ns3:_="" ns4:_="">
    <xsd:import namespace="014d1102-4776-4827-a4e5-0e73e2b3b592"/>
    <xsd:import namespace="98029977-d171-46f5-b656-bdbfb795dc4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4d1102-4776-4827-a4e5-0e73e2b3b59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029977-d171-46f5-b656-bdbfb795dc4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8180EDA-45CE-4623-B6D9-F5B57036373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23164EC-4E79-447B-98B9-250B31F73E9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4d1102-4776-4827-a4e5-0e73e2b3b592"/>
    <ds:schemaRef ds:uri="98029977-d171-46f5-b656-bdbfb795dc4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BF80DA3-8832-4AD8-8520-1698BA06AA52}">
  <ds:schemaRefs>
    <ds:schemaRef ds:uri="http://schemas.microsoft.com/office/2006/documentManagement/types"/>
    <ds:schemaRef ds:uri="http://purl.org/dc/terms/"/>
    <ds:schemaRef ds:uri="http://schemas.openxmlformats.org/package/2006/metadata/core-properties"/>
    <ds:schemaRef ds:uri="98029977-d171-46f5-b656-bdbfb795dc4b"/>
    <ds:schemaRef ds:uri="http://purl.org/dc/dcmitype/"/>
    <ds:schemaRef ds:uri="http://schemas.microsoft.com/office/infopath/2007/PartnerControls"/>
    <ds:schemaRef ds:uri="014d1102-4776-4827-a4e5-0e73e2b3b592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21</vt:i4>
      </vt:variant>
    </vt:vector>
  </HeadingPairs>
  <TitlesOfParts>
    <vt:vector size="26" baseType="lpstr">
      <vt:lpstr>cost-location</vt:lpstr>
      <vt:lpstr>const-cost</vt:lpstr>
      <vt:lpstr>cost-addons</vt:lpstr>
      <vt:lpstr>CSCTHIST</vt:lpstr>
      <vt:lpstr>COSTBASE</vt:lpstr>
      <vt:lpstr>new_print_area_mi</vt:lpstr>
      <vt:lpstr>new_print_titles_mi</vt:lpstr>
      <vt:lpstr>'const-cost'!Print_Area</vt:lpstr>
      <vt:lpstr>'cost-addons'!Print_Area</vt:lpstr>
      <vt:lpstr>COSTBASE!Print_Area</vt:lpstr>
      <vt:lpstr>'cost-location'!Print_Area</vt:lpstr>
      <vt:lpstr>CSCTHIST!Print_Area</vt:lpstr>
      <vt:lpstr>Print_Area</vt:lpstr>
      <vt:lpstr>COSTBASE!Print_Area_MI</vt:lpstr>
      <vt:lpstr>Print_Area_MI</vt:lpstr>
      <vt:lpstr>'const-cost'!Print_Titles</vt:lpstr>
      <vt:lpstr>'cost-addons'!Print_Titles</vt:lpstr>
      <vt:lpstr>COSTBASE!Print_Titles</vt:lpstr>
      <vt:lpstr>'cost-location'!Print_Titles</vt:lpstr>
      <vt:lpstr>CSCTHIST!Print_Titles</vt:lpstr>
      <vt:lpstr>Print_Titles</vt:lpstr>
      <vt:lpstr>'const-cost'!Print_Titles_MI</vt:lpstr>
      <vt:lpstr>'cost-addons'!Print_Titles_MI</vt:lpstr>
      <vt:lpstr>COSTBASE!Print_Titles_MI</vt:lpstr>
      <vt:lpstr>'cost-location'!Print_Titles_MI</vt:lpstr>
      <vt:lpstr>Print_Titles_MI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Board of Regents</dc:creator>
  <cp:lastModifiedBy>Pichard, Kevin</cp:lastModifiedBy>
  <cp:lastPrinted>2022-03-17T18:01:05Z</cp:lastPrinted>
  <dcterms:created xsi:type="dcterms:W3CDTF">1999-02-05T13:58:24Z</dcterms:created>
  <dcterms:modified xsi:type="dcterms:W3CDTF">2022-04-06T13:04:37Z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0x0101007342BED83EFD1B4CA509E07C221404A6</vt:lpwstr>
  </property>
</Properties>
</file>