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Budget\Working\Jennifer Nabors\Tuition &amp; Fees\2014-15\"/>
    </mc:Choice>
  </mc:AlternateContent>
  <bookViews>
    <workbookView xWindow="-15" yWindow="-15" windowWidth="28860" windowHeight="6375" tabRatio="811"/>
  </bookViews>
  <sheets>
    <sheet name="Summary T&amp;F" sheetId="9" r:id="rId1"/>
    <sheet name="Undergraduate T&amp;F" sheetId="21" r:id="rId2"/>
    <sheet name="Graduate T&amp;F" sheetId="20" r:id="rId3"/>
    <sheet name="Professional T&amp;F" sheetId="19" r:id="rId4"/>
    <sheet name="T&amp;F-All" sheetId="8" state="hidden" r:id="rId5"/>
    <sheet name="Survey Template" sheetId="14" state="hidden" r:id="rId6"/>
    <sheet name="Cost of Attendance" sheetId="22" state="hidden" r:id="rId7"/>
    <sheet name="2009-10 Max T&amp;F for VA Office" sheetId="18" state="hidden" r:id="rId8"/>
    <sheet name="WeightedAvg" sheetId="16" state="hidden" r:id="rId9"/>
    <sheet name="2006-07 Current Stu Survey" sheetId="15" state="hidden" r:id="rId10"/>
    <sheet name="2005-06 Survey Form" sheetId="13" state="hidden" r:id="rId11"/>
    <sheet name="Previous Year T&amp;F (2004-05)" sheetId="11" state="hidden" r:id="rId12"/>
  </sheets>
  <definedNames>
    <definedName name="_xlnm.Print_Area" localSheetId="10">'2005-06 Survey Form'!$A$1:$P$104</definedName>
    <definedName name="_xlnm.Print_Area" localSheetId="9">'2006-07 Current Stu Survey'!$A$1:$P$107</definedName>
    <definedName name="_xlnm.Print_Area" localSheetId="2">'Graduate T&amp;F'!$A$1:$R$49</definedName>
    <definedName name="_xlnm.Print_Area" localSheetId="11">'Previous Year T&amp;F (2004-05)'!$A$1:$N$155</definedName>
    <definedName name="_xlnm.Print_Area" localSheetId="3">'Professional T&amp;F'!$A$1:$R$183</definedName>
    <definedName name="_xlnm.Print_Area" localSheetId="0">'Summary T&amp;F'!$A$1:$R$71</definedName>
    <definedName name="_xlnm.Print_Area" localSheetId="5">'Survey Template'!$A$1:$Q$208</definedName>
    <definedName name="_xlnm.Print_Area" localSheetId="4">'T&amp;F-All'!$A$1:$R$223</definedName>
    <definedName name="_xlnm.Print_Area" localSheetId="1">'Undergraduate T&amp;F'!$A$1:$R$50</definedName>
    <definedName name="_xlnm.Print_Titles" localSheetId="10">'2005-06 Survey Form'!$1:$8</definedName>
    <definedName name="_xlnm.Print_Titles" localSheetId="9">'2006-07 Current Stu Survey'!$1:$8</definedName>
    <definedName name="_xlnm.Print_Titles" localSheetId="2">'Graduate T&amp;F'!$1:$4</definedName>
    <definedName name="_xlnm.Print_Titles" localSheetId="11">'Previous Year T&amp;F (2004-05)'!$1:$3</definedName>
    <definedName name="_xlnm.Print_Titles" localSheetId="3">'Professional T&amp;F'!$1:$4</definedName>
    <definedName name="_xlnm.Print_Titles" localSheetId="5">'Survey Template'!$1:$9</definedName>
    <definedName name="_xlnm.Print_Titles" localSheetId="4">'T&amp;F-All'!$1:$3</definedName>
    <definedName name="_xlnm.Print_Titles" localSheetId="1">'Undergraduate T&amp;F'!$1:$4</definedName>
    <definedName name="wrn.Summary._.and._.Detail." localSheetId="9" hidden="1">{"detail",#N/A,FALSE,"1996-97";"summary",#N/A,FALSE,"1996-97"}</definedName>
    <definedName name="wrn.Summary._.and._.Detail." localSheetId="11" hidden="1">{"detail",#N/A,FALSE,"1996-97";"summary",#N/A,FALSE,"1996-97"}</definedName>
    <definedName name="wrn.Summary._.and._.Detail." localSheetId="5" hidden="1">{"detail",#N/A,FALSE,"1996-97";"summary",#N/A,FALSE,"1996-97"}</definedName>
    <definedName name="wrn.Summary._.and._.Detail." hidden="1">{"detail",#N/A,FALSE,"1996-97";"summary",#N/A,FALSE,"1996-97"}</definedName>
    <definedName name="wrn.summary1._.and._.Detail" hidden="1">{"detail",#N/A,FALSE,"1996-97";"summary",#N/A,FALSE,"1996-97"}</definedName>
  </definedNames>
  <calcPr calcId="152511"/>
</workbook>
</file>

<file path=xl/calcChain.xml><?xml version="1.0" encoding="utf-8"?>
<calcChain xmlns="http://schemas.openxmlformats.org/spreadsheetml/2006/main">
  <c r="L71" i="19" l="1"/>
  <c r="L30" i="19"/>
  <c r="L29" i="19"/>
  <c r="L31" i="8"/>
  <c r="L30" i="8"/>
  <c r="E79" i="19"/>
  <c r="E71" i="19"/>
  <c r="E18" i="19"/>
  <c r="E32" i="8"/>
  <c r="E44" i="20"/>
  <c r="E35" i="20"/>
  <c r="L23" i="20"/>
  <c r="G12" i="21"/>
  <c r="G22" i="21"/>
  <c r="E22" i="21"/>
  <c r="C6" i="21" l="1"/>
  <c r="G25" i="19" l="1"/>
  <c r="E26" i="8"/>
  <c r="G26" i="8"/>
  <c r="C35" i="19"/>
  <c r="E30" i="19" l="1"/>
  <c r="E25" i="19"/>
  <c r="E29" i="19" l="1"/>
  <c r="E12" i="21"/>
  <c r="E12" i="20"/>
  <c r="G12" i="19"/>
  <c r="E12" i="19"/>
  <c r="G11" i="8"/>
  <c r="E11" i="8"/>
  <c r="K29" i="21"/>
  <c r="J31" i="8"/>
  <c r="J30" i="8"/>
  <c r="J30" i="19"/>
  <c r="J29" i="19"/>
  <c r="J35" i="19"/>
  <c r="G30" i="19"/>
  <c r="G29" i="19"/>
  <c r="H74" i="19"/>
  <c r="E23" i="20"/>
  <c r="G23" i="20"/>
  <c r="G12" i="20"/>
  <c r="M31" i="8"/>
  <c r="C36" i="8"/>
  <c r="C126" i="19"/>
  <c r="D45" i="19" l="1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C45" i="19"/>
  <c r="O27" i="20"/>
  <c r="P27" i="20"/>
  <c r="Q27" i="20"/>
  <c r="G27" i="20"/>
  <c r="H27" i="20"/>
  <c r="I27" i="20"/>
  <c r="J27" i="20"/>
  <c r="K27" i="20"/>
  <c r="L27" i="20"/>
  <c r="M27" i="20"/>
  <c r="N27" i="20"/>
  <c r="D27" i="20"/>
  <c r="R27" i="20" s="1" a="1"/>
  <c r="R27" i="20" s="1"/>
  <c r="E27" i="20"/>
  <c r="F27" i="20"/>
  <c r="C27" i="20"/>
  <c r="Q26" i="21"/>
  <c r="P26" i="21"/>
  <c r="H26" i="21"/>
  <c r="I26" i="21"/>
  <c r="J26" i="21"/>
  <c r="K26" i="21"/>
  <c r="L26" i="21"/>
  <c r="M26" i="21"/>
  <c r="N26" i="21"/>
  <c r="O26" i="21"/>
  <c r="F26" i="21"/>
  <c r="G26" i="21"/>
  <c r="D26" i="21"/>
  <c r="E26" i="21"/>
  <c r="C26" i="21"/>
  <c r="D6" i="21"/>
  <c r="D36" i="8"/>
  <c r="D39" i="8"/>
  <c r="D40" i="8"/>
  <c r="D42" i="8"/>
  <c r="D45" i="8"/>
  <c r="D48" i="8"/>
  <c r="D49" i="8"/>
  <c r="D50" i="8"/>
  <c r="D58" i="8"/>
  <c r="D59" i="8"/>
  <c r="D60" i="8"/>
  <c r="D5" i="8"/>
  <c r="D6" i="8"/>
  <c r="D7" i="8"/>
  <c r="D8" i="8"/>
  <c r="D9" i="8"/>
  <c r="D10" i="8"/>
  <c r="D11" i="8"/>
  <c r="D14" i="8"/>
  <c r="D15" i="8"/>
  <c r="D16" i="8"/>
  <c r="D17" i="8"/>
  <c r="D74" i="19"/>
  <c r="D75" i="19"/>
  <c r="D83" i="19"/>
  <c r="D84" i="19"/>
  <c r="D107" i="19"/>
  <c r="D108" i="19"/>
  <c r="D48" i="19"/>
  <c r="D49" i="19"/>
  <c r="D57" i="19"/>
  <c r="D58" i="19"/>
  <c r="D66" i="19"/>
  <c r="D67" i="19"/>
  <c r="D35" i="19"/>
  <c r="D38" i="19"/>
  <c r="D39" i="19"/>
  <c r="D41" i="19"/>
  <c r="D6" i="19"/>
  <c r="D7" i="19"/>
  <c r="D8" i="19"/>
  <c r="D9" i="19"/>
  <c r="D10" i="19"/>
  <c r="D11" i="19"/>
  <c r="D12" i="19"/>
  <c r="D16" i="19"/>
  <c r="D17" i="19"/>
  <c r="D21" i="19"/>
  <c r="D22" i="19"/>
  <c r="D23" i="19"/>
  <c r="D24" i="19"/>
  <c r="D25" i="19"/>
  <c r="D30" i="20"/>
  <c r="D31" i="20"/>
  <c r="D39" i="20"/>
  <c r="D40" i="20"/>
  <c r="D6" i="20"/>
  <c r="D7" i="20"/>
  <c r="D8" i="20"/>
  <c r="D9" i="20"/>
  <c r="D10" i="20"/>
  <c r="D11" i="20"/>
  <c r="D12" i="20"/>
  <c r="D15" i="20"/>
  <c r="D16" i="20"/>
  <c r="D39" i="21"/>
  <c r="D40" i="21"/>
  <c r="D41" i="21"/>
  <c r="D29" i="21"/>
  <c r="D30" i="21"/>
  <c r="D31" i="21"/>
  <c r="D15" i="21"/>
  <c r="D18" i="21"/>
  <c r="D19" i="21"/>
  <c r="D20" i="21"/>
  <c r="D21" i="21"/>
  <c r="D22" i="21"/>
  <c r="D7" i="21"/>
  <c r="D8" i="21"/>
  <c r="D9" i="21"/>
  <c r="D10" i="21"/>
  <c r="R163" i="8" a="1"/>
  <c r="R163" i="8" s="1"/>
  <c r="R122" i="19" a="1"/>
  <c r="R122" i="19" s="1"/>
  <c r="R45" i="19" l="1" a="1"/>
  <c r="R45" i="19" s="1"/>
  <c r="D41" i="20"/>
  <c r="D59" i="19"/>
  <c r="D109" i="19"/>
  <c r="D76" i="19"/>
  <c r="D32" i="20"/>
  <c r="D50" i="19"/>
  <c r="D85" i="19"/>
  <c r="R26" i="21" a="1"/>
  <c r="R26" i="21" s="1"/>
  <c r="D23" i="21"/>
  <c r="D32" i="21"/>
  <c r="D68" i="19"/>
  <c r="D12" i="8"/>
  <c r="D13" i="20"/>
  <c r="D35" i="20" s="1"/>
  <c r="D36" i="20" s="1"/>
  <c r="D13" i="21"/>
  <c r="D13" i="19"/>
  <c r="D42" i="21"/>
  <c r="D61" i="8"/>
  <c r="D51" i="8"/>
  <c r="D54" i="8" s="1"/>
  <c r="D5" i="9" s="1"/>
  <c r="Q39" i="21"/>
  <c r="Q40" i="21"/>
  <c r="Q41" i="21"/>
  <c r="Q29" i="21"/>
  <c r="Q30" i="21"/>
  <c r="Q31" i="21"/>
  <c r="Q15" i="21"/>
  <c r="Q18" i="21"/>
  <c r="Q19" i="21"/>
  <c r="Q20" i="21"/>
  <c r="Q21" i="21"/>
  <c r="Q22" i="21"/>
  <c r="Q6" i="21"/>
  <c r="Q7" i="21"/>
  <c r="Q9" i="21"/>
  <c r="Q10" i="21"/>
  <c r="Q11" i="21"/>
  <c r="N29" i="19"/>
  <c r="O29" i="19"/>
  <c r="P29" i="19"/>
  <c r="N30" i="19"/>
  <c r="O30" i="19"/>
  <c r="P30" i="19"/>
  <c r="N31" i="19"/>
  <c r="O31" i="19"/>
  <c r="P31" i="19"/>
  <c r="N35" i="19"/>
  <c r="O35" i="19"/>
  <c r="P35" i="19"/>
  <c r="N48" i="19"/>
  <c r="O48" i="19"/>
  <c r="P48" i="19"/>
  <c r="N49" i="19"/>
  <c r="O49" i="19"/>
  <c r="P49" i="19"/>
  <c r="Q6" i="19"/>
  <c r="Q7" i="19"/>
  <c r="Q9" i="19"/>
  <c r="Q10" i="19"/>
  <c r="Q11" i="19"/>
  <c r="Q21" i="19"/>
  <c r="Q22" i="19"/>
  <c r="Q23" i="19"/>
  <c r="Q24" i="19"/>
  <c r="Q25" i="19"/>
  <c r="P80" i="8"/>
  <c r="P87" i="8"/>
  <c r="Q87" i="8"/>
  <c r="P88" i="8"/>
  <c r="Q88" i="8"/>
  <c r="Q78" i="8"/>
  <c r="Q79" i="8"/>
  <c r="P69" i="8"/>
  <c r="Q69" i="8"/>
  <c r="P70" i="8"/>
  <c r="Q70" i="8"/>
  <c r="Q58" i="8"/>
  <c r="Q59" i="8"/>
  <c r="Q60" i="8"/>
  <c r="Q45" i="8"/>
  <c r="Q48" i="8"/>
  <c r="Q49" i="8"/>
  <c r="Q50" i="8"/>
  <c r="Q14" i="8"/>
  <c r="Q15" i="8"/>
  <c r="Q16" i="8"/>
  <c r="Q17" i="8"/>
  <c r="Q18" i="8"/>
  <c r="Q19" i="8"/>
  <c r="Q22" i="8"/>
  <c r="Q23" i="8"/>
  <c r="Q24" i="8"/>
  <c r="Q25" i="8"/>
  <c r="Q26" i="8"/>
  <c r="Q5" i="8"/>
  <c r="Q6" i="8"/>
  <c r="Q7" i="8"/>
  <c r="Q8" i="8"/>
  <c r="Q9" i="8"/>
  <c r="Q10" i="8"/>
  <c r="O39" i="20"/>
  <c r="Q39" i="20"/>
  <c r="P40" i="20"/>
  <c r="Q40" i="20"/>
  <c r="P39" i="20"/>
  <c r="P30" i="20"/>
  <c r="Q30" i="20"/>
  <c r="P31" i="20"/>
  <c r="Q31" i="20"/>
  <c r="Q15" i="20"/>
  <c r="Q16" i="20"/>
  <c r="Q19" i="20"/>
  <c r="Q20" i="20"/>
  <c r="Q21" i="20"/>
  <c r="Q22" i="20"/>
  <c r="Q23" i="20"/>
  <c r="Q6" i="20"/>
  <c r="Q7" i="20"/>
  <c r="Q8" i="20"/>
  <c r="Q9" i="20"/>
  <c r="Q10" i="20"/>
  <c r="Q11" i="20"/>
  <c r="N19" i="21"/>
  <c r="O19" i="21"/>
  <c r="P19" i="21"/>
  <c r="N20" i="21"/>
  <c r="O20" i="21"/>
  <c r="P20" i="21"/>
  <c r="N21" i="21"/>
  <c r="O21" i="21"/>
  <c r="P21" i="21"/>
  <c r="P10" i="21"/>
  <c r="P41" i="20" l="1"/>
  <c r="D45" i="21"/>
  <c r="D46" i="21" s="1"/>
  <c r="Q80" i="8"/>
  <c r="D64" i="8"/>
  <c r="D9" i="9" s="1"/>
  <c r="D35" i="21"/>
  <c r="D36" i="21" s="1"/>
  <c r="D44" i="20"/>
  <c r="D45" i="20" s="1"/>
  <c r="D55" i="8"/>
  <c r="D6" i="9" s="1"/>
  <c r="D65" i="8"/>
  <c r="Q41" i="20"/>
  <c r="P32" i="20"/>
  <c r="Q51" i="8"/>
  <c r="Q61" i="8"/>
  <c r="P71" i="8"/>
  <c r="Q32" i="20"/>
  <c r="Q71" i="8"/>
  <c r="Q32" i="21"/>
  <c r="Q42" i="21"/>
  <c r="Q13" i="20"/>
  <c r="Q26" i="19"/>
  <c r="Q24" i="20"/>
  <c r="Q12" i="8"/>
  <c r="Q83" i="8" s="1"/>
  <c r="Q13" i="19"/>
  <c r="Q13" i="21"/>
  <c r="Q23" i="21"/>
  <c r="Q74" i="8" l="1"/>
  <c r="Q45" i="21"/>
  <c r="Q46" i="21" s="1"/>
  <c r="Q35" i="21"/>
  <c r="Q36" i="21" s="1"/>
  <c r="Q64" i="8"/>
  <c r="Q84" i="8"/>
  <c r="Q18" i="9" s="1"/>
  <c r="Q17" i="9"/>
  <c r="Q75" i="8"/>
  <c r="Q14" i="9" s="1"/>
  <c r="Q13" i="9"/>
  <c r="D10" i="9"/>
  <c r="Q54" i="8"/>
  <c r="Q44" i="20"/>
  <c r="Q45" i="20" s="1"/>
  <c r="Q35" i="20"/>
  <c r="Q36" i="20" s="1"/>
  <c r="P9" i="21"/>
  <c r="G5" i="22"/>
  <c r="G4" i="22"/>
  <c r="Q55" i="8" l="1"/>
  <c r="Q6" i="9" s="1"/>
  <c r="Q5" i="9"/>
  <c r="Q65" i="8"/>
  <c r="Q10" i="9" s="1"/>
  <c r="Q9" i="9"/>
  <c r="M218" i="8"/>
  <c r="M217" i="8"/>
  <c r="M210" i="8"/>
  <c r="M209" i="8"/>
  <c r="M176" i="8"/>
  <c r="M175" i="8"/>
  <c r="M176" i="19"/>
  <c r="M175" i="19"/>
  <c r="M168" i="19"/>
  <c r="M167" i="19"/>
  <c r="M134" i="19"/>
  <c r="M133" i="19"/>
  <c r="I38" i="19"/>
  <c r="M12" i="19"/>
  <c r="I134" i="19"/>
  <c r="H134" i="19"/>
  <c r="I133" i="19"/>
  <c r="H133" i="19"/>
  <c r="I126" i="19"/>
  <c r="H126" i="19"/>
  <c r="I125" i="19"/>
  <c r="H125" i="19"/>
  <c r="I117" i="19"/>
  <c r="H117" i="19"/>
  <c r="I116" i="19"/>
  <c r="H116" i="19"/>
  <c r="I75" i="19"/>
  <c r="H75" i="19"/>
  <c r="I74" i="19"/>
  <c r="I67" i="19"/>
  <c r="H67" i="19"/>
  <c r="I66" i="19"/>
  <c r="H66" i="19"/>
  <c r="I63" i="19"/>
  <c r="H63" i="19"/>
  <c r="I58" i="19"/>
  <c r="H58" i="19"/>
  <c r="I57" i="19"/>
  <c r="H57" i="19"/>
  <c r="I49" i="19"/>
  <c r="H49" i="19"/>
  <c r="I48" i="19"/>
  <c r="H48" i="19"/>
  <c r="I39" i="19"/>
  <c r="H39" i="19"/>
  <c r="H38" i="19"/>
  <c r="I35" i="19"/>
  <c r="H35" i="19"/>
  <c r="I33" i="19"/>
  <c r="H33" i="19"/>
  <c r="I32" i="19"/>
  <c r="H32" i="19"/>
  <c r="I31" i="19"/>
  <c r="H31" i="19"/>
  <c r="I30" i="19"/>
  <c r="H30" i="19"/>
  <c r="I29" i="19"/>
  <c r="H29" i="19"/>
  <c r="I25" i="19"/>
  <c r="H25" i="19"/>
  <c r="I24" i="19"/>
  <c r="H24" i="19"/>
  <c r="I23" i="19"/>
  <c r="H23" i="19"/>
  <c r="I22" i="19"/>
  <c r="H22" i="19"/>
  <c r="I21" i="19"/>
  <c r="H21" i="19"/>
  <c r="I17" i="19"/>
  <c r="H17" i="19"/>
  <c r="I16" i="19"/>
  <c r="H16" i="19"/>
  <c r="I15" i="19"/>
  <c r="H15" i="19"/>
  <c r="G15" i="19"/>
  <c r="I12" i="19"/>
  <c r="H12" i="19"/>
  <c r="I11" i="19"/>
  <c r="H11" i="19"/>
  <c r="I10" i="19"/>
  <c r="H10" i="19"/>
  <c r="I9" i="19"/>
  <c r="H9" i="19"/>
  <c r="I8" i="19"/>
  <c r="H8" i="19"/>
  <c r="I7" i="19"/>
  <c r="H7" i="19"/>
  <c r="I6" i="19"/>
  <c r="H6" i="19"/>
  <c r="I39" i="20"/>
  <c r="H39" i="20"/>
  <c r="I30" i="20"/>
  <c r="H30" i="20"/>
  <c r="I23" i="20"/>
  <c r="H23" i="20"/>
  <c r="I22" i="20"/>
  <c r="H22" i="20"/>
  <c r="I21" i="20"/>
  <c r="H21" i="20"/>
  <c r="I20" i="20"/>
  <c r="H20" i="20"/>
  <c r="I19" i="20"/>
  <c r="H19" i="20"/>
  <c r="I16" i="20"/>
  <c r="H16" i="20"/>
  <c r="I15" i="20"/>
  <c r="H15" i="20"/>
  <c r="I12" i="20"/>
  <c r="H12" i="20"/>
  <c r="I11" i="20"/>
  <c r="H11" i="20"/>
  <c r="I10" i="20"/>
  <c r="H10" i="20"/>
  <c r="I9" i="20"/>
  <c r="H9" i="20"/>
  <c r="I8" i="20"/>
  <c r="H8" i="20"/>
  <c r="I7" i="20"/>
  <c r="H7" i="20"/>
  <c r="I6" i="20"/>
  <c r="H6" i="20"/>
  <c r="I40" i="21"/>
  <c r="H40" i="21"/>
  <c r="I39" i="21"/>
  <c r="H39" i="21"/>
  <c r="I30" i="21"/>
  <c r="H30" i="21"/>
  <c r="I29" i="21"/>
  <c r="H29" i="21"/>
  <c r="I22" i="21"/>
  <c r="H22" i="21"/>
  <c r="I21" i="21"/>
  <c r="H21" i="21"/>
  <c r="I20" i="21"/>
  <c r="H20" i="21"/>
  <c r="I19" i="21"/>
  <c r="H19" i="21"/>
  <c r="I18" i="21"/>
  <c r="H18" i="21"/>
  <c r="I15" i="21"/>
  <c r="H15" i="21"/>
  <c r="I12" i="21"/>
  <c r="H12" i="21"/>
  <c r="I11" i="21"/>
  <c r="H11" i="21"/>
  <c r="I10" i="21"/>
  <c r="H10" i="21"/>
  <c r="I9" i="21"/>
  <c r="H9" i="21"/>
  <c r="I8" i="21"/>
  <c r="H8" i="21"/>
  <c r="I7" i="21"/>
  <c r="H7" i="21"/>
  <c r="I6" i="21"/>
  <c r="H6" i="21"/>
  <c r="I78" i="8"/>
  <c r="H78" i="8"/>
  <c r="I69" i="8"/>
  <c r="H69" i="8"/>
  <c r="I59" i="8"/>
  <c r="H59" i="8"/>
  <c r="I58" i="8"/>
  <c r="H58" i="8"/>
  <c r="I49" i="8"/>
  <c r="H49" i="8"/>
  <c r="I48" i="8"/>
  <c r="H48" i="8"/>
  <c r="I45" i="8"/>
  <c r="H45" i="8"/>
  <c r="I40" i="8"/>
  <c r="H40" i="8"/>
  <c r="I39" i="8"/>
  <c r="H39" i="8"/>
  <c r="I36" i="8"/>
  <c r="H36" i="8"/>
  <c r="I34" i="8"/>
  <c r="H34" i="8"/>
  <c r="I33" i="8"/>
  <c r="H33" i="8"/>
  <c r="I32" i="8"/>
  <c r="H32" i="8"/>
  <c r="I31" i="8"/>
  <c r="H31" i="8"/>
  <c r="I30" i="8"/>
  <c r="H30" i="8"/>
  <c r="I26" i="8"/>
  <c r="H26" i="8"/>
  <c r="I25" i="8"/>
  <c r="H25" i="8"/>
  <c r="I24" i="8"/>
  <c r="H24" i="8"/>
  <c r="I23" i="8"/>
  <c r="H23" i="8"/>
  <c r="I22" i="8"/>
  <c r="H22" i="8"/>
  <c r="I19" i="8"/>
  <c r="H19" i="8"/>
  <c r="H18" i="8"/>
  <c r="I17" i="8"/>
  <c r="H17" i="8"/>
  <c r="I16" i="8"/>
  <c r="H16" i="8"/>
  <c r="I15" i="8"/>
  <c r="H15" i="8"/>
  <c r="I14" i="8"/>
  <c r="H14" i="8"/>
  <c r="I11" i="8"/>
  <c r="H11" i="8"/>
  <c r="I10" i="8"/>
  <c r="H10" i="8"/>
  <c r="I9" i="8"/>
  <c r="H9" i="8"/>
  <c r="I8" i="8"/>
  <c r="H8" i="8"/>
  <c r="I6" i="8"/>
  <c r="H6" i="8"/>
  <c r="I5" i="8"/>
  <c r="H5" i="8"/>
  <c r="I79" i="8"/>
  <c r="H40" i="20"/>
  <c r="I60" i="8"/>
  <c r="H41" i="21"/>
  <c r="I31" i="20"/>
  <c r="H31" i="20"/>
  <c r="I31" i="21"/>
  <c r="H31" i="21"/>
  <c r="M135" i="19" l="1"/>
  <c r="M169" i="19"/>
  <c r="M219" i="8"/>
  <c r="M177" i="19"/>
  <c r="M177" i="8"/>
  <c r="M211" i="8"/>
  <c r="H70" i="8"/>
  <c r="H71" i="8" s="1"/>
  <c r="H79" i="8"/>
  <c r="H80" i="8" s="1"/>
  <c r="H32" i="20"/>
  <c r="I40" i="20"/>
  <c r="I41" i="20" s="1"/>
  <c r="I70" i="8"/>
  <c r="I71" i="8" s="1"/>
  <c r="I68" i="19"/>
  <c r="I41" i="21"/>
  <c r="I42" i="21" s="1"/>
  <c r="H60" i="8"/>
  <c r="H61" i="8" s="1"/>
  <c r="H42" i="21"/>
  <c r="I26" i="19"/>
  <c r="I32" i="20"/>
  <c r="I13" i="19"/>
  <c r="H26" i="19"/>
  <c r="H68" i="19"/>
  <c r="H76" i="19"/>
  <c r="H118" i="19"/>
  <c r="H127" i="19"/>
  <c r="H27" i="8"/>
  <c r="I50" i="8"/>
  <c r="I51" i="8" s="1"/>
  <c r="H50" i="8"/>
  <c r="H51" i="8" s="1"/>
  <c r="H12" i="8"/>
  <c r="H41" i="20"/>
  <c r="I12" i="8"/>
  <c r="H23" i="21"/>
  <c r="H13" i="21"/>
  <c r="H13" i="20"/>
  <c r="I27" i="8"/>
  <c r="I61" i="8"/>
  <c r="I80" i="8"/>
  <c r="I13" i="21"/>
  <c r="I23" i="21"/>
  <c r="I32" i="21"/>
  <c r="H24" i="20"/>
  <c r="H13" i="19"/>
  <c r="I59" i="19"/>
  <c r="I135" i="19"/>
  <c r="H32" i="21"/>
  <c r="I13" i="20"/>
  <c r="I24" i="20"/>
  <c r="H59" i="19"/>
  <c r="I76" i="19"/>
  <c r="I118" i="19"/>
  <c r="I127" i="19"/>
  <c r="H135" i="19"/>
  <c r="P45" i="8"/>
  <c r="O45" i="8"/>
  <c r="N45" i="8"/>
  <c r="M45" i="8"/>
  <c r="L45" i="8"/>
  <c r="K45" i="8"/>
  <c r="J45" i="8"/>
  <c r="G45" i="8"/>
  <c r="F45" i="8"/>
  <c r="E45" i="8"/>
  <c r="C45" i="8"/>
  <c r="C15" i="20"/>
  <c r="F15" i="20"/>
  <c r="G15" i="20"/>
  <c r="J15" i="20"/>
  <c r="K15" i="20"/>
  <c r="L15" i="20"/>
  <c r="M15" i="20"/>
  <c r="N15" i="20"/>
  <c r="O15" i="20"/>
  <c r="P15" i="20"/>
  <c r="C16" i="20"/>
  <c r="F16" i="20"/>
  <c r="G16" i="20"/>
  <c r="J16" i="20"/>
  <c r="K16" i="20"/>
  <c r="L16" i="20"/>
  <c r="M16" i="20"/>
  <c r="N16" i="20"/>
  <c r="O16" i="20"/>
  <c r="P16" i="20"/>
  <c r="O41" i="21"/>
  <c r="P40" i="21"/>
  <c r="O40" i="21"/>
  <c r="N40" i="21"/>
  <c r="M40" i="21"/>
  <c r="L40" i="21"/>
  <c r="K40" i="21"/>
  <c r="J40" i="21"/>
  <c r="G40" i="21"/>
  <c r="F40" i="21"/>
  <c r="E40" i="21"/>
  <c r="C40" i="21"/>
  <c r="P39" i="21"/>
  <c r="O39" i="21"/>
  <c r="N39" i="21"/>
  <c r="M39" i="21"/>
  <c r="L39" i="21"/>
  <c r="K39" i="21"/>
  <c r="J39" i="21"/>
  <c r="G39" i="21"/>
  <c r="F39" i="21"/>
  <c r="E39" i="21"/>
  <c r="C39" i="21"/>
  <c r="O31" i="21"/>
  <c r="P30" i="21"/>
  <c r="O30" i="21"/>
  <c r="N30" i="21"/>
  <c r="M30" i="21"/>
  <c r="L30" i="21"/>
  <c r="K30" i="21"/>
  <c r="J30" i="21"/>
  <c r="G30" i="21"/>
  <c r="F30" i="21"/>
  <c r="E30" i="21"/>
  <c r="C30" i="21"/>
  <c r="O29" i="21"/>
  <c r="N29" i="21"/>
  <c r="L29" i="21"/>
  <c r="J29" i="21"/>
  <c r="G29" i="21"/>
  <c r="F29" i="21"/>
  <c r="E29" i="21"/>
  <c r="C29" i="21"/>
  <c r="S29" i="21" s="1"/>
  <c r="P22" i="21"/>
  <c r="O22" i="21"/>
  <c r="N22" i="21"/>
  <c r="M22" i="21"/>
  <c r="L22" i="21"/>
  <c r="K22" i="21"/>
  <c r="J22" i="21"/>
  <c r="F22" i="21"/>
  <c r="C22" i="21"/>
  <c r="M21" i="21"/>
  <c r="L21" i="21"/>
  <c r="K21" i="21"/>
  <c r="G21" i="21"/>
  <c r="F21" i="21"/>
  <c r="E21" i="21"/>
  <c r="C21" i="21"/>
  <c r="M20" i="21"/>
  <c r="L20" i="21"/>
  <c r="K20" i="21"/>
  <c r="J20" i="21"/>
  <c r="G20" i="21"/>
  <c r="E20" i="21"/>
  <c r="C20" i="21"/>
  <c r="M19" i="21"/>
  <c r="L19" i="21"/>
  <c r="K19" i="21"/>
  <c r="J19" i="21"/>
  <c r="G19" i="21"/>
  <c r="F19" i="21"/>
  <c r="E19" i="21"/>
  <c r="C19" i="21"/>
  <c r="P18" i="21"/>
  <c r="O18" i="21"/>
  <c r="N18" i="21"/>
  <c r="M18" i="21"/>
  <c r="L18" i="21"/>
  <c r="K18" i="21"/>
  <c r="J18" i="21"/>
  <c r="G18" i="21"/>
  <c r="F18" i="21"/>
  <c r="E18" i="21"/>
  <c r="C18" i="21"/>
  <c r="O15" i="21"/>
  <c r="L15" i="21"/>
  <c r="O12" i="21"/>
  <c r="N12" i="21"/>
  <c r="M12" i="21"/>
  <c r="L12" i="21"/>
  <c r="K12" i="21"/>
  <c r="J12" i="21"/>
  <c r="F12" i="21"/>
  <c r="C12" i="21"/>
  <c r="P11" i="21"/>
  <c r="O11" i="21"/>
  <c r="N11" i="21"/>
  <c r="M11" i="21"/>
  <c r="L11" i="21"/>
  <c r="K11" i="21"/>
  <c r="J11" i="21"/>
  <c r="G11" i="21"/>
  <c r="F11" i="21"/>
  <c r="E11" i="21"/>
  <c r="C11" i="21"/>
  <c r="O10" i="21"/>
  <c r="N10" i="21"/>
  <c r="M10" i="21"/>
  <c r="L10" i="21"/>
  <c r="K10" i="21"/>
  <c r="J10" i="21"/>
  <c r="G10" i="21"/>
  <c r="F10" i="21"/>
  <c r="E10" i="21"/>
  <c r="C10" i="21"/>
  <c r="O9" i="21"/>
  <c r="N9" i="21"/>
  <c r="M9" i="21"/>
  <c r="L9" i="21"/>
  <c r="K9" i="21"/>
  <c r="G9" i="21"/>
  <c r="F9" i="21"/>
  <c r="E9" i="21"/>
  <c r="C9" i="21"/>
  <c r="P8" i="21"/>
  <c r="O8" i="21"/>
  <c r="N8" i="21"/>
  <c r="M8" i="21"/>
  <c r="L8" i="21"/>
  <c r="K8" i="21"/>
  <c r="J8" i="21"/>
  <c r="G8" i="21"/>
  <c r="F8" i="21"/>
  <c r="E8" i="21"/>
  <c r="C8" i="21"/>
  <c r="P7" i="21"/>
  <c r="O7" i="21"/>
  <c r="N7" i="21"/>
  <c r="M7" i="21"/>
  <c r="L7" i="21"/>
  <c r="K7" i="21"/>
  <c r="J7" i="21"/>
  <c r="G7" i="21"/>
  <c r="E7" i="21"/>
  <c r="C7" i="21"/>
  <c r="P6" i="21"/>
  <c r="O6" i="21"/>
  <c r="N6" i="21"/>
  <c r="M6" i="21"/>
  <c r="L6" i="21"/>
  <c r="K6" i="21"/>
  <c r="J6" i="21"/>
  <c r="G6" i="21"/>
  <c r="F6" i="21"/>
  <c r="E6" i="21"/>
  <c r="O40" i="20"/>
  <c r="M40" i="20"/>
  <c r="L40" i="20"/>
  <c r="N39" i="20"/>
  <c r="M39" i="20"/>
  <c r="L39" i="20"/>
  <c r="K39" i="20"/>
  <c r="J39" i="20"/>
  <c r="G39" i="20"/>
  <c r="F39" i="20"/>
  <c r="E39" i="20"/>
  <c r="C39" i="20"/>
  <c r="O31" i="20"/>
  <c r="M31" i="20"/>
  <c r="E31" i="20"/>
  <c r="O30" i="20"/>
  <c r="N30" i="20"/>
  <c r="M30" i="20"/>
  <c r="L30" i="20"/>
  <c r="K30" i="20"/>
  <c r="J30" i="20"/>
  <c r="G30" i="20"/>
  <c r="F30" i="20"/>
  <c r="E30" i="20"/>
  <c r="C30" i="20"/>
  <c r="P23" i="20"/>
  <c r="O23" i="20"/>
  <c r="N23" i="20"/>
  <c r="M23" i="20"/>
  <c r="K23" i="20"/>
  <c r="J23" i="20"/>
  <c r="F23" i="20"/>
  <c r="C23" i="20"/>
  <c r="P22" i="20"/>
  <c r="O22" i="20"/>
  <c r="N22" i="20"/>
  <c r="M22" i="20"/>
  <c r="L22" i="20"/>
  <c r="K22" i="20"/>
  <c r="G22" i="20"/>
  <c r="F22" i="20"/>
  <c r="E22" i="20"/>
  <c r="C22" i="20"/>
  <c r="P21" i="20"/>
  <c r="O21" i="20"/>
  <c r="N21" i="20"/>
  <c r="M21" i="20"/>
  <c r="L21" i="20"/>
  <c r="K21" i="20"/>
  <c r="J21" i="20"/>
  <c r="G21" i="20"/>
  <c r="E21" i="20"/>
  <c r="C21" i="20"/>
  <c r="P20" i="20"/>
  <c r="O20" i="20"/>
  <c r="N20" i="20"/>
  <c r="M20" i="20"/>
  <c r="L20" i="20"/>
  <c r="K20" i="20"/>
  <c r="J20" i="20"/>
  <c r="G20" i="20"/>
  <c r="F20" i="20"/>
  <c r="E20" i="20"/>
  <c r="C20" i="20"/>
  <c r="P19" i="20"/>
  <c r="O19" i="20"/>
  <c r="N19" i="20"/>
  <c r="M19" i="20"/>
  <c r="L19" i="20"/>
  <c r="K19" i="20"/>
  <c r="J19" i="20"/>
  <c r="G19" i="20"/>
  <c r="F19" i="20"/>
  <c r="E19" i="20"/>
  <c r="C19" i="20"/>
  <c r="O12" i="20"/>
  <c r="N12" i="20"/>
  <c r="M12" i="20"/>
  <c r="L12" i="20"/>
  <c r="K12" i="20"/>
  <c r="J12" i="20"/>
  <c r="F12" i="20"/>
  <c r="C12" i="20"/>
  <c r="P11" i="20"/>
  <c r="O11" i="20"/>
  <c r="N11" i="20"/>
  <c r="M11" i="20"/>
  <c r="L11" i="20"/>
  <c r="K11" i="20"/>
  <c r="J11" i="20"/>
  <c r="G11" i="20"/>
  <c r="F11" i="20"/>
  <c r="E11" i="20"/>
  <c r="C11" i="20"/>
  <c r="P10" i="20"/>
  <c r="O10" i="20"/>
  <c r="N10" i="20"/>
  <c r="M10" i="20"/>
  <c r="L10" i="20"/>
  <c r="K10" i="20"/>
  <c r="J10" i="20"/>
  <c r="G10" i="20"/>
  <c r="F10" i="20"/>
  <c r="E10" i="20"/>
  <c r="C10" i="20"/>
  <c r="P9" i="20"/>
  <c r="O9" i="20"/>
  <c r="N9" i="20"/>
  <c r="M9" i="20"/>
  <c r="L9" i="20"/>
  <c r="K9" i="20"/>
  <c r="G9" i="20"/>
  <c r="F9" i="20"/>
  <c r="E9" i="20"/>
  <c r="C9" i="20"/>
  <c r="P8" i="20"/>
  <c r="O8" i="20"/>
  <c r="N8" i="20"/>
  <c r="M8" i="20"/>
  <c r="L8" i="20"/>
  <c r="K8" i="20"/>
  <c r="J8" i="20"/>
  <c r="G8" i="20"/>
  <c r="F8" i="20"/>
  <c r="E8" i="20"/>
  <c r="C8" i="20"/>
  <c r="P7" i="20"/>
  <c r="O7" i="20"/>
  <c r="N7" i="20"/>
  <c r="M7" i="20"/>
  <c r="L7" i="20"/>
  <c r="K7" i="20"/>
  <c r="J7" i="20"/>
  <c r="G7" i="20"/>
  <c r="E7" i="20"/>
  <c r="C7" i="20"/>
  <c r="P6" i="20"/>
  <c r="O6" i="20"/>
  <c r="N6" i="20"/>
  <c r="M6" i="20"/>
  <c r="L6" i="20"/>
  <c r="K6" i="20"/>
  <c r="J6" i="20"/>
  <c r="G6" i="20"/>
  <c r="F6" i="20"/>
  <c r="E6" i="20"/>
  <c r="C6" i="20"/>
  <c r="N176" i="19"/>
  <c r="R176" i="19" s="1" a="1"/>
  <c r="R176" i="19" s="1"/>
  <c r="N175" i="19"/>
  <c r="R175" i="19" s="1" a="1"/>
  <c r="R175" i="19" s="1"/>
  <c r="N168" i="19"/>
  <c r="R168" i="19" s="1" a="1"/>
  <c r="R168" i="19" s="1"/>
  <c r="N167" i="19"/>
  <c r="R167" i="19" s="1" a="1"/>
  <c r="R167" i="19" s="1"/>
  <c r="C159" i="19"/>
  <c r="R159" i="19" s="1" a="1"/>
  <c r="R159" i="19" s="1"/>
  <c r="C158" i="19"/>
  <c r="R158" i="19" s="1" a="1"/>
  <c r="R158" i="19" s="1"/>
  <c r="C151" i="19"/>
  <c r="R151" i="19" s="1" a="1"/>
  <c r="R151" i="19" s="1"/>
  <c r="C150" i="19"/>
  <c r="R150" i="19" s="1" a="1"/>
  <c r="R150" i="19" s="1"/>
  <c r="O142" i="19"/>
  <c r="N142" i="19"/>
  <c r="M142" i="19"/>
  <c r="L142" i="19"/>
  <c r="K142" i="19"/>
  <c r="J142" i="19"/>
  <c r="F142" i="19"/>
  <c r="E142" i="19"/>
  <c r="C142" i="19"/>
  <c r="O141" i="19"/>
  <c r="N141" i="19"/>
  <c r="M141" i="19"/>
  <c r="L141" i="19"/>
  <c r="K141" i="19"/>
  <c r="J141" i="19"/>
  <c r="G141" i="19"/>
  <c r="F141" i="19"/>
  <c r="E141" i="19"/>
  <c r="C141" i="19"/>
  <c r="L134" i="19"/>
  <c r="C134" i="19"/>
  <c r="L133" i="19"/>
  <c r="G133" i="19"/>
  <c r="C133" i="19"/>
  <c r="G125" i="19"/>
  <c r="C125" i="19"/>
  <c r="C127" i="19" s="1"/>
  <c r="C117" i="19"/>
  <c r="G116" i="19"/>
  <c r="C116" i="19"/>
  <c r="C108" i="19"/>
  <c r="R108" i="19" s="1" a="1"/>
  <c r="R108" i="19" s="1"/>
  <c r="C107" i="19"/>
  <c r="R107" i="19" s="1" a="1"/>
  <c r="R107" i="19" s="1"/>
  <c r="C100" i="19"/>
  <c r="R100" i="19" s="1" a="1"/>
  <c r="R100" i="19" s="1"/>
  <c r="C99" i="19"/>
  <c r="R99" i="19" s="1" a="1"/>
  <c r="R99" i="19" s="1"/>
  <c r="C92" i="19"/>
  <c r="R92" i="19" s="1" a="1"/>
  <c r="R92" i="19" s="1"/>
  <c r="C91" i="19"/>
  <c r="R91" i="19" s="1" a="1"/>
  <c r="R91" i="19" s="1"/>
  <c r="C84" i="19"/>
  <c r="R84" i="19" s="1" a="1"/>
  <c r="R84" i="19" s="1"/>
  <c r="C83" i="19"/>
  <c r="R83" i="19" s="1" a="1"/>
  <c r="R83" i="19" s="1"/>
  <c r="M75" i="19"/>
  <c r="L75" i="19"/>
  <c r="K75" i="19"/>
  <c r="J75" i="19"/>
  <c r="F75" i="19"/>
  <c r="E75" i="19"/>
  <c r="C75" i="19"/>
  <c r="O74" i="19"/>
  <c r="N74" i="19"/>
  <c r="M74" i="19"/>
  <c r="L74" i="19"/>
  <c r="K74" i="19"/>
  <c r="J74" i="19"/>
  <c r="G74" i="19"/>
  <c r="F74" i="19"/>
  <c r="E74" i="19"/>
  <c r="C74" i="19"/>
  <c r="P67" i="19"/>
  <c r="O67" i="19"/>
  <c r="N67" i="19"/>
  <c r="M67" i="19"/>
  <c r="L67" i="19"/>
  <c r="K67" i="19"/>
  <c r="J67" i="19"/>
  <c r="F67" i="19"/>
  <c r="E67" i="19"/>
  <c r="C67" i="19"/>
  <c r="P66" i="19"/>
  <c r="O66" i="19"/>
  <c r="N66" i="19"/>
  <c r="M66" i="19"/>
  <c r="L66" i="19"/>
  <c r="K66" i="19"/>
  <c r="J66" i="19"/>
  <c r="G66" i="19"/>
  <c r="F66" i="19"/>
  <c r="E66" i="19"/>
  <c r="C66" i="19"/>
  <c r="L63" i="19"/>
  <c r="G63" i="19"/>
  <c r="O58" i="19"/>
  <c r="N58" i="19"/>
  <c r="M58" i="19"/>
  <c r="L58" i="19"/>
  <c r="K58" i="19"/>
  <c r="J58" i="19"/>
  <c r="G58" i="19"/>
  <c r="F58" i="19"/>
  <c r="E58" i="19"/>
  <c r="C58" i="19"/>
  <c r="O57" i="19"/>
  <c r="N57" i="19"/>
  <c r="M57" i="19"/>
  <c r="L57" i="19"/>
  <c r="K57" i="19"/>
  <c r="J57" i="19"/>
  <c r="G57" i="19"/>
  <c r="F57" i="19"/>
  <c r="E57" i="19"/>
  <c r="C57" i="19"/>
  <c r="M49" i="19"/>
  <c r="L49" i="19"/>
  <c r="K49" i="19"/>
  <c r="J49" i="19"/>
  <c r="G49" i="19"/>
  <c r="F49" i="19"/>
  <c r="E49" i="19"/>
  <c r="C49" i="19"/>
  <c r="M48" i="19"/>
  <c r="L48" i="19"/>
  <c r="K48" i="19"/>
  <c r="J48" i="19"/>
  <c r="G48" i="19"/>
  <c r="F48" i="19"/>
  <c r="E48" i="19"/>
  <c r="C48" i="19"/>
  <c r="C41" i="19"/>
  <c r="R41" i="19" s="1" a="1"/>
  <c r="R41" i="19" s="1"/>
  <c r="G39" i="19"/>
  <c r="C39" i="19"/>
  <c r="G38" i="19"/>
  <c r="C38" i="19"/>
  <c r="M35" i="19"/>
  <c r="K35" i="19"/>
  <c r="G35" i="19"/>
  <c r="F35" i="19"/>
  <c r="G33" i="19"/>
  <c r="G32" i="19"/>
  <c r="C32" i="19"/>
  <c r="M31" i="19"/>
  <c r="L31" i="19"/>
  <c r="K31" i="19"/>
  <c r="J31" i="19"/>
  <c r="G31" i="19"/>
  <c r="F31" i="19"/>
  <c r="E31" i="19"/>
  <c r="C31" i="19"/>
  <c r="M30" i="19"/>
  <c r="K30" i="19"/>
  <c r="F30" i="19"/>
  <c r="C30" i="19"/>
  <c r="M29" i="19"/>
  <c r="K29" i="19"/>
  <c r="F29" i="19"/>
  <c r="C29" i="19"/>
  <c r="P25" i="19"/>
  <c r="O25" i="19"/>
  <c r="N25" i="19"/>
  <c r="M25" i="19"/>
  <c r="L25" i="19"/>
  <c r="K25" i="19"/>
  <c r="J25" i="19"/>
  <c r="F25" i="19"/>
  <c r="C25" i="19"/>
  <c r="P24" i="19"/>
  <c r="O24" i="19"/>
  <c r="N24" i="19"/>
  <c r="M24" i="19"/>
  <c r="L24" i="19"/>
  <c r="K24" i="19"/>
  <c r="G24" i="19"/>
  <c r="F24" i="19"/>
  <c r="E24" i="19"/>
  <c r="C24" i="19"/>
  <c r="P23" i="19"/>
  <c r="O23" i="19"/>
  <c r="N23" i="19"/>
  <c r="M23" i="19"/>
  <c r="L23" i="19"/>
  <c r="K23" i="19"/>
  <c r="J23" i="19"/>
  <c r="G23" i="19"/>
  <c r="E23" i="19"/>
  <c r="C23" i="19"/>
  <c r="P22" i="19"/>
  <c r="O22" i="19"/>
  <c r="N22" i="19"/>
  <c r="M22" i="19"/>
  <c r="L22" i="19"/>
  <c r="K22" i="19"/>
  <c r="J22" i="19"/>
  <c r="G22" i="19"/>
  <c r="F22" i="19"/>
  <c r="E22" i="19"/>
  <c r="C22" i="19"/>
  <c r="P21" i="19"/>
  <c r="O21" i="19"/>
  <c r="N21" i="19"/>
  <c r="M21" i="19"/>
  <c r="L21" i="19"/>
  <c r="K21" i="19"/>
  <c r="J21" i="19"/>
  <c r="G21" i="19"/>
  <c r="F21" i="19"/>
  <c r="E21" i="19"/>
  <c r="C21" i="19"/>
  <c r="P17" i="19"/>
  <c r="O17" i="19"/>
  <c r="N17" i="19"/>
  <c r="M17" i="19"/>
  <c r="L17" i="19"/>
  <c r="K17" i="19"/>
  <c r="J17" i="19"/>
  <c r="G17" i="19"/>
  <c r="F17" i="19"/>
  <c r="E17" i="19"/>
  <c r="C17" i="19"/>
  <c r="P16" i="19"/>
  <c r="O16" i="19"/>
  <c r="M16" i="19"/>
  <c r="L16" i="19"/>
  <c r="K16" i="19"/>
  <c r="J16" i="19"/>
  <c r="G16" i="19"/>
  <c r="F16" i="19"/>
  <c r="E16" i="19"/>
  <c r="C16" i="19"/>
  <c r="P15" i="19"/>
  <c r="O15" i="19"/>
  <c r="N15" i="19"/>
  <c r="M15" i="19"/>
  <c r="L15" i="19"/>
  <c r="K15" i="19"/>
  <c r="J15" i="19"/>
  <c r="F15" i="19"/>
  <c r="C15" i="19"/>
  <c r="O12" i="19"/>
  <c r="N12" i="19"/>
  <c r="L12" i="19"/>
  <c r="K12" i="19"/>
  <c r="J12" i="19"/>
  <c r="F12" i="19"/>
  <c r="C12" i="19"/>
  <c r="P11" i="19"/>
  <c r="O11" i="19"/>
  <c r="N11" i="19"/>
  <c r="M11" i="19"/>
  <c r="L11" i="19"/>
  <c r="K11" i="19"/>
  <c r="J11" i="19"/>
  <c r="G11" i="19"/>
  <c r="F11" i="19"/>
  <c r="E11" i="19"/>
  <c r="C11" i="19"/>
  <c r="P10" i="19"/>
  <c r="O10" i="19"/>
  <c r="N10" i="19"/>
  <c r="M10" i="19"/>
  <c r="L10" i="19"/>
  <c r="K10" i="19"/>
  <c r="J10" i="19"/>
  <c r="G10" i="19"/>
  <c r="F10" i="19"/>
  <c r="E10" i="19"/>
  <c r="C10" i="19"/>
  <c r="P9" i="19"/>
  <c r="O9" i="19"/>
  <c r="N9" i="19"/>
  <c r="M9" i="19"/>
  <c r="L9" i="19"/>
  <c r="K9" i="19"/>
  <c r="G9" i="19"/>
  <c r="F9" i="19"/>
  <c r="E9" i="19"/>
  <c r="C9" i="19"/>
  <c r="P8" i="19"/>
  <c r="O8" i="19"/>
  <c r="N8" i="19"/>
  <c r="M8" i="19"/>
  <c r="L8" i="19"/>
  <c r="K8" i="19"/>
  <c r="J8" i="19"/>
  <c r="G8" i="19"/>
  <c r="F8" i="19"/>
  <c r="E8" i="19"/>
  <c r="C8" i="19"/>
  <c r="P7" i="19"/>
  <c r="O7" i="19"/>
  <c r="N7" i="19"/>
  <c r="M7" i="19"/>
  <c r="L7" i="19"/>
  <c r="K7" i="19"/>
  <c r="J7" i="19"/>
  <c r="G7" i="19"/>
  <c r="E7" i="19"/>
  <c r="C7" i="19"/>
  <c r="P6" i="19"/>
  <c r="O6" i="19"/>
  <c r="N6" i="19"/>
  <c r="M6" i="19"/>
  <c r="L6" i="19"/>
  <c r="K6" i="19"/>
  <c r="J6" i="19"/>
  <c r="G6" i="19"/>
  <c r="F6" i="19"/>
  <c r="E6" i="19"/>
  <c r="C6" i="19"/>
  <c r="C87" i="8"/>
  <c r="E78" i="8"/>
  <c r="G36" i="8"/>
  <c r="G30" i="8"/>
  <c r="P36" i="8"/>
  <c r="O36" i="8"/>
  <c r="N36" i="8"/>
  <c r="M36" i="8"/>
  <c r="L36" i="8"/>
  <c r="K36" i="8"/>
  <c r="J36" i="8"/>
  <c r="F36" i="8"/>
  <c r="E36" i="8"/>
  <c r="F21" i="20"/>
  <c r="P18" i="8"/>
  <c r="O18" i="8"/>
  <c r="M18" i="8"/>
  <c r="L18" i="8"/>
  <c r="K18" i="8"/>
  <c r="J18" i="8"/>
  <c r="G18" i="8"/>
  <c r="F18" i="8"/>
  <c r="E18" i="8"/>
  <c r="C18" i="8"/>
  <c r="O10" i="8"/>
  <c r="N10" i="8"/>
  <c r="M10" i="8"/>
  <c r="L10" i="8"/>
  <c r="J10" i="8"/>
  <c r="F10" i="8"/>
  <c r="E10" i="8"/>
  <c r="C10" i="8"/>
  <c r="K10" i="8"/>
  <c r="E40" i="20"/>
  <c r="E41" i="21"/>
  <c r="N18" i="8"/>
  <c r="N209" i="8"/>
  <c r="R209" i="8" s="1" a="1"/>
  <c r="R209" i="8" s="1"/>
  <c r="G142" i="19"/>
  <c r="G126" i="19"/>
  <c r="G40" i="20"/>
  <c r="C40" i="20"/>
  <c r="P41" i="21"/>
  <c r="N41" i="21"/>
  <c r="M41" i="21"/>
  <c r="L41" i="21"/>
  <c r="K41" i="21"/>
  <c r="J41" i="21"/>
  <c r="G41" i="21"/>
  <c r="F41" i="21"/>
  <c r="C41" i="21"/>
  <c r="G134" i="19"/>
  <c r="G117" i="19"/>
  <c r="G67" i="19"/>
  <c r="N40" i="20"/>
  <c r="K40" i="20"/>
  <c r="F40" i="20"/>
  <c r="N31" i="20"/>
  <c r="L31" i="20"/>
  <c r="K31" i="20"/>
  <c r="J31" i="20"/>
  <c r="G31" i="20"/>
  <c r="F31" i="20"/>
  <c r="C31" i="20"/>
  <c r="R36" i="8" l="1" a="1"/>
  <c r="R36" i="8" s="1"/>
  <c r="G26" i="19"/>
  <c r="R22" i="19" a="1"/>
  <c r="R22" i="19" s="1"/>
  <c r="R133" i="19" a="1"/>
  <c r="R133" i="19" s="1"/>
  <c r="R12" i="21" a="1"/>
  <c r="R12" i="21" s="1"/>
  <c r="R10" i="19" a="1"/>
  <c r="R10" i="19" s="1"/>
  <c r="R18" i="21" a="1"/>
  <c r="R18" i="21" s="1"/>
  <c r="E41" i="20"/>
  <c r="R6" i="20" a="1"/>
  <c r="R6" i="20" s="1"/>
  <c r="R12" i="20" a="1"/>
  <c r="R12" i="20" s="1"/>
  <c r="R19" i="20" a="1"/>
  <c r="R19" i="20" s="1"/>
  <c r="R6" i="19" a="1"/>
  <c r="R6" i="19" s="1"/>
  <c r="R17" i="19" a="1"/>
  <c r="R17" i="19" s="1"/>
  <c r="R58" i="19" a="1"/>
  <c r="R58" i="19" s="1"/>
  <c r="R66" i="19" a="1"/>
  <c r="R66" i="19" s="1"/>
  <c r="R39" i="20" a="1"/>
  <c r="R39" i="20" s="1"/>
  <c r="R6" i="21" a="1"/>
  <c r="R6" i="21" s="1"/>
  <c r="R48" i="19" a="1"/>
  <c r="R48" i="19" s="1"/>
  <c r="R49" i="19" a="1"/>
  <c r="R49" i="19" s="1"/>
  <c r="R57" i="19" a="1"/>
  <c r="R57" i="19" s="1"/>
  <c r="R116" i="19" a="1"/>
  <c r="R116" i="19" s="1"/>
  <c r="R12" i="19" a="1"/>
  <c r="R12" i="19" s="1"/>
  <c r="R10" i="20" a="1"/>
  <c r="R10" i="20" s="1"/>
  <c r="R30" i="21" a="1"/>
  <c r="R30" i="21" s="1"/>
  <c r="R39" i="21" a="1"/>
  <c r="R39" i="21" s="1"/>
  <c r="R31" i="20" a="1"/>
  <c r="R31" i="20" s="1"/>
  <c r="R117" i="19" a="1"/>
  <c r="R117" i="19" s="1"/>
  <c r="R21" i="20" a="1"/>
  <c r="R21" i="20" s="1"/>
  <c r="R41" i="21" a="1"/>
  <c r="R41" i="21" s="1"/>
  <c r="R18" i="8" a="1"/>
  <c r="R18" i="8" s="1"/>
  <c r="R8" i="19" a="1"/>
  <c r="R8" i="19" s="1"/>
  <c r="R11" i="19" a="1"/>
  <c r="R11" i="19" s="1"/>
  <c r="R21" i="19" a="1"/>
  <c r="R21" i="19" s="1"/>
  <c r="R35" i="19" a="1"/>
  <c r="R35" i="19" s="1"/>
  <c r="R38" i="19" a="1"/>
  <c r="R38" i="19" s="1"/>
  <c r="R39" i="19" a="1"/>
  <c r="R39" i="19" s="1"/>
  <c r="R67" i="19" a="1"/>
  <c r="R67" i="19" s="1"/>
  <c r="R74" i="19" a="1"/>
  <c r="R74" i="19" s="1"/>
  <c r="R125" i="19" a="1"/>
  <c r="R125" i="19" s="1"/>
  <c r="R126" i="19" a="1"/>
  <c r="R126" i="19" s="1"/>
  <c r="R134" i="19" a="1"/>
  <c r="R134" i="19" s="1"/>
  <c r="R141" i="19" a="1"/>
  <c r="R141" i="19" s="1"/>
  <c r="R142" i="19" a="1"/>
  <c r="R142" i="19" s="1"/>
  <c r="R8" i="20" a="1"/>
  <c r="R8" i="20" s="1"/>
  <c r="R11" i="20" a="1"/>
  <c r="R11" i="20" s="1"/>
  <c r="R20" i="20" a="1"/>
  <c r="R20" i="20" s="1"/>
  <c r="R30" i="20" a="1"/>
  <c r="R30" i="20" s="1"/>
  <c r="R8" i="21" a="1"/>
  <c r="R8" i="21" s="1"/>
  <c r="R10" i="21" a="1"/>
  <c r="R10" i="21" s="1"/>
  <c r="R11" i="21" a="1"/>
  <c r="R11" i="21" s="1"/>
  <c r="R19" i="21" a="1"/>
  <c r="R19" i="21" s="1"/>
  <c r="R40" i="21" a="1"/>
  <c r="R40" i="21" s="1"/>
  <c r="R45" i="8" a="1"/>
  <c r="R45" i="8" s="1"/>
  <c r="N26" i="19"/>
  <c r="P26" i="19"/>
  <c r="O24" i="20"/>
  <c r="M23" i="21"/>
  <c r="O23" i="21"/>
  <c r="O32" i="20"/>
  <c r="O26" i="19"/>
  <c r="N23" i="21"/>
  <c r="P23" i="21"/>
  <c r="N24" i="20"/>
  <c r="P24" i="20"/>
  <c r="M138" i="19"/>
  <c r="M143" i="19"/>
  <c r="I83" i="8"/>
  <c r="I84" i="8" s="1"/>
  <c r="I18" i="9" s="1"/>
  <c r="N16" i="19"/>
  <c r="R16" i="19" s="1" a="1"/>
  <c r="R16" i="19" s="1"/>
  <c r="H74" i="8"/>
  <c r="H75" i="8" s="1"/>
  <c r="H14" i="9" s="1"/>
  <c r="F23" i="19"/>
  <c r="F26" i="19" s="1"/>
  <c r="F20" i="21"/>
  <c r="R20" i="21" s="1" a="1"/>
  <c r="R20" i="21" s="1"/>
  <c r="I54" i="8"/>
  <c r="I64" i="8"/>
  <c r="I9" i="9" s="1"/>
  <c r="H54" i="8"/>
  <c r="H35" i="21"/>
  <c r="H36" i="21" s="1"/>
  <c r="H83" i="8"/>
  <c r="H84" i="8" s="1"/>
  <c r="H18" i="9" s="1"/>
  <c r="H64" i="8"/>
  <c r="H9" i="9" s="1"/>
  <c r="H45" i="21"/>
  <c r="H46" i="21" s="1"/>
  <c r="I74" i="8"/>
  <c r="I13" i="9" s="1"/>
  <c r="I45" i="21"/>
  <c r="I46" i="21" s="1"/>
  <c r="I35" i="21"/>
  <c r="I36" i="21" s="1"/>
  <c r="I44" i="20"/>
  <c r="I45" i="20" s="1"/>
  <c r="I35" i="20"/>
  <c r="I36" i="20" s="1"/>
  <c r="H35" i="20"/>
  <c r="H36" i="20" s="1"/>
  <c r="H44" i="20"/>
  <c r="H45" i="20" s="1"/>
  <c r="C50" i="19"/>
  <c r="G118" i="19"/>
  <c r="G127" i="19"/>
  <c r="G130" i="19" s="1"/>
  <c r="G143" i="19"/>
  <c r="F50" i="19"/>
  <c r="L68" i="19"/>
  <c r="G135" i="19"/>
  <c r="G138" i="19" s="1"/>
  <c r="F59" i="19"/>
  <c r="L59" i="19"/>
  <c r="F76" i="19"/>
  <c r="L76" i="19"/>
  <c r="C118" i="19"/>
  <c r="C135" i="19"/>
  <c r="L26" i="19"/>
  <c r="G13" i="20"/>
  <c r="M13" i="20"/>
  <c r="J32" i="20"/>
  <c r="N32" i="20"/>
  <c r="C41" i="20"/>
  <c r="N41" i="20"/>
  <c r="K32" i="20"/>
  <c r="E26" i="19"/>
  <c r="K26" i="19"/>
  <c r="M26" i="19"/>
  <c r="M50" i="19"/>
  <c r="E59" i="19"/>
  <c r="K59" i="19"/>
  <c r="M68" i="19"/>
  <c r="M71" i="19" s="1"/>
  <c r="J68" i="19"/>
  <c r="J71" i="19" s="1"/>
  <c r="E76" i="19"/>
  <c r="K76" i="19"/>
  <c r="L135" i="19"/>
  <c r="L138" i="19" s="1"/>
  <c r="C143" i="19"/>
  <c r="C76" i="19"/>
  <c r="J76" i="19"/>
  <c r="J79" i="19" s="1"/>
  <c r="E50" i="19"/>
  <c r="L13" i="19"/>
  <c r="P13" i="19"/>
  <c r="J59" i="19"/>
  <c r="G68" i="19"/>
  <c r="C13" i="19"/>
  <c r="N13" i="19"/>
  <c r="G59" i="19"/>
  <c r="M59" i="19"/>
  <c r="E68" i="19"/>
  <c r="M76" i="19"/>
  <c r="M79" i="19" s="1"/>
  <c r="M13" i="19"/>
  <c r="E13" i="19"/>
  <c r="K13" i="19"/>
  <c r="O13" i="19"/>
  <c r="C68" i="19"/>
  <c r="L143" i="19"/>
  <c r="G32" i="20"/>
  <c r="M32" i="20"/>
  <c r="E32" i="20"/>
  <c r="G41" i="20"/>
  <c r="M41" i="20"/>
  <c r="L24" i="20"/>
  <c r="E13" i="20"/>
  <c r="K13" i="20"/>
  <c r="C13" i="20"/>
  <c r="N13" i="20"/>
  <c r="L13" i="20"/>
  <c r="P13" i="20"/>
  <c r="K24" i="20"/>
  <c r="F24" i="20"/>
  <c r="O13" i="20"/>
  <c r="E24" i="20"/>
  <c r="F41" i="20"/>
  <c r="L41" i="20"/>
  <c r="G24" i="20"/>
  <c r="M24" i="20"/>
  <c r="L32" i="20"/>
  <c r="K41" i="20"/>
  <c r="O41" i="20"/>
  <c r="C42" i="21"/>
  <c r="J42" i="21"/>
  <c r="N42" i="21"/>
  <c r="F42" i="21"/>
  <c r="E13" i="21"/>
  <c r="K13" i="21"/>
  <c r="L42" i="21"/>
  <c r="P42" i="21"/>
  <c r="G13" i="21"/>
  <c r="M13" i="21"/>
  <c r="K42" i="21"/>
  <c r="O42" i="21"/>
  <c r="G42" i="21"/>
  <c r="M42" i="21"/>
  <c r="G23" i="21"/>
  <c r="O13" i="21"/>
  <c r="L13" i="21"/>
  <c r="P13" i="21"/>
  <c r="C13" i="21"/>
  <c r="N13" i="21"/>
  <c r="E23" i="21"/>
  <c r="K23" i="21"/>
  <c r="L23" i="21"/>
  <c r="O32" i="21"/>
  <c r="E42" i="21"/>
  <c r="C23" i="21"/>
  <c r="C32" i="20"/>
  <c r="C24" i="20"/>
  <c r="S31" i="20"/>
  <c r="F32" i="20"/>
  <c r="C26" i="19"/>
  <c r="C130" i="19" s="1"/>
  <c r="C59" i="19"/>
  <c r="C85" i="19"/>
  <c r="C93" i="19"/>
  <c r="C101" i="19"/>
  <c r="C109" i="19"/>
  <c r="C152" i="19"/>
  <c r="C160" i="19"/>
  <c r="N169" i="19"/>
  <c r="R169" i="19" s="1" a="1"/>
  <c r="R169" i="19" s="1"/>
  <c r="N177" i="19"/>
  <c r="R177" i="19" s="1" a="1"/>
  <c r="R177" i="19" s="1"/>
  <c r="G13" i="19"/>
  <c r="G5" i="8"/>
  <c r="F5" i="8"/>
  <c r="E5" i="8"/>
  <c r="N184" i="8"/>
  <c r="N183" i="8"/>
  <c r="M184" i="8"/>
  <c r="M183" i="8"/>
  <c r="O184" i="8"/>
  <c r="O183" i="8"/>
  <c r="C201" i="8"/>
  <c r="R201" i="8" s="1" a="1"/>
  <c r="R201" i="8" s="1"/>
  <c r="C200" i="8"/>
  <c r="R200" i="8" s="1" a="1"/>
  <c r="R200" i="8" s="1"/>
  <c r="C193" i="8"/>
  <c r="R193" i="8" s="1" a="1"/>
  <c r="R193" i="8" s="1"/>
  <c r="C192" i="8"/>
  <c r="R192" i="8" s="1" a="1"/>
  <c r="R192" i="8" s="1"/>
  <c r="G33" i="8"/>
  <c r="J32" i="8"/>
  <c r="G34" i="8"/>
  <c r="C33" i="8"/>
  <c r="C32" i="8"/>
  <c r="G183" i="8"/>
  <c r="G184" i="8"/>
  <c r="G40" i="8"/>
  <c r="G31" i="8"/>
  <c r="G39" i="8"/>
  <c r="G32" i="8"/>
  <c r="G75" i="19"/>
  <c r="G76" i="19" s="1"/>
  <c r="G15" i="8"/>
  <c r="P10" i="8"/>
  <c r="G10" i="8"/>
  <c r="J114" i="8"/>
  <c r="C9" i="8"/>
  <c r="C5" i="8"/>
  <c r="G167" i="8"/>
  <c r="G166" i="8"/>
  <c r="G158" i="8"/>
  <c r="G157" i="8"/>
  <c r="P6" i="8"/>
  <c r="O59" i="8"/>
  <c r="N59" i="8"/>
  <c r="N11" i="8"/>
  <c r="M59" i="8"/>
  <c r="K59" i="8"/>
  <c r="J59" i="8"/>
  <c r="C31" i="21"/>
  <c r="E8" i="8"/>
  <c r="O58" i="8"/>
  <c r="L58" i="8"/>
  <c r="J58" i="8"/>
  <c r="G58" i="8"/>
  <c r="F58" i="8"/>
  <c r="E58" i="8"/>
  <c r="E9" i="8"/>
  <c r="L14" i="8"/>
  <c r="C59" i="8"/>
  <c r="E59" i="8"/>
  <c r="E7" i="8"/>
  <c r="E79" i="8"/>
  <c r="E80" i="8" s="1"/>
  <c r="E22" i="8"/>
  <c r="E23" i="8"/>
  <c r="E24" i="8"/>
  <c r="E25" i="8"/>
  <c r="G175" i="8"/>
  <c r="G176" i="8"/>
  <c r="N217" i="8"/>
  <c r="R217" i="8" s="1" a="1"/>
  <c r="R217" i="8" s="1"/>
  <c r="N218" i="8"/>
  <c r="R218" i="8" s="1" a="1"/>
  <c r="R218" i="8" s="1"/>
  <c r="N5" i="8"/>
  <c r="N6" i="8"/>
  <c r="N8" i="8"/>
  <c r="N9" i="8"/>
  <c r="N210" i="8"/>
  <c r="R210" i="8" s="1" a="1"/>
  <c r="R210" i="8" s="1"/>
  <c r="M114" i="8"/>
  <c r="M115" i="8"/>
  <c r="M32" i="8"/>
  <c r="M106" i="8"/>
  <c r="M107" i="8"/>
  <c r="M30" i="8"/>
  <c r="C106" i="8"/>
  <c r="C107" i="8"/>
  <c r="C30" i="8"/>
  <c r="E106" i="8"/>
  <c r="E107" i="8"/>
  <c r="E30" i="8"/>
  <c r="G106" i="8"/>
  <c r="G107" i="8"/>
  <c r="L106" i="8"/>
  <c r="L107" i="8"/>
  <c r="L32" i="8"/>
  <c r="C42" i="8"/>
  <c r="R42" i="8" s="1" a="1"/>
  <c r="R42" i="8" s="1"/>
  <c r="L183" i="8"/>
  <c r="L184" i="8"/>
  <c r="L19" i="8"/>
  <c r="C183" i="8"/>
  <c r="C184" i="8"/>
  <c r="C40" i="8"/>
  <c r="G19" i="8"/>
  <c r="L175" i="8"/>
  <c r="L176" i="8"/>
  <c r="C175" i="8"/>
  <c r="C176" i="8"/>
  <c r="C39" i="8"/>
  <c r="C19" i="8"/>
  <c r="C166" i="8"/>
  <c r="C167" i="8"/>
  <c r="C157" i="8"/>
  <c r="C158" i="8"/>
  <c r="C148" i="8"/>
  <c r="R148" i="8" s="1" a="1"/>
  <c r="R148" i="8" s="1"/>
  <c r="C149" i="8"/>
  <c r="R149" i="8" s="1" a="1"/>
  <c r="R149" i="8" s="1"/>
  <c r="C31" i="8"/>
  <c r="C131" i="8"/>
  <c r="R131" i="8" s="1" a="1"/>
  <c r="R131" i="8" s="1"/>
  <c r="C132" i="8"/>
  <c r="R132" i="8" s="1" a="1"/>
  <c r="R132" i="8" s="1"/>
  <c r="C123" i="8"/>
  <c r="R123" i="8" s="1" a="1"/>
  <c r="R123" i="8" s="1"/>
  <c r="C124" i="8"/>
  <c r="R124" i="8" s="1" a="1"/>
  <c r="R124" i="8" s="1"/>
  <c r="C114" i="8"/>
  <c r="C115" i="8"/>
  <c r="C6" i="8"/>
  <c r="C7" i="8"/>
  <c r="C8" i="8"/>
  <c r="C11" i="8"/>
  <c r="C17" i="8"/>
  <c r="C96" i="8"/>
  <c r="C97" i="8"/>
  <c r="C22" i="8"/>
  <c r="C23" i="8"/>
  <c r="C24" i="8"/>
  <c r="C25" i="8"/>
  <c r="C26" i="8"/>
  <c r="C88" i="8"/>
  <c r="C16" i="8"/>
  <c r="C78" i="8"/>
  <c r="C79" i="8"/>
  <c r="C15" i="8"/>
  <c r="C69" i="8"/>
  <c r="C70" i="8"/>
  <c r="C58" i="8"/>
  <c r="C49" i="8"/>
  <c r="F22" i="8"/>
  <c r="F23" i="8"/>
  <c r="F24" i="8"/>
  <c r="F25" i="8"/>
  <c r="F26" i="8"/>
  <c r="P59" i="8"/>
  <c r="P5" i="8"/>
  <c r="P7" i="8"/>
  <c r="P8" i="8"/>
  <c r="P9" i="8"/>
  <c r="P22" i="8"/>
  <c r="P23" i="8"/>
  <c r="P24" i="8"/>
  <c r="P25" i="8"/>
  <c r="O5" i="8"/>
  <c r="O6" i="8"/>
  <c r="O7" i="8"/>
  <c r="O8" i="8"/>
  <c r="O9" i="8"/>
  <c r="O14" i="8"/>
  <c r="O11" i="8"/>
  <c r="O60" i="8"/>
  <c r="O22" i="8"/>
  <c r="O23" i="8"/>
  <c r="O24" i="8"/>
  <c r="O25" i="8"/>
  <c r="M5" i="8"/>
  <c r="M7" i="8"/>
  <c r="M8" i="8"/>
  <c r="M9" i="8"/>
  <c r="M11" i="8"/>
  <c r="M22" i="8"/>
  <c r="M23" i="8"/>
  <c r="M24" i="8"/>
  <c r="M25" i="8"/>
  <c r="M26" i="8"/>
  <c r="L5" i="8"/>
  <c r="L6" i="8"/>
  <c r="L7" i="8"/>
  <c r="L8" i="8"/>
  <c r="L9" i="8"/>
  <c r="L11" i="8"/>
  <c r="L59" i="8"/>
  <c r="K5" i="8"/>
  <c r="K6" i="8"/>
  <c r="K7" i="8"/>
  <c r="K8" i="8"/>
  <c r="K9" i="8"/>
  <c r="K11" i="8"/>
  <c r="J5" i="8"/>
  <c r="J6" i="8"/>
  <c r="J7" i="8"/>
  <c r="J9" i="8"/>
  <c r="J11" i="8"/>
  <c r="J22" i="8"/>
  <c r="J23" i="8"/>
  <c r="J24" i="8"/>
  <c r="J26" i="8"/>
  <c r="G6" i="8"/>
  <c r="G7" i="8"/>
  <c r="G8" i="8"/>
  <c r="G9" i="8"/>
  <c r="G22" i="8"/>
  <c r="G23" i="8"/>
  <c r="G24" i="8"/>
  <c r="G25" i="8"/>
  <c r="F7" i="8"/>
  <c r="F8" i="8"/>
  <c r="F9" i="8"/>
  <c r="F11" i="8"/>
  <c r="M17" i="8"/>
  <c r="M96" i="8"/>
  <c r="M97" i="8"/>
  <c r="F17" i="8"/>
  <c r="F96" i="8"/>
  <c r="F97" i="8"/>
  <c r="E96" i="8"/>
  <c r="E97" i="8"/>
  <c r="M87" i="8"/>
  <c r="M88" i="8"/>
  <c r="F87" i="8"/>
  <c r="F88" i="8"/>
  <c r="E87" i="8"/>
  <c r="E88" i="8"/>
  <c r="C140" i="8"/>
  <c r="R140" i="8" s="1" a="1"/>
  <c r="R140" i="8" s="1"/>
  <c r="C141" i="8"/>
  <c r="R141" i="8" s="1" a="1"/>
  <c r="R141" i="8" s="1"/>
  <c r="E114" i="8"/>
  <c r="E115" i="8"/>
  <c r="E31" i="8"/>
  <c r="G114" i="8"/>
  <c r="L114" i="8"/>
  <c r="L115" i="8"/>
  <c r="G102" i="8"/>
  <c r="L102" i="8"/>
  <c r="F16" i="8"/>
  <c r="F78" i="8"/>
  <c r="F79" i="8"/>
  <c r="G16" i="8"/>
  <c r="G78" i="8"/>
  <c r="G79" i="8"/>
  <c r="J16" i="8"/>
  <c r="K16" i="8"/>
  <c r="K78" i="8"/>
  <c r="K79" i="8"/>
  <c r="L16" i="8"/>
  <c r="L78" i="8"/>
  <c r="L79" i="8"/>
  <c r="M16" i="8"/>
  <c r="M78" i="8"/>
  <c r="M79" i="8"/>
  <c r="N16" i="8"/>
  <c r="N78" i="8"/>
  <c r="N79" i="8"/>
  <c r="O16" i="8"/>
  <c r="O78" i="8"/>
  <c r="O79" i="8"/>
  <c r="E69" i="8"/>
  <c r="E70" i="8"/>
  <c r="F15" i="8"/>
  <c r="F69" i="8"/>
  <c r="F70" i="8"/>
  <c r="G69" i="8"/>
  <c r="G70" i="8"/>
  <c r="J15" i="8"/>
  <c r="J69" i="8"/>
  <c r="J70" i="8"/>
  <c r="K15" i="8"/>
  <c r="K69" i="8"/>
  <c r="K70" i="8"/>
  <c r="L15" i="8"/>
  <c r="L69" i="8"/>
  <c r="L70" i="8"/>
  <c r="M15" i="8"/>
  <c r="M69" i="8"/>
  <c r="M70" i="8"/>
  <c r="N15" i="8"/>
  <c r="N69" i="8"/>
  <c r="N70" i="8"/>
  <c r="O15" i="8"/>
  <c r="O69" i="8"/>
  <c r="O70" i="8"/>
  <c r="P49" i="8"/>
  <c r="O49" i="8"/>
  <c r="O50" i="8"/>
  <c r="N49" i="8"/>
  <c r="M49" i="8"/>
  <c r="L49" i="8"/>
  <c r="K49" i="8"/>
  <c r="J49" i="8"/>
  <c r="E49" i="8"/>
  <c r="K184" i="8"/>
  <c r="J184" i="8"/>
  <c r="F184" i="8"/>
  <c r="E184" i="8"/>
  <c r="E183" i="8"/>
  <c r="F183" i="8"/>
  <c r="J183" i="8"/>
  <c r="K183" i="8"/>
  <c r="F114" i="8"/>
  <c r="F115" i="8"/>
  <c r="J115" i="8"/>
  <c r="K114" i="8"/>
  <c r="K115" i="8"/>
  <c r="N114" i="8"/>
  <c r="O114" i="8"/>
  <c r="L96" i="8"/>
  <c r="L97" i="8"/>
  <c r="K96" i="8"/>
  <c r="K97" i="8"/>
  <c r="J96" i="8"/>
  <c r="J97" i="8"/>
  <c r="G96" i="8"/>
  <c r="G97" i="8"/>
  <c r="O97" i="8"/>
  <c r="N97" i="8"/>
  <c r="N96" i="8"/>
  <c r="O96" i="8"/>
  <c r="F32" i="8"/>
  <c r="E19" i="8"/>
  <c r="P15" i="8"/>
  <c r="P16" i="8"/>
  <c r="P19" i="8"/>
  <c r="O19" i="8"/>
  <c r="N19" i="8"/>
  <c r="M19" i="8"/>
  <c r="K19" i="8"/>
  <c r="J19" i="8"/>
  <c r="F19" i="8"/>
  <c r="P31" i="8"/>
  <c r="O31" i="8"/>
  <c r="N31" i="8"/>
  <c r="K31" i="8"/>
  <c r="F31" i="8"/>
  <c r="P32" i="8"/>
  <c r="O32" i="8"/>
  <c r="N32" i="8"/>
  <c r="K32" i="8"/>
  <c r="F30" i="8"/>
  <c r="K30" i="8"/>
  <c r="N30" i="8"/>
  <c r="O30" i="8"/>
  <c r="P30" i="8"/>
  <c r="P17" i="8"/>
  <c r="O17" i="8"/>
  <c r="N17" i="8"/>
  <c r="L17" i="8"/>
  <c r="K17" i="8"/>
  <c r="J17" i="8"/>
  <c r="G17" i="8"/>
  <c r="K82" i="15"/>
  <c r="K84" i="15" s="1"/>
  <c r="D98" i="15"/>
  <c r="D96" i="15"/>
  <c r="D94" i="15"/>
  <c r="D84" i="15"/>
  <c r="D75" i="15"/>
  <c r="D74" i="15"/>
  <c r="D73" i="15"/>
  <c r="D72" i="15"/>
  <c r="D71" i="15"/>
  <c r="D54" i="15"/>
  <c r="D65" i="15" s="1"/>
  <c r="D53" i="15"/>
  <c r="D64" i="15" s="1"/>
  <c r="D52" i="15"/>
  <c r="D63" i="15" s="1"/>
  <c r="D51" i="15"/>
  <c r="D62" i="15" s="1"/>
  <c r="D50" i="15"/>
  <c r="D61" i="15" s="1"/>
  <c r="D48" i="15"/>
  <c r="D59" i="15" s="1"/>
  <c r="D47" i="15"/>
  <c r="D58" i="15" s="1"/>
  <c r="D46" i="15"/>
  <c r="D57" i="15" s="1"/>
  <c r="D32" i="15"/>
  <c r="P107" i="8"/>
  <c r="O107" i="8"/>
  <c r="N107" i="8"/>
  <c r="K107" i="8"/>
  <c r="J107" i="8"/>
  <c r="F107" i="8"/>
  <c r="P106" i="8"/>
  <c r="O106" i="8"/>
  <c r="N106" i="8"/>
  <c r="K106" i="8"/>
  <c r="J106" i="8"/>
  <c r="F106" i="8"/>
  <c r="O88" i="8"/>
  <c r="N88" i="8"/>
  <c r="L88" i="8"/>
  <c r="K88" i="8"/>
  <c r="J88" i="8"/>
  <c r="G88" i="8"/>
  <c r="O87" i="8"/>
  <c r="N87" i="8"/>
  <c r="L87" i="8"/>
  <c r="K87" i="8"/>
  <c r="J87" i="8"/>
  <c r="G87" i="8"/>
  <c r="K26" i="8"/>
  <c r="L26" i="8"/>
  <c r="N26" i="8"/>
  <c r="O26" i="8"/>
  <c r="P26" i="8"/>
  <c r="K25" i="8"/>
  <c r="L25" i="8"/>
  <c r="N25" i="8"/>
  <c r="K24" i="8"/>
  <c r="L24" i="8"/>
  <c r="N24" i="8"/>
  <c r="K23" i="8"/>
  <c r="L23" i="8"/>
  <c r="N23" i="8"/>
  <c r="K22" i="8"/>
  <c r="L22" i="8"/>
  <c r="N22" i="8"/>
  <c r="D23" i="15"/>
  <c r="E23" i="15"/>
  <c r="F23" i="15"/>
  <c r="G23" i="15"/>
  <c r="H23" i="15"/>
  <c r="I23" i="15"/>
  <c r="J23" i="15"/>
  <c r="K23" i="15"/>
  <c r="L23" i="15"/>
  <c r="M23" i="15"/>
  <c r="N23" i="15"/>
  <c r="D24" i="15"/>
  <c r="E24" i="15"/>
  <c r="F24" i="15"/>
  <c r="G24" i="15"/>
  <c r="H24" i="15"/>
  <c r="I24" i="15"/>
  <c r="J24" i="15"/>
  <c r="K24" i="15"/>
  <c r="L24" i="15"/>
  <c r="M24" i="15"/>
  <c r="D25" i="15"/>
  <c r="E25" i="15"/>
  <c r="F25" i="15"/>
  <c r="K25" i="15"/>
  <c r="E26" i="15"/>
  <c r="E27" i="15"/>
  <c r="G27" i="15"/>
  <c r="L28" i="15"/>
  <c r="D29" i="15"/>
  <c r="D30" i="15"/>
  <c r="D31" i="15"/>
  <c r="G31" i="15"/>
  <c r="E46" i="15"/>
  <c r="E57" i="15" s="1"/>
  <c r="F46" i="15"/>
  <c r="F57" i="15" s="1"/>
  <c r="I46" i="15"/>
  <c r="E47" i="15"/>
  <c r="E58" i="15" s="1"/>
  <c r="F47" i="15"/>
  <c r="F58" i="15" s="1"/>
  <c r="I47" i="15"/>
  <c r="I58" i="15" s="1"/>
  <c r="E48" i="15"/>
  <c r="F48" i="15"/>
  <c r="F59" i="15" s="1"/>
  <c r="E49" i="15"/>
  <c r="E60" i="15" s="1"/>
  <c r="E50" i="15"/>
  <c r="G57" i="15"/>
  <c r="H57" i="15"/>
  <c r="I57" i="15"/>
  <c r="J57" i="15"/>
  <c r="K57" i="15"/>
  <c r="L57" i="15"/>
  <c r="M57" i="15"/>
  <c r="G58" i="15"/>
  <c r="H58" i="15"/>
  <c r="J58" i="15"/>
  <c r="K58" i="15"/>
  <c r="L58" i="15"/>
  <c r="M58" i="15"/>
  <c r="E59" i="15"/>
  <c r="K59" i="15"/>
  <c r="E61" i="15"/>
  <c r="G61" i="15"/>
  <c r="G64" i="15"/>
  <c r="E84" i="15"/>
  <c r="F84" i="15"/>
  <c r="G84" i="15"/>
  <c r="H84" i="15"/>
  <c r="I84" i="15"/>
  <c r="J84" i="15"/>
  <c r="L84" i="15"/>
  <c r="M84" i="15"/>
  <c r="N84" i="15"/>
  <c r="K13" i="13"/>
  <c r="K24" i="13" s="1"/>
  <c r="K12" i="13"/>
  <c r="D23" i="13"/>
  <c r="E23" i="13"/>
  <c r="F23" i="13"/>
  <c r="G23" i="13"/>
  <c r="H23" i="13"/>
  <c r="I23" i="13"/>
  <c r="J23" i="13"/>
  <c r="K23" i="13"/>
  <c r="L23" i="13"/>
  <c r="M23" i="13"/>
  <c r="D24" i="13"/>
  <c r="E24" i="13"/>
  <c r="F24" i="13"/>
  <c r="E25" i="13"/>
  <c r="D26" i="13"/>
  <c r="E26" i="13"/>
  <c r="G26" i="13"/>
  <c r="D27" i="13"/>
  <c r="D28" i="13"/>
  <c r="D29" i="13"/>
  <c r="G30" i="13"/>
  <c r="I44" i="13"/>
  <c r="I55" i="13" s="1"/>
  <c r="I45" i="13"/>
  <c r="I56" i="13" s="1"/>
  <c r="D55" i="13"/>
  <c r="E55" i="13"/>
  <c r="F55" i="13"/>
  <c r="G55" i="13"/>
  <c r="H55" i="13"/>
  <c r="J55" i="13"/>
  <c r="K55" i="13"/>
  <c r="L55" i="13"/>
  <c r="M55" i="13"/>
  <c r="N55" i="13"/>
  <c r="D56" i="13"/>
  <c r="E56" i="13"/>
  <c r="F56" i="13"/>
  <c r="G56" i="13"/>
  <c r="H56" i="13"/>
  <c r="J56" i="13"/>
  <c r="K56" i="13"/>
  <c r="L56" i="13"/>
  <c r="M56" i="13"/>
  <c r="D57" i="13"/>
  <c r="E57" i="13"/>
  <c r="F57" i="13"/>
  <c r="K57" i="13"/>
  <c r="D59" i="13"/>
  <c r="E59" i="13"/>
  <c r="G59" i="13"/>
  <c r="D60" i="13"/>
  <c r="D61" i="13"/>
  <c r="D62" i="13"/>
  <c r="G63" i="13"/>
  <c r="D82" i="13"/>
  <c r="E82" i="13"/>
  <c r="F82" i="13"/>
  <c r="G82" i="13"/>
  <c r="H82" i="13"/>
  <c r="I82" i="13"/>
  <c r="J82" i="13"/>
  <c r="K82" i="13"/>
  <c r="L82" i="13"/>
  <c r="M82" i="13"/>
  <c r="N82" i="13"/>
  <c r="C79" i="19" l="1"/>
  <c r="R158" i="8" a="1"/>
  <c r="R158" i="8" s="1"/>
  <c r="R167" i="8" a="1"/>
  <c r="R167" i="8" s="1"/>
  <c r="G71" i="19"/>
  <c r="L116" i="8"/>
  <c r="R10" i="8" a="1"/>
  <c r="R10" i="8" s="1"/>
  <c r="C71" i="19"/>
  <c r="G35" i="20"/>
  <c r="R176" i="8" a="1"/>
  <c r="R176" i="8" s="1"/>
  <c r="R109" i="19" a="1"/>
  <c r="R109" i="19" s="1"/>
  <c r="C112" i="19"/>
  <c r="R112" i="19" s="1" a="1"/>
  <c r="R112" i="19" s="1"/>
  <c r="R166" i="8" a="1"/>
  <c r="R166" i="8" s="1"/>
  <c r="R175" i="8" a="1"/>
  <c r="R175" i="8" s="1"/>
  <c r="R40" i="8" a="1"/>
  <c r="R40" i="8" s="1"/>
  <c r="M116" i="8"/>
  <c r="M119" i="8" s="1"/>
  <c r="R59" i="19" a="1"/>
  <c r="R59" i="19" s="1"/>
  <c r="R152" i="19" a="1"/>
  <c r="R152" i="19" s="1"/>
  <c r="C155" i="19"/>
  <c r="R85" i="19" a="1"/>
  <c r="R85" i="19" s="1"/>
  <c r="C88" i="19"/>
  <c r="R160" i="19" a="1"/>
  <c r="R160" i="19" s="1"/>
  <c r="C163" i="19"/>
  <c r="R93" i="19" a="1"/>
  <c r="R93" i="19" s="1"/>
  <c r="C96" i="19"/>
  <c r="R118" i="19" a="1"/>
  <c r="R118" i="19" s="1"/>
  <c r="C121" i="19"/>
  <c r="R157" i="8" a="1"/>
  <c r="R157" i="8" s="1"/>
  <c r="R39" i="8" a="1"/>
  <c r="R39" i="8" s="1"/>
  <c r="R101" i="19" a="1"/>
  <c r="R101" i="19" s="1"/>
  <c r="C104" i="19"/>
  <c r="R104" i="19" s="1" a="1"/>
  <c r="R104" i="19" s="1"/>
  <c r="R127" i="19" a="1"/>
  <c r="R127" i="19" s="1"/>
  <c r="R87" i="8" a="1"/>
  <c r="R87" i="8" s="1"/>
  <c r="R70" i="8" a="1"/>
  <c r="R70" i="8" s="1"/>
  <c r="R88" i="8" a="1"/>
  <c r="R88" i="8" s="1"/>
  <c r="R23" i="8" a="1"/>
  <c r="R23" i="8" s="1"/>
  <c r="R97" i="8" a="1"/>
  <c r="R97" i="8" s="1"/>
  <c r="R114" i="8" a="1"/>
  <c r="R114" i="8" s="1"/>
  <c r="R19" i="8" a="1"/>
  <c r="R19" i="8" s="1"/>
  <c r="R184" i="8" a="1"/>
  <c r="R184" i="8" s="1"/>
  <c r="R107" i="8" a="1"/>
  <c r="R107" i="8" s="1"/>
  <c r="R9" i="8" a="1"/>
  <c r="R9" i="8" s="1"/>
  <c r="R42" i="21" a="1"/>
  <c r="R42" i="21" s="1"/>
  <c r="R68" i="19" a="1"/>
  <c r="R68" i="19" s="1"/>
  <c r="C146" i="19"/>
  <c r="R143" i="19" a="1"/>
  <c r="R143" i="19" s="1"/>
  <c r="R50" i="19" a="1"/>
  <c r="R50" i="19" s="1"/>
  <c r="R75" i="19" a="1"/>
  <c r="R75" i="19" s="1"/>
  <c r="R69" i="8" a="1"/>
  <c r="R69" i="8" s="1"/>
  <c r="R24" i="8" a="1"/>
  <c r="R24" i="8" s="1"/>
  <c r="R22" i="8" a="1"/>
  <c r="R22" i="8" s="1"/>
  <c r="R96" i="8" a="1"/>
  <c r="R96" i="8" s="1"/>
  <c r="R11" i="8" a="1"/>
  <c r="R11" i="8" s="1"/>
  <c r="R183" i="8" a="1"/>
  <c r="R183" i="8" s="1"/>
  <c r="R106" i="8" a="1"/>
  <c r="R106" i="8" s="1"/>
  <c r="C32" i="21"/>
  <c r="R5" i="8" a="1"/>
  <c r="R5" i="8" s="1"/>
  <c r="R32" i="20" a="1"/>
  <c r="R32" i="20" s="1"/>
  <c r="R76" i="19" a="1"/>
  <c r="R76" i="19" s="1"/>
  <c r="R135" i="19" a="1"/>
  <c r="R135" i="19" s="1"/>
  <c r="R23" i="19" a="1"/>
  <c r="R23" i="19" s="1"/>
  <c r="N35" i="20"/>
  <c r="N36" i="20" s="1"/>
  <c r="O44" i="20"/>
  <c r="O45" i="20" s="1"/>
  <c r="O35" i="20"/>
  <c r="O36" i="20" s="1"/>
  <c r="H55" i="8"/>
  <c r="H6" i="9" s="1"/>
  <c r="H5" i="9"/>
  <c r="I55" i="8"/>
  <c r="I6" i="9" s="1"/>
  <c r="I5" i="9"/>
  <c r="M185" i="8"/>
  <c r="M180" i="8"/>
  <c r="M53" i="9" s="1"/>
  <c r="M179" i="19"/>
  <c r="M172" i="19"/>
  <c r="M146" i="19"/>
  <c r="I17" i="9"/>
  <c r="G121" i="19"/>
  <c r="F23" i="21"/>
  <c r="G79" i="19"/>
  <c r="L146" i="19"/>
  <c r="G115" i="8"/>
  <c r="G116" i="8" s="1"/>
  <c r="F98" i="8"/>
  <c r="E108" i="8"/>
  <c r="H13" i="9"/>
  <c r="J25" i="8"/>
  <c r="J27" i="8" s="1"/>
  <c r="J22" i="20"/>
  <c r="R22" i="20" s="1" a="1"/>
  <c r="R22" i="20" s="1"/>
  <c r="J21" i="21"/>
  <c r="R21" i="21" s="1" a="1"/>
  <c r="R21" i="21" s="1"/>
  <c r="J24" i="19"/>
  <c r="R24" i="19" s="1" a="1"/>
  <c r="R24" i="19" s="1"/>
  <c r="J79" i="8"/>
  <c r="R79" i="8" s="1" a="1"/>
  <c r="R79" i="8" s="1"/>
  <c r="J40" i="20"/>
  <c r="R40" i="20" s="1" a="1"/>
  <c r="R40" i="20" s="1"/>
  <c r="J8" i="8"/>
  <c r="J12" i="8" s="1"/>
  <c r="J9" i="21"/>
  <c r="R9" i="21" s="1" a="1"/>
  <c r="R9" i="21" s="1"/>
  <c r="J9" i="20"/>
  <c r="R9" i="20" s="1" a="1"/>
  <c r="R9" i="20" s="1"/>
  <c r="J9" i="19"/>
  <c r="R9" i="19" s="1" a="1"/>
  <c r="R9" i="19" s="1"/>
  <c r="F7" i="21"/>
  <c r="R7" i="21" s="1" a="1"/>
  <c r="R7" i="21" s="1"/>
  <c r="F7" i="20"/>
  <c r="R7" i="20" s="1" a="1"/>
  <c r="R7" i="20" s="1"/>
  <c r="F7" i="19"/>
  <c r="R7" i="19" s="1" a="1"/>
  <c r="R7" i="19" s="1"/>
  <c r="I65" i="8"/>
  <c r="I10" i="9" s="1"/>
  <c r="K58" i="8"/>
  <c r="H65" i="8"/>
  <c r="H10" i="9" s="1"/>
  <c r="M60" i="8"/>
  <c r="M31" i="21"/>
  <c r="M58" i="8"/>
  <c r="M29" i="21"/>
  <c r="P58" i="8"/>
  <c r="P29" i="21"/>
  <c r="I75" i="8"/>
  <c r="I14" i="9" s="1"/>
  <c r="H17" i="9"/>
  <c r="N14" i="8"/>
  <c r="N15" i="21"/>
  <c r="N45" i="21" s="1"/>
  <c r="N46" i="21" s="1"/>
  <c r="J14" i="8"/>
  <c r="J15" i="21"/>
  <c r="M53" i="19"/>
  <c r="M54" i="19" s="1"/>
  <c r="L79" i="19"/>
  <c r="N172" i="19"/>
  <c r="G146" i="19"/>
  <c r="M35" i="20"/>
  <c r="M36" i="20" s="1"/>
  <c r="O35" i="21"/>
  <c r="O36" i="21" s="1"/>
  <c r="O45" i="21"/>
  <c r="O46" i="21" s="1"/>
  <c r="L45" i="21"/>
  <c r="L46" i="21" s="1"/>
  <c r="N44" i="20"/>
  <c r="N45" i="20" s="1"/>
  <c r="G44" i="20"/>
  <c r="G45" i="20" s="1"/>
  <c r="G36" i="20"/>
  <c r="K35" i="20"/>
  <c r="K36" i="20" s="1"/>
  <c r="K44" i="20"/>
  <c r="K45" i="20" s="1"/>
  <c r="M44" i="20"/>
  <c r="M45" i="20" s="1"/>
  <c r="L44" i="20"/>
  <c r="L45" i="20" s="1"/>
  <c r="L35" i="20"/>
  <c r="L36" i="20" s="1"/>
  <c r="C35" i="20"/>
  <c r="C44" i="20"/>
  <c r="C71" i="8"/>
  <c r="C98" i="8"/>
  <c r="L108" i="8"/>
  <c r="C108" i="8"/>
  <c r="N27" i="8"/>
  <c r="O27" i="8"/>
  <c r="P12" i="8"/>
  <c r="C168" i="8"/>
  <c r="G108" i="8"/>
  <c r="M62" i="19"/>
  <c r="M63" i="19" s="1"/>
  <c r="C138" i="19"/>
  <c r="R138" i="19" s="1" a="1"/>
  <c r="R138" i="19" s="1"/>
  <c r="S32" i="21"/>
  <c r="S31" i="21"/>
  <c r="S32" i="20"/>
  <c r="S30" i="20"/>
  <c r="N179" i="19"/>
  <c r="R96" i="19" a="1"/>
  <c r="R96" i="19" s="1"/>
  <c r="R121" i="19" a="1"/>
  <c r="R121" i="19" s="1"/>
  <c r="R163" i="19" a="1"/>
  <c r="R163" i="19" s="1"/>
  <c r="C62" i="19"/>
  <c r="R130" i="19" a="1"/>
  <c r="R130" i="19" s="1"/>
  <c r="R155" i="19" a="1"/>
  <c r="R155" i="19" s="1"/>
  <c r="R88" i="19" a="1"/>
  <c r="R88" i="19" s="1"/>
  <c r="C53" i="19"/>
  <c r="J108" i="8"/>
  <c r="J111" i="8" s="1"/>
  <c r="J29" i="9" s="1"/>
  <c r="F27" i="8"/>
  <c r="C12" i="8"/>
  <c r="C142" i="8"/>
  <c r="K27" i="8"/>
  <c r="L27" i="8"/>
  <c r="E98" i="8"/>
  <c r="C116" i="8"/>
  <c r="G27" i="8"/>
  <c r="P27" i="8"/>
  <c r="C27" i="8"/>
  <c r="E27" i="8"/>
  <c r="K12" i="8"/>
  <c r="M27" i="8"/>
  <c r="M188" i="8" s="1"/>
  <c r="M56" i="9" s="1"/>
  <c r="J48" i="8"/>
  <c r="N48" i="8"/>
  <c r="F6" i="8"/>
  <c r="F12" i="8" s="1"/>
  <c r="C125" i="8"/>
  <c r="C89" i="8"/>
  <c r="J78" i="8"/>
  <c r="J80" i="8" s="1"/>
  <c r="L48" i="8"/>
  <c r="F48" i="8"/>
  <c r="P48" i="8"/>
  <c r="F80" i="8"/>
  <c r="M6" i="8"/>
  <c r="M12" i="8" s="1"/>
  <c r="L80" i="8"/>
  <c r="G80" i="8"/>
  <c r="P50" i="8"/>
  <c r="C48" i="8"/>
  <c r="K98" i="8"/>
  <c r="J98" i="8"/>
  <c r="L98" i="8"/>
  <c r="L71" i="8"/>
  <c r="K80" i="8"/>
  <c r="E89" i="8"/>
  <c r="M89" i="8"/>
  <c r="C159" i="8"/>
  <c r="M71" i="8"/>
  <c r="F71" i="8"/>
  <c r="G71" i="8"/>
  <c r="L12" i="8"/>
  <c r="O12" i="8"/>
  <c r="C177" i="8"/>
  <c r="C180" i="8" s="1"/>
  <c r="G185" i="8"/>
  <c r="E6" i="8"/>
  <c r="R6" i="8" s="1" a="1"/>
  <c r="R6" i="8" s="1"/>
  <c r="J31" i="21"/>
  <c r="J32" i="21" s="1"/>
  <c r="N31" i="21"/>
  <c r="N32" i="21" s="1"/>
  <c r="L31" i="21"/>
  <c r="L32" i="21" s="1"/>
  <c r="L35" i="21" s="1"/>
  <c r="L36" i="21" s="1"/>
  <c r="G12" i="8"/>
  <c r="O71" i="8"/>
  <c r="N71" i="8"/>
  <c r="K71" i="8"/>
  <c r="J71" i="8"/>
  <c r="G98" i="8"/>
  <c r="K116" i="8"/>
  <c r="F116" i="8"/>
  <c r="N80" i="8"/>
  <c r="M80" i="8"/>
  <c r="E116" i="8"/>
  <c r="F89" i="8"/>
  <c r="M98" i="8"/>
  <c r="C80" i="8"/>
  <c r="C150" i="8"/>
  <c r="L185" i="8"/>
  <c r="C194" i="8"/>
  <c r="C197" i="8" s="1"/>
  <c r="N219" i="8"/>
  <c r="R219" i="8" s="1" a="1"/>
  <c r="R219" i="8" s="1"/>
  <c r="G177" i="8"/>
  <c r="G180" i="8" s="1"/>
  <c r="J116" i="8"/>
  <c r="J119" i="8" s="1"/>
  <c r="C133" i="8"/>
  <c r="E71" i="8"/>
  <c r="E48" i="8"/>
  <c r="G48" i="8"/>
  <c r="K48" i="8"/>
  <c r="M50" i="8"/>
  <c r="M48" i="8"/>
  <c r="O48" i="8"/>
  <c r="O51" i="8" s="1"/>
  <c r="F31" i="21"/>
  <c r="N7" i="8"/>
  <c r="R7" i="8" s="1" a="1"/>
  <c r="R7" i="8" s="1"/>
  <c r="K31" i="21"/>
  <c r="E15" i="21"/>
  <c r="E45" i="21" s="1"/>
  <c r="E46" i="21" s="1"/>
  <c r="E31" i="21"/>
  <c r="E32" i="21" s="1"/>
  <c r="C185" i="8"/>
  <c r="C188" i="8" s="1"/>
  <c r="M108" i="8"/>
  <c r="M111" i="8" s="1"/>
  <c r="N58" i="8"/>
  <c r="O61" i="8"/>
  <c r="N211" i="8"/>
  <c r="R211" i="8" s="1" a="1"/>
  <c r="R211" i="8" s="1"/>
  <c r="O80" i="8"/>
  <c r="G168" i="8"/>
  <c r="G171" i="8" s="1"/>
  <c r="G50" i="9" s="1"/>
  <c r="G159" i="8"/>
  <c r="L177" i="8"/>
  <c r="C60" i="8"/>
  <c r="C50" i="8"/>
  <c r="C202" i="8"/>
  <c r="C205" i="8" s="1"/>
  <c r="L119" i="8" l="1"/>
  <c r="L32" i="9" s="1"/>
  <c r="C162" i="8"/>
  <c r="G111" i="8"/>
  <c r="C128" i="8"/>
  <c r="R128" i="8" s="1" a="1"/>
  <c r="R128" i="8" s="1"/>
  <c r="R35" i="9" s="1"/>
  <c r="C119" i="8"/>
  <c r="C111" i="8"/>
  <c r="C29" i="9" s="1"/>
  <c r="G119" i="8"/>
  <c r="E111" i="8"/>
  <c r="E29" i="9" s="1"/>
  <c r="E119" i="8"/>
  <c r="E32" i="9" s="1"/>
  <c r="G74" i="8"/>
  <c r="G75" i="8" s="1"/>
  <c r="G14" i="9" s="1"/>
  <c r="R133" i="8" a="1"/>
  <c r="R133" i="8" s="1"/>
  <c r="C136" i="8"/>
  <c r="R150" i="8" a="1"/>
  <c r="R150" i="8" s="1"/>
  <c r="C153" i="8"/>
  <c r="R29" i="21" a="1"/>
  <c r="R29" i="21" s="1"/>
  <c r="R142" i="8" a="1"/>
  <c r="R142" i="8" s="1"/>
  <c r="C145" i="8"/>
  <c r="L111" i="8"/>
  <c r="C171" i="8"/>
  <c r="R58" i="8" a="1"/>
  <c r="R58" i="8" s="1"/>
  <c r="R205" i="8" a="1"/>
  <c r="R205" i="8" s="1"/>
  <c r="R62" i="9" s="1"/>
  <c r="R202" i="8" a="1"/>
  <c r="R202" i="8" s="1"/>
  <c r="C61" i="8"/>
  <c r="R197" i="8" a="1"/>
  <c r="R197" i="8" s="1"/>
  <c r="R194" i="8" a="1"/>
  <c r="R194" i="8" s="1"/>
  <c r="R125" i="8" a="1"/>
  <c r="R125" i="8" s="1"/>
  <c r="R116" i="8" a="1"/>
  <c r="R116" i="8" s="1"/>
  <c r="R168" i="8" a="1"/>
  <c r="R168" i="8" s="1"/>
  <c r="R108" i="8" a="1"/>
  <c r="R108" i="8" s="1"/>
  <c r="R98" i="8" a="1"/>
  <c r="R98" i="8" s="1"/>
  <c r="R172" i="19" a="1"/>
  <c r="R172" i="19" s="1"/>
  <c r="R115" i="8" a="1"/>
  <c r="R115" i="8" s="1"/>
  <c r="R8" i="8" a="1"/>
  <c r="R8" i="8" s="1"/>
  <c r="R25" i="8" a="1"/>
  <c r="R25" i="8" s="1"/>
  <c r="R78" i="8" a="1"/>
  <c r="R78" i="8" s="1"/>
  <c r="C56" i="9"/>
  <c r="R185" i="8" a="1"/>
  <c r="R185" i="8" s="1"/>
  <c r="R80" i="8" a="1"/>
  <c r="R80" i="8" s="1"/>
  <c r="R177" i="8" a="1"/>
  <c r="R177" i="8" s="1"/>
  <c r="R159" i="8" a="1"/>
  <c r="R159" i="8" s="1"/>
  <c r="R48" i="8" a="1"/>
  <c r="R48" i="8" s="1"/>
  <c r="R89" i="8" a="1"/>
  <c r="R89" i="8" s="1"/>
  <c r="R27" i="8" a="1"/>
  <c r="R27" i="8" s="1"/>
  <c r="R71" i="8" a="1"/>
  <c r="R71" i="8" s="1"/>
  <c r="R179" i="19" a="1"/>
  <c r="R179" i="19" s="1"/>
  <c r="R146" i="19" a="1"/>
  <c r="R146" i="19" s="1"/>
  <c r="E12" i="8"/>
  <c r="M221" i="8"/>
  <c r="M214" i="8"/>
  <c r="M61" i="8"/>
  <c r="G32" i="9"/>
  <c r="N35" i="21"/>
  <c r="N36" i="21" s="1"/>
  <c r="F101" i="8"/>
  <c r="F25" i="9" s="1"/>
  <c r="F13" i="21"/>
  <c r="J13" i="21"/>
  <c r="J26" i="19"/>
  <c r="F13" i="20"/>
  <c r="J13" i="20"/>
  <c r="F13" i="19"/>
  <c r="J13" i="19"/>
  <c r="J41" i="20"/>
  <c r="R41" i="20" s="1" a="1"/>
  <c r="R41" i="20" s="1"/>
  <c r="J24" i="20"/>
  <c r="R24" i="20" s="1" a="1"/>
  <c r="R24" i="20" s="1"/>
  <c r="J23" i="21"/>
  <c r="R23" i="21" s="1" a="1"/>
  <c r="R23" i="21" s="1"/>
  <c r="M32" i="21"/>
  <c r="K14" i="8"/>
  <c r="K15" i="21"/>
  <c r="P14" i="8"/>
  <c r="P15" i="21"/>
  <c r="K32" i="21"/>
  <c r="M14" i="8"/>
  <c r="M15" i="21"/>
  <c r="M45" i="21" s="1"/>
  <c r="P60" i="8"/>
  <c r="P61" i="8" s="1"/>
  <c r="P31" i="21"/>
  <c r="P32" i="21" s="1"/>
  <c r="G14" i="8"/>
  <c r="G15" i="21"/>
  <c r="G45" i="21" s="1"/>
  <c r="G60" i="8"/>
  <c r="G31" i="21"/>
  <c r="G32" i="21" s="1"/>
  <c r="C14" i="8"/>
  <c r="C15" i="21"/>
  <c r="E35" i="21"/>
  <c r="E36" i="21" s="1"/>
  <c r="F14" i="8"/>
  <c r="F15" i="21"/>
  <c r="F32" i="21"/>
  <c r="M32" i="9"/>
  <c r="M29" i="9"/>
  <c r="J32" i="9"/>
  <c r="L188" i="8"/>
  <c r="L56" i="9" s="1"/>
  <c r="M101" i="8"/>
  <c r="M102" i="8" s="1"/>
  <c r="M26" i="9" s="1"/>
  <c r="G188" i="8"/>
  <c r="G162" i="8"/>
  <c r="G47" i="9" s="1"/>
  <c r="G29" i="9"/>
  <c r="L180" i="8"/>
  <c r="L53" i="9" s="1"/>
  <c r="L29" i="9"/>
  <c r="O64" i="8"/>
  <c r="O83" i="8"/>
  <c r="O17" i="9" s="1"/>
  <c r="O54" i="8"/>
  <c r="O74" i="8"/>
  <c r="F92" i="8"/>
  <c r="F74" i="8"/>
  <c r="F83" i="8"/>
  <c r="K83" i="8"/>
  <c r="K84" i="8" s="1"/>
  <c r="K18" i="9" s="1"/>
  <c r="K74" i="8"/>
  <c r="K13" i="9" s="1"/>
  <c r="C83" i="8"/>
  <c r="C101" i="8"/>
  <c r="C92" i="8"/>
  <c r="C74" i="8"/>
  <c r="J83" i="8"/>
  <c r="J17" i="9" s="1"/>
  <c r="J74" i="8"/>
  <c r="J75" i="8" s="1"/>
  <c r="J14" i="9" s="1"/>
  <c r="G83" i="8"/>
  <c r="G84" i="8" s="1"/>
  <c r="G18" i="9" s="1"/>
  <c r="L74" i="8"/>
  <c r="L13" i="9" s="1"/>
  <c r="L83" i="8"/>
  <c r="L84" i="8" s="1"/>
  <c r="L18" i="9" s="1"/>
  <c r="M83" i="8"/>
  <c r="M92" i="8"/>
  <c r="M74" i="8"/>
  <c r="M13" i="9" s="1"/>
  <c r="M51" i="8"/>
  <c r="S35" i="21"/>
  <c r="C45" i="20"/>
  <c r="S35" i="20"/>
  <c r="C36" i="20"/>
  <c r="C54" i="19"/>
  <c r="C63" i="19"/>
  <c r="C51" i="8"/>
  <c r="P51" i="8"/>
  <c r="G50" i="8"/>
  <c r="S48" i="8"/>
  <c r="S71" i="8"/>
  <c r="G53" i="9"/>
  <c r="S69" i="8"/>
  <c r="S70" i="8"/>
  <c r="L60" i="8"/>
  <c r="L61" i="8" s="1"/>
  <c r="L50" i="8"/>
  <c r="N60" i="8"/>
  <c r="N61" i="8" s="1"/>
  <c r="N50" i="8"/>
  <c r="N51" i="8" s="1"/>
  <c r="J60" i="8"/>
  <c r="J61" i="8" s="1"/>
  <c r="J50" i="8"/>
  <c r="F59" i="8"/>
  <c r="F49" i="8"/>
  <c r="K60" i="8"/>
  <c r="K61" i="8" s="1"/>
  <c r="K50" i="8"/>
  <c r="K51" i="8" s="1"/>
  <c r="F60" i="8"/>
  <c r="F50" i="8"/>
  <c r="E60" i="8"/>
  <c r="E61" i="8" s="1"/>
  <c r="E50" i="8"/>
  <c r="E51" i="8" s="1"/>
  <c r="E14" i="8"/>
  <c r="G59" i="8"/>
  <c r="G49" i="8"/>
  <c r="N12" i="8"/>
  <c r="N221" i="8" s="1"/>
  <c r="C35" i="9" l="1"/>
  <c r="J45" i="21"/>
  <c r="J35" i="21"/>
  <c r="J36" i="21" s="1"/>
  <c r="E54" i="8"/>
  <c r="E5" i="9" s="1"/>
  <c r="R26" i="19" a="1"/>
  <c r="R26" i="19" s="1"/>
  <c r="C62" i="9"/>
  <c r="R32" i="21" a="1"/>
  <c r="R32" i="21" s="1"/>
  <c r="R13" i="21" a="1"/>
  <c r="R13" i="21" s="1"/>
  <c r="R12" i="8" a="1"/>
  <c r="R12" i="8" s="1"/>
  <c r="R59" i="8" a="1"/>
  <c r="R59" i="8" s="1"/>
  <c r="C32" i="9"/>
  <c r="R119" i="8" a="1"/>
  <c r="R119" i="8" s="1"/>
  <c r="R32" i="9" s="1"/>
  <c r="R153" i="8" a="1"/>
  <c r="R153" i="8" s="1"/>
  <c r="R44" i="9" s="1"/>
  <c r="C47" i="9"/>
  <c r="R15" i="21" a="1"/>
  <c r="R15" i="21" s="1"/>
  <c r="R13" i="19" a="1"/>
  <c r="R13" i="19" s="1"/>
  <c r="R13" i="20" a="1"/>
  <c r="R13" i="20" s="1"/>
  <c r="M65" i="9"/>
  <c r="R31" i="21" a="1"/>
  <c r="R31" i="21" s="1"/>
  <c r="R50" i="8" a="1"/>
  <c r="R50" i="8" s="1"/>
  <c r="R49" i="8" a="1"/>
  <c r="R49" i="8" s="1"/>
  <c r="C75" i="8"/>
  <c r="C102" i="8"/>
  <c r="R145" i="8" a="1"/>
  <c r="R145" i="8" s="1"/>
  <c r="R41" i="9" s="1"/>
  <c r="C50" i="9"/>
  <c r="R111" i="8" a="1"/>
  <c r="R111" i="8" s="1"/>
  <c r="R29" i="9" s="1"/>
  <c r="C53" i="9"/>
  <c r="R180" i="8" a="1"/>
  <c r="R180" i="8" s="1"/>
  <c r="C64" i="8"/>
  <c r="C65" i="8" s="1"/>
  <c r="R14" i="8" a="1"/>
  <c r="R14" i="8" s="1"/>
  <c r="R136" i="8" a="1"/>
  <c r="R136" i="8" s="1"/>
  <c r="R38" i="9" s="1"/>
  <c r="M68" i="9"/>
  <c r="R221" i="8" a="1"/>
  <c r="R221" i="8" s="1"/>
  <c r="R188" i="8" a="1"/>
  <c r="R188" i="8" s="1"/>
  <c r="R60" i="8" a="1"/>
  <c r="R60" i="8" s="1"/>
  <c r="O55" i="8"/>
  <c r="O6" i="9" s="1"/>
  <c r="O5" i="9"/>
  <c r="O65" i="8"/>
  <c r="O10" i="9" s="1"/>
  <c r="O9" i="9"/>
  <c r="M64" i="8"/>
  <c r="C54" i="8"/>
  <c r="G51" i="8"/>
  <c r="G54" i="8" s="1"/>
  <c r="L75" i="8"/>
  <c r="L14" i="9" s="1"/>
  <c r="J46" i="21"/>
  <c r="P64" i="8"/>
  <c r="M54" i="8"/>
  <c r="M5" i="9" s="1"/>
  <c r="J44" i="20"/>
  <c r="J45" i="20" s="1"/>
  <c r="J35" i="20"/>
  <c r="J36" i="20" s="1"/>
  <c r="R79" i="19" a="1"/>
  <c r="R79" i="19" s="1"/>
  <c r="R71" i="19" a="1"/>
  <c r="R71" i="19" s="1"/>
  <c r="F62" i="19"/>
  <c r="F63" i="19" s="1"/>
  <c r="F53" i="19"/>
  <c r="F54" i="19" s="1"/>
  <c r="F44" i="20"/>
  <c r="F45" i="20" s="1"/>
  <c r="F35" i="20"/>
  <c r="F36" i="20" s="1"/>
  <c r="C44" i="9"/>
  <c r="K54" i="8"/>
  <c r="G61" i="8"/>
  <c r="G64" i="8" s="1"/>
  <c r="M46" i="21"/>
  <c r="M35" i="21"/>
  <c r="M36" i="21" s="1"/>
  <c r="P45" i="21"/>
  <c r="P46" i="21" s="1"/>
  <c r="P35" i="21"/>
  <c r="P36" i="21" s="1"/>
  <c r="K45" i="21"/>
  <c r="K46" i="21" s="1"/>
  <c r="K35" i="21"/>
  <c r="K36" i="21" s="1"/>
  <c r="E64" i="8"/>
  <c r="G46" i="21"/>
  <c r="G35" i="21"/>
  <c r="G36" i="21" s="1"/>
  <c r="C35" i="21"/>
  <c r="C45" i="21"/>
  <c r="E17" i="8"/>
  <c r="E92" i="8" s="1"/>
  <c r="E15" i="19"/>
  <c r="E16" i="8"/>
  <c r="E16" i="20"/>
  <c r="E15" i="8"/>
  <c r="E15" i="20"/>
  <c r="F35" i="21"/>
  <c r="F45" i="21"/>
  <c r="N214" i="8"/>
  <c r="N65" i="9" s="1"/>
  <c r="L64" i="8"/>
  <c r="L9" i="9" s="1"/>
  <c r="K64" i="8"/>
  <c r="P54" i="8"/>
  <c r="P5" i="9" s="1"/>
  <c r="J64" i="8"/>
  <c r="N83" i="8"/>
  <c r="N54" i="8"/>
  <c r="N74" i="8"/>
  <c r="N64" i="8"/>
  <c r="L17" i="9"/>
  <c r="F51" i="8"/>
  <c r="F54" i="8" s="1"/>
  <c r="F5" i="9" s="1"/>
  <c r="C38" i="9"/>
  <c r="S36" i="21"/>
  <c r="S36" i="20"/>
  <c r="C93" i="8"/>
  <c r="M93" i="8"/>
  <c r="M22" i="9" s="1"/>
  <c r="F21" i="9"/>
  <c r="F93" i="8"/>
  <c r="F22" i="9" s="1"/>
  <c r="C25" i="9"/>
  <c r="J51" i="8"/>
  <c r="L51" i="8"/>
  <c r="O75" i="8"/>
  <c r="O14" i="9" s="1"/>
  <c r="O13" i="9"/>
  <c r="G13" i="9"/>
  <c r="G17" i="9"/>
  <c r="J84" i="8"/>
  <c r="J18" i="9" s="1"/>
  <c r="M17" i="9"/>
  <c r="M25" i="9"/>
  <c r="M75" i="8"/>
  <c r="M14" i="9" s="1"/>
  <c r="F17" i="9"/>
  <c r="K17" i="9"/>
  <c r="C26" i="9"/>
  <c r="F102" i="8"/>
  <c r="F26" i="9" s="1"/>
  <c r="F75" i="8"/>
  <c r="F14" i="9" s="1"/>
  <c r="K75" i="8"/>
  <c r="K14" i="9" s="1"/>
  <c r="F13" i="9"/>
  <c r="C21" i="9"/>
  <c r="F171" i="8"/>
  <c r="F50" i="9" s="1"/>
  <c r="C41" i="9"/>
  <c r="M84" i="8"/>
  <c r="M18" i="9" s="1"/>
  <c r="F84" i="8"/>
  <c r="F18" i="9" s="1"/>
  <c r="F162" i="8"/>
  <c r="M21" i="9"/>
  <c r="C17" i="9"/>
  <c r="C84" i="8"/>
  <c r="C13" i="9"/>
  <c r="J13" i="9"/>
  <c r="O84" i="8"/>
  <c r="O18" i="9" s="1"/>
  <c r="C59" i="9"/>
  <c r="R59" i="9"/>
  <c r="G56" i="9"/>
  <c r="F61" i="8"/>
  <c r="R61" i="8" s="1" a="1"/>
  <c r="R61" i="8" s="1"/>
  <c r="S50" i="8"/>
  <c r="R15" i="20" l="1" a="1"/>
  <c r="R15" i="20" s="1"/>
  <c r="E36" i="20"/>
  <c r="R16" i="20" a="1"/>
  <c r="R16" i="20" s="1"/>
  <c r="R15" i="19" a="1"/>
  <c r="R15" i="19" s="1"/>
  <c r="E53" i="19"/>
  <c r="C18" i="9"/>
  <c r="C22" i="9"/>
  <c r="E74" i="8"/>
  <c r="S74" i="8" s="1"/>
  <c r="R15" i="8" a="1"/>
  <c r="R15" i="8" s="1"/>
  <c r="E83" i="8"/>
  <c r="R83" i="8" s="1" a="1"/>
  <c r="R83" i="8" s="1"/>
  <c r="R17" i="9" s="1"/>
  <c r="R16" i="8" a="1"/>
  <c r="R16" i="8" s="1"/>
  <c r="E21" i="9"/>
  <c r="R17" i="8" a="1"/>
  <c r="R17" i="8" s="1"/>
  <c r="C55" i="8"/>
  <c r="C14" i="9"/>
  <c r="R214" i="8" a="1"/>
  <c r="R214" i="8" s="1"/>
  <c r="R65" i="9" s="1"/>
  <c r="R51" i="8" a="1"/>
  <c r="R51" i="8" s="1"/>
  <c r="R171" i="8" a="1"/>
  <c r="R171" i="8" s="1"/>
  <c r="R50" i="9" s="1"/>
  <c r="R162" i="8" a="1"/>
  <c r="R162" i="8" s="1"/>
  <c r="R47" i="9" s="1"/>
  <c r="C36" i="21"/>
  <c r="R35" i="21" a="1"/>
  <c r="R35" i="21" s="1"/>
  <c r="C46" i="21"/>
  <c r="R45" i="21" a="1"/>
  <c r="R45" i="21" s="1"/>
  <c r="E55" i="8"/>
  <c r="E6" i="9" s="1"/>
  <c r="E65" i="8"/>
  <c r="E10" i="9" s="1"/>
  <c r="E9" i="9"/>
  <c r="G65" i="8"/>
  <c r="G10" i="9" s="1"/>
  <c r="G9" i="9"/>
  <c r="P65" i="8"/>
  <c r="P10" i="9" s="1"/>
  <c r="P9" i="9"/>
  <c r="M65" i="8"/>
  <c r="M10" i="9" s="1"/>
  <c r="M9" i="9"/>
  <c r="N65" i="8"/>
  <c r="N10" i="9" s="1"/>
  <c r="N9" i="9"/>
  <c r="N55" i="8"/>
  <c r="N6" i="9" s="1"/>
  <c r="N5" i="9"/>
  <c r="J65" i="8"/>
  <c r="J10" i="9" s="1"/>
  <c r="J9" i="9"/>
  <c r="K65" i="8"/>
  <c r="K10" i="9" s="1"/>
  <c r="K9" i="9"/>
  <c r="K55" i="8"/>
  <c r="K6" i="9" s="1"/>
  <c r="K5" i="9"/>
  <c r="G55" i="8"/>
  <c r="G6" i="9" s="1"/>
  <c r="G5" i="9"/>
  <c r="F55" i="8"/>
  <c r="F6" i="9" s="1"/>
  <c r="M55" i="8"/>
  <c r="M6" i="9" s="1"/>
  <c r="E101" i="8"/>
  <c r="P55" i="8"/>
  <c r="P6" i="9" s="1"/>
  <c r="E62" i="19"/>
  <c r="R62" i="19" s="1" a="1"/>
  <c r="R62" i="19" s="1"/>
  <c r="R53" i="19" a="1"/>
  <c r="R53" i="19" s="1"/>
  <c r="R35" i="20" a="1"/>
  <c r="R35" i="20" s="1"/>
  <c r="R44" i="20" a="1"/>
  <c r="R44" i="20" s="1"/>
  <c r="F46" i="21"/>
  <c r="F36" i="21"/>
  <c r="L65" i="8"/>
  <c r="L10" i="9" s="1"/>
  <c r="F64" i="8"/>
  <c r="R64" i="8" s="1" a="1"/>
  <c r="R64" i="8" s="1"/>
  <c r="J54" i="8"/>
  <c r="L54" i="8"/>
  <c r="L5" i="9" s="1"/>
  <c r="F47" i="9"/>
  <c r="S51" i="8"/>
  <c r="R56" i="9"/>
  <c r="R53" i="9"/>
  <c r="N84" i="8"/>
  <c r="N18" i="9" s="1"/>
  <c r="N17" i="9"/>
  <c r="E17" i="9"/>
  <c r="N68" i="9"/>
  <c r="R68" i="9"/>
  <c r="N13" i="9"/>
  <c r="N75" i="8"/>
  <c r="N14" i="9" s="1"/>
  <c r="C9" i="9"/>
  <c r="C5" i="9"/>
  <c r="E13" i="9" l="1"/>
  <c r="E84" i="8"/>
  <c r="R84" i="8" s="1" a="1"/>
  <c r="R84" i="8" s="1"/>
  <c r="R18" i="9" s="1"/>
  <c r="R54" i="8" a="1"/>
  <c r="R54" i="8" s="1"/>
  <c r="R5" i="9" s="1"/>
  <c r="E102" i="8"/>
  <c r="R102" i="8" s="1" a="1"/>
  <c r="R102" i="8" s="1"/>
  <c r="R26" i="9" s="1"/>
  <c r="R101" i="8" a="1"/>
  <c r="R101" i="8" s="1"/>
  <c r="R25" i="9" s="1"/>
  <c r="E93" i="8"/>
  <c r="R93" i="8" s="1" a="1"/>
  <c r="R93" i="8" s="1"/>
  <c r="R22" i="9" s="1"/>
  <c r="R92" i="8" a="1"/>
  <c r="R92" i="8" s="1"/>
  <c r="R21" i="9" s="1"/>
  <c r="E75" i="8"/>
  <c r="R75" i="8" s="1" a="1"/>
  <c r="R75" i="8" s="1"/>
  <c r="R14" i="9" s="1"/>
  <c r="R74" i="8" a="1"/>
  <c r="R74" i="8" s="1"/>
  <c r="R13" i="9" s="1"/>
  <c r="R46" i="21" a="1"/>
  <c r="R46" i="21" s="1"/>
  <c r="R36" i="21" a="1"/>
  <c r="R36" i="21" s="1"/>
  <c r="F65" i="8"/>
  <c r="F10" i="9" s="1"/>
  <c r="F9" i="9"/>
  <c r="J55" i="8"/>
  <c r="J6" i="9" s="1"/>
  <c r="J5" i="9"/>
  <c r="E25" i="9"/>
  <c r="R36" i="20" a="1"/>
  <c r="R36" i="20" s="1"/>
  <c r="E63" i="19"/>
  <c r="R63" i="19" s="1" a="1"/>
  <c r="R63" i="19" s="1"/>
  <c r="E45" i="20"/>
  <c r="R45" i="20" s="1" a="1"/>
  <c r="R45" i="20" s="1"/>
  <c r="E54" i="19"/>
  <c r="R54" i="19" s="1" a="1"/>
  <c r="R54" i="19" s="1"/>
  <c r="R9" i="9"/>
  <c r="S54" i="8"/>
  <c r="L55" i="8"/>
  <c r="L6" i="9" s="1"/>
  <c r="E26" i="9"/>
  <c r="C6" i="9"/>
  <c r="C10" i="9"/>
  <c r="E22" i="9" l="1"/>
  <c r="E18" i="9"/>
  <c r="S75" i="8"/>
  <c r="E14" i="9"/>
  <c r="R65" i="8" a="1"/>
  <c r="R65" i="8" s="1"/>
  <c r="R10" i="9" s="1"/>
  <c r="R55" i="8" a="1"/>
  <c r="R55" i="8" s="1"/>
  <c r="R6" i="9" s="1"/>
  <c r="S55" i="8"/>
</calcChain>
</file>

<file path=xl/comments1.xml><?xml version="1.0" encoding="utf-8"?>
<comments xmlns="http://schemas.openxmlformats.org/spreadsheetml/2006/main">
  <authors>
    <author xml:space="preserve"> J. Chen</author>
  </authors>
  <commentList>
    <comment ref="S2" authorId="0" shape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J. Chen</author>
  </authors>
  <commentList>
    <comment ref="S2" authorId="0" shape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 xml:space="preserve"> J. Chen</author>
    <author>Jay Chen</author>
    <author>j.chen</author>
  </authors>
  <commentList>
    <comment ref="S2" authorId="0" shape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1" shapeId="0">
      <text>
        <r>
          <rPr>
            <b/>
            <sz val="9"/>
            <color indexed="81"/>
            <rFont val="Tahoma"/>
            <family val="2"/>
          </rPr>
          <t xml:space="preserve">In 7/2012 FIU uses 50 chr instead of 40 for medicine students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2" shapeId="0">
      <text>
        <r>
          <rPr>
            <b/>
            <sz val="8"/>
            <color indexed="81"/>
            <rFont val="Tahoma"/>
            <family val="2"/>
          </rPr>
          <t>Included in block fee at UF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1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1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I31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J31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1" authorId="2" shapeId="0">
      <text>
        <r>
          <rPr>
            <b/>
            <sz val="8"/>
            <color indexed="81"/>
            <rFont val="Tahoma"/>
            <family val="2"/>
          </rPr>
          <t>Included in block fee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2" shapeId="0">
      <text>
        <r>
          <rPr>
            <b/>
            <sz val="8"/>
            <color indexed="81"/>
            <rFont val="Tahoma"/>
            <family val="2"/>
          </rPr>
          <t xml:space="preserve">Included in block PharmD fee.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2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I32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>Included in DPT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3" authorId="2" shapeId="0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3" authorId="2" shapeId="0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3" authorId="2" shapeId="0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4" authorId="1" shapeId="0">
      <text>
        <r>
          <rPr>
            <b/>
            <sz val="9"/>
            <color indexed="81"/>
            <rFont val="Tahoma"/>
            <family val="2"/>
          </rPr>
          <t>On 7/24/12 FIU noted that it uses 50 instead of 40 chr for Medicine.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 J. Chen</author>
    <author>Jay Chen</author>
    <author>j.chen</author>
  </authors>
  <commentList>
    <comment ref="S2" authorId="0" shape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</rPr>
          <t xml:space="preserve">FIU uses 50 chr instead of 40 for medicine students
</t>
        </r>
      </text>
    </comment>
    <comment ref="C32" authorId="2" shapeId="0">
      <text>
        <r>
          <rPr>
            <b/>
            <sz val="8"/>
            <color indexed="81"/>
            <rFont val="Tahoma"/>
            <family val="2"/>
          </rPr>
          <t>Included in block fee at UF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2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I32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J32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2" authorId="2" shapeId="0">
      <text>
        <r>
          <rPr>
            <b/>
            <sz val="8"/>
            <color indexed="81"/>
            <rFont val="Tahoma"/>
            <family val="2"/>
          </rPr>
          <t>Included in block fee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 xml:space="preserve">Included in block PharmD fee.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3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3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I33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C34" authorId="2" shapeId="0">
      <text>
        <r>
          <rPr>
            <b/>
            <sz val="8"/>
            <color indexed="81"/>
            <rFont val="Tahoma"/>
            <family val="2"/>
          </rPr>
          <t>Included in DPT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4" authorId="2" shapeId="0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4" authorId="2" shapeId="0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3" authorId="1" shapeId="0">
      <text>
        <r>
          <rPr>
            <b/>
            <sz val="9"/>
            <color indexed="81"/>
            <rFont val="Tahoma"/>
            <family val="2"/>
          </rPr>
          <t>BOG approved in March, 2012 the CITF $1.38 increase for NCF and $2 increase for the rest.  FSU chooses to keep the old rate $4.44.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The Capital Improvement Trust Fund Fee (combines formerly Building fee + CITF fee) BOG approved in March, 2012 the CITF $1.38 increase for NCF and $2 increase for the rest.  FSU chooses to keep the old rate $4.44.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Jay Chen</author>
  </authors>
  <commentList>
    <comment ref="M9" authorId="0" shapeId="0">
      <text>
        <r>
          <rPr>
            <b/>
            <sz val="9"/>
            <color indexed="81"/>
            <rFont val="Tahoma"/>
            <family val="2"/>
          </rPr>
          <t>FIU uses 50 chr instead of 40 for medicine students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3" authorId="0" shapeId="0">
      <text>
        <r>
          <rPr>
            <b/>
            <sz val="9"/>
            <color indexed="81"/>
            <rFont val="Tahoma"/>
            <family val="2"/>
          </rPr>
          <t xml:space="preserve">BOG approved in March, 2012 the CITF $1.38 increase for NCF and $2 increase for the rest.  FSU chooses to keep the old rate $4.44.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jianzhong.chen</author>
    <author xml:space="preserve"> J. Chen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No current sheet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0" shapeId="0">
      <text>
        <r>
          <rPr>
            <b/>
            <sz val="8"/>
            <color indexed="81"/>
            <rFont val="Tahoma"/>
            <family val="2"/>
          </rPr>
          <t>Did not provide two separate sheet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0" shapeId="0">
      <text>
        <r>
          <rPr>
            <b/>
            <sz val="8"/>
            <color indexed="81"/>
            <rFont val="Tahoma"/>
            <family val="2"/>
          </rPr>
          <t>No current sheet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0" shapeId="0">
      <text>
        <r>
          <rPr>
            <b/>
            <sz val="8"/>
            <color indexed="81"/>
            <rFont val="Tahoma"/>
            <family val="2"/>
          </rPr>
          <t>UNF did not provide two separate sheets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No current sheet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for 2005 -06 Continued students data used.  2005-06 New students have a different number.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6" authorId="0" shapeId="0">
      <text>
        <r>
          <rPr>
            <b/>
            <sz val="8"/>
            <color indexed="81"/>
            <rFont val="Tahoma"/>
            <family val="2"/>
          </rPr>
          <t>Lower than last years? Need to check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0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Tampa campus only</t>
        </r>
      </text>
    </comment>
    <comment ref="K82" authorId="1" shapeId="0">
      <text>
        <r>
          <rPr>
            <b/>
            <sz val="8"/>
            <color indexed="81"/>
            <rFont val="Tahoma"/>
            <family val="2"/>
          </rPr>
          <t>On FIU James Bond 8/25/06 email to Pieter Swart, Prepaid College Board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2" authorId="2" shapeId="0">
      <text>
        <r>
          <rPr>
            <b/>
            <sz val="8"/>
            <color indexed="81"/>
            <rFont val="Tahoma"/>
            <family val="2"/>
          </rPr>
          <t>For Fall06, SP06; For Summer 07 $55.00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2" authorId="0" shapeId="0">
      <text>
        <r>
          <rPr>
            <b/>
            <sz val="8"/>
            <color indexed="81"/>
            <rFont val="Tahoma"/>
            <family val="2"/>
          </rPr>
          <t>Tampa campus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3" authorId="0" shapeId="0">
      <text>
        <r>
          <rPr>
            <b/>
            <sz val="8"/>
            <color indexed="81"/>
            <rFont val="Tahoma"/>
            <family val="2"/>
          </rPr>
          <t xml:space="preserve">Tampa Campus Only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FLDOE</author>
    <author xml:space="preserve"> </author>
  </authors>
  <commentList>
    <comment ref="I8" authorId="0" shapeId="0">
      <text>
        <r>
          <rPr>
            <sz val="8"/>
            <color indexed="81"/>
            <rFont val="Tahoma"/>
            <family val="2"/>
          </rPr>
          <t xml:space="preserve">UWF Notes: The 
</t>
        </r>
      </text>
    </comment>
    <comment ref="J8" authorId="0" shapeId="0">
      <text>
        <r>
          <rPr>
            <sz val="8"/>
            <color indexed="81"/>
            <rFont val="Tahoma"/>
            <family val="2"/>
          </rPr>
          <t xml:space="preserve">UCF Health Fee-$39.60 minimum, $99.00 maximum. Noted 7/6/05
</t>
        </r>
      </text>
    </comment>
    <comment ref="E13" authorId="1" shapeId="0">
      <text>
        <r>
          <rPr>
            <b/>
            <sz val="8"/>
            <color indexed="81"/>
            <rFont val="Tahoma"/>
            <family val="2"/>
          </rPr>
          <t>2006-07 New Students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6" authorId="0" shapeId="0">
      <text>
        <r>
          <rPr>
            <b/>
            <sz val="8"/>
            <color indexed="81"/>
            <rFont val="Tahoma"/>
            <family val="2"/>
          </rPr>
          <t>10/10/05 Tim confirmed FIU updated its non-resident Law tuition plus Out of State fee $666.67pch($229.07+$437.6)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1" authorId="0" shapeId="0">
      <text>
        <r>
          <rPr>
            <b/>
            <sz val="8"/>
            <color indexed="81"/>
            <rFont val="Tahoma"/>
            <family val="2"/>
          </rPr>
          <t>Added 10/10/05 on Tim's Regulation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</rPr>
          <t>Revised 10/19/05 per Tim's regulation review.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2" authorId="0" shapeId="0">
      <text>
        <r>
          <rPr>
            <b/>
            <sz val="8"/>
            <color indexed="81"/>
            <rFont val="Tahoma"/>
            <family val="2"/>
          </rPr>
          <t xml:space="preserve">FSU charges an Admissions Deposit to freshmen &amp; new law students. Noted 6/30/05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Regina Caldera Siewert</author>
  </authors>
  <commentList>
    <comment ref="F21" authorId="0" shapeId="0">
      <text>
        <r>
          <rPr>
            <b/>
            <sz val="8"/>
            <color indexed="81"/>
            <rFont val="Tahoma"/>
            <family val="2"/>
          </rPr>
          <t>Regina Caldera Siewert:</t>
        </r>
        <r>
          <rPr>
            <sz val="8"/>
            <color indexed="81"/>
            <rFont val="Tahoma"/>
            <family val="2"/>
          </rPr>
          <t xml:space="preserve">
A&amp;S $228.36
Athl $255.26
Health $200.32
Transp $64.00
Flat Fee A&amp;S $14.00
Flat Fee Athl $20.00</t>
        </r>
      </text>
    </comment>
  </commentList>
</comments>
</file>

<file path=xl/sharedStrings.xml><?xml version="1.0" encoding="utf-8"?>
<sst xmlns="http://schemas.openxmlformats.org/spreadsheetml/2006/main" count="1163" uniqueCount="315">
  <si>
    <t>UF</t>
  </si>
  <si>
    <t>FSU</t>
  </si>
  <si>
    <t>FAMU</t>
  </si>
  <si>
    <t>USF</t>
  </si>
  <si>
    <t>FAU</t>
  </si>
  <si>
    <t>UWF</t>
  </si>
  <si>
    <t>UCF</t>
  </si>
  <si>
    <t>FIU</t>
  </si>
  <si>
    <t>UNF</t>
  </si>
  <si>
    <t>FGCU</t>
  </si>
  <si>
    <t>NCF</t>
  </si>
  <si>
    <t>Average</t>
  </si>
  <si>
    <t>Main Campus Local Fees - per credit hour</t>
  </si>
  <si>
    <t>Activity &amp; Service</t>
  </si>
  <si>
    <t>Athletic</t>
  </si>
  <si>
    <t>Health</t>
  </si>
  <si>
    <t>Access/Trans</t>
  </si>
  <si>
    <t>Subtotal</t>
  </si>
  <si>
    <t>Main Campus Local Fees - block per term</t>
  </si>
  <si>
    <t>Main Campus Local Fees - block Med Students (annual)</t>
  </si>
  <si>
    <t>Other Fees - per credit hour</t>
  </si>
  <si>
    <t>Building</t>
  </si>
  <si>
    <t>CITF</t>
  </si>
  <si>
    <t>UNDERGRADUATE</t>
  </si>
  <si>
    <t>Resident Undergraduate, per credit hour</t>
  </si>
  <si>
    <t>Financial Aid</t>
  </si>
  <si>
    <t>Resident Undergraduate, total</t>
  </si>
  <si>
    <t>2 Sem (30 hrs.)</t>
  </si>
  <si>
    <t>Per hour</t>
  </si>
  <si>
    <t>Non-Resident Undergraduate, per credit hour</t>
  </si>
  <si>
    <t>Tuition</t>
  </si>
  <si>
    <t>Non-Resident Undergraduate, total</t>
  </si>
  <si>
    <t>GRADUATE</t>
  </si>
  <si>
    <t>Resident Graduate, per credit hour</t>
  </si>
  <si>
    <t>Resident Graduate, total</t>
  </si>
  <si>
    <t>2 Sem (24 hrs.)</t>
  </si>
  <si>
    <t>Non-Resident Graduate, per credit hour</t>
  </si>
  <si>
    <t>Non-Resident Graduate, total</t>
  </si>
  <si>
    <t>LAW</t>
  </si>
  <si>
    <t>Resident Law, per credit hour</t>
  </si>
  <si>
    <t>Resident Law, total</t>
  </si>
  <si>
    <t>Non-Resident Law, per credit hour</t>
  </si>
  <si>
    <t>Non-Resident Law, total</t>
  </si>
  <si>
    <t>MEDICAL</t>
  </si>
  <si>
    <t>Resident Medical, annually</t>
  </si>
  <si>
    <t>Resident Medical, total</t>
  </si>
  <si>
    <t>Annually</t>
  </si>
  <si>
    <t>Non-Resident Medical, annually</t>
  </si>
  <si>
    <t>Non-Resident Medical, total</t>
  </si>
  <si>
    <t>VETERINARY MEDICINE</t>
  </si>
  <si>
    <t>Resident Vet. Med., annually</t>
  </si>
  <si>
    <t>Resident Vet. Med., total</t>
  </si>
  <si>
    <t>Non-Resident Vet. Med., annually</t>
  </si>
  <si>
    <t>Non-Resident Vet. Med., total</t>
  </si>
  <si>
    <t>DENTISTRY</t>
  </si>
  <si>
    <t>Resident Dentistry, annually</t>
  </si>
  <si>
    <t>Resident Dentistry, total</t>
  </si>
  <si>
    <t>Non-Resident Dentistry, annually</t>
  </si>
  <si>
    <t>Non-Resident Dentistry, total</t>
  </si>
  <si>
    <t>Resident Undergraduate, Full-time student, two semesters (30 credit hours)</t>
  </si>
  <si>
    <t>30 Hours</t>
  </si>
  <si>
    <t>Per Hour</t>
  </si>
  <si>
    <t>Resident Graduate, Full-time student, two semesters (24 credit hours)</t>
  </si>
  <si>
    <t>24 Hours</t>
  </si>
  <si>
    <t>Resident Law, Full-time student, two semesters (24 credit hours)</t>
  </si>
  <si>
    <t>Florida Residents</t>
  </si>
  <si>
    <t>Graduate</t>
  </si>
  <si>
    <t>Law</t>
  </si>
  <si>
    <t>Medicine*</t>
  </si>
  <si>
    <t>Vet Med*</t>
  </si>
  <si>
    <t>Dentistry*</t>
  </si>
  <si>
    <t>Financial Aid Fees</t>
  </si>
  <si>
    <t>Main Campus Local Fees</t>
  </si>
  <si>
    <t>Activity and Service Fees</t>
  </si>
  <si>
    <t>Per SCH</t>
  </si>
  <si>
    <t>Block</t>
  </si>
  <si>
    <t>Athletic Fees</t>
  </si>
  <si>
    <t>Health Fees</t>
  </si>
  <si>
    <t>Campus Access/Transportation Fees</t>
  </si>
  <si>
    <t>Medical Students Block Annual Fees</t>
  </si>
  <si>
    <t>Admissions Deposit</t>
  </si>
  <si>
    <t>Marshall Center Fee</t>
  </si>
  <si>
    <t>% Increase over 2003-04</t>
  </si>
  <si>
    <t>Tuition &amp; Out-of-State Fee</t>
  </si>
  <si>
    <t>Public Colleges and Universities of Florida, Tuition and Required Fees, 2004-05</t>
  </si>
  <si>
    <t>Annually (40 hrs)</t>
  </si>
  <si>
    <t>Annually (40hrs)</t>
  </si>
  <si>
    <t>(Medicine, Veterinary Medicine and Dentistry which are Annual Amounts)</t>
  </si>
  <si>
    <t xml:space="preserve">For resident undergraduates, the default value is the General Appropriations Act maximum. Cells colored in yellow are Last Year's Value.  </t>
  </si>
  <si>
    <t>Nonresident tuition includes tuition and out-of-state fees.</t>
  </si>
  <si>
    <t>Financial Aid Fee Calculates Automatically at 5%; Change if Needed.</t>
  </si>
  <si>
    <t>Undergrad</t>
  </si>
  <si>
    <t>Law-New</t>
  </si>
  <si>
    <t>Pharmacy</t>
  </si>
  <si>
    <t>Physical Therapy*</t>
  </si>
  <si>
    <t>Building Fees ($2.32) and the Capital Improvement Trust Fund Fee ($2.44)</t>
  </si>
  <si>
    <t>Nonresident</t>
  </si>
  <si>
    <t>Tuition and Out-of-State Fee</t>
  </si>
  <si>
    <t>Law - New</t>
  </si>
  <si>
    <t>Per SCH- Changing NCAA Divisions**</t>
  </si>
  <si>
    <t>Total Per SCH</t>
  </si>
  <si>
    <t>Pharmacy Students Block Annual Fees</t>
  </si>
  <si>
    <t>Other Required Fees</t>
  </si>
  <si>
    <t>List Per SCH/Block fees as needed and attach explanation</t>
  </si>
  <si>
    <t>SCH</t>
  </si>
  <si>
    <t>*Annual</t>
  </si>
  <si>
    <t>** Per SCH attributable to changing NCAA Divisions.  Per 1009.24(3) - Universities can charge up to an additional $2 per SCH if changing NCAA divisions.  These fees are not reimbursable under Bright Futures.</t>
  </si>
  <si>
    <t xml:space="preserve">Note 1: In addition to the tuition fees set forth, the FIU shall levy and collect an additional resident, matriculation fee of $28.79 per credit hour for graduate </t>
  </si>
  <si>
    <t xml:space="preserve">students enrolled in the School of Architecture effective Fall 2005.  The additional fees authorized by this paragraph shall not apply to graduate students </t>
  </si>
  <si>
    <t>who were enrolled in a graduate program in the School of Architecture prior to Fall 2005 and re-enroll in the same graduate program.</t>
  </si>
  <si>
    <t>Note 2: UWF numbers do not address Third Time Repeat Fee.  Fee rates do not include Material and Supply Fee, if applicable.  Alabama differential rates have also not been addressed.</t>
  </si>
  <si>
    <t xml:space="preserve">             Courses taken off-campus do not incur the Health or Transportation Fees.</t>
  </si>
  <si>
    <t>% Increase over 2004-05</t>
  </si>
  <si>
    <t>Changing NCAA Athletic Divisions</t>
  </si>
  <si>
    <t>PHARMACY</t>
  </si>
  <si>
    <t>Resident Pharmacy, annually</t>
  </si>
  <si>
    <t>Resident Pharmacy, total</t>
  </si>
  <si>
    <t>PHYSICAL THERAPY</t>
  </si>
  <si>
    <t>Resident Physical Therapy, total</t>
  </si>
  <si>
    <t>2006-07 Tuition and Fees Per Credit Hour Survey Form</t>
  </si>
  <si>
    <t>(Medicine, Veterinary Medicine, Pharmacy, Physical Therapy, and Dentistry which are Annual Amounts)</t>
  </si>
  <si>
    <t>Nurse Anesthetist</t>
  </si>
  <si>
    <t>Pharmacy*</t>
  </si>
  <si>
    <t>Master Public Health</t>
  </si>
  <si>
    <t>Current Students</t>
  </si>
  <si>
    <t xml:space="preserve">Law-2005-06 Continuing </t>
  </si>
  <si>
    <t>Law-2005-06 New</t>
  </si>
  <si>
    <t>*Annual.  UF's Physical</t>
  </si>
  <si>
    <t>Resident Nurse Anesthetist, total</t>
  </si>
  <si>
    <t>Avg</t>
  </si>
  <si>
    <t>Weighted</t>
  </si>
  <si>
    <t>Resident Master Public Health, total</t>
  </si>
  <si>
    <t>Physical Therapy Students Block Annual Fees</t>
  </si>
  <si>
    <t>UF Fall 05</t>
  </si>
  <si>
    <t>Main Campus Local Fees - Block Physical Therapy Students (Annual)</t>
  </si>
  <si>
    <t>-</t>
  </si>
  <si>
    <t>Total</t>
  </si>
  <si>
    <t>Grad</t>
  </si>
  <si>
    <t>Fall 2005 Enrollment</t>
  </si>
  <si>
    <t>All</t>
  </si>
  <si>
    <t>list</t>
  </si>
  <si>
    <t>Master Public Health*48 Hrs</t>
  </si>
  <si>
    <t>Masters in Public Health (48hrs) Students Block Annual Fees</t>
  </si>
  <si>
    <t>Student Affairs Facility Use Fee</t>
  </si>
  <si>
    <t>Campus Access/Trans</t>
  </si>
  <si>
    <t>Tuition Differential Fee for Undergrad</t>
  </si>
  <si>
    <t>Financial Aid Fees (Upto 5% of Tuition)</t>
  </si>
  <si>
    <t>Technology Fee (Upto 5% of Tuition)</t>
  </si>
  <si>
    <t>Undergrad. Base Tuition/SCH</t>
  </si>
  <si>
    <t>Graduate/SCH</t>
  </si>
  <si>
    <t>Law/SCH</t>
  </si>
  <si>
    <t>Per SCH for Law</t>
  </si>
  <si>
    <t>(Insert new rows for additional categories)</t>
  </si>
  <si>
    <t>Master Public Health*42 Hrs</t>
  </si>
  <si>
    <t>Master Public Health* 48 Hrs</t>
  </si>
  <si>
    <t>Master Public Health* 42 Hrs</t>
  </si>
  <si>
    <t>Masters in Public Health (42hrs) Students Block Annual Fees</t>
  </si>
  <si>
    <t>Tuition Differential/SCH</t>
  </si>
  <si>
    <t>Max Block Fee/Semester</t>
  </si>
  <si>
    <t>For VA Office</t>
  </si>
  <si>
    <t>Max FL. Undergrad Tuition/CHr</t>
  </si>
  <si>
    <t>Max FL. Undergrad Fees/CHr</t>
  </si>
  <si>
    <t>2009-10 Florida Resident Undergraduate Tuition and Fees</t>
  </si>
  <si>
    <t>State University System of Florida</t>
  </si>
  <si>
    <t>Nurse Anesthetist*32</t>
  </si>
  <si>
    <t>(Medicine, Nurse Anesthetist, Veterinary Medicine, Pharmacy, Physical Therapy, Dentistry, and Master Public Health which are Annual Amounts)</t>
  </si>
  <si>
    <t>Technology Fee for Undergraduate</t>
  </si>
  <si>
    <t>Non-Resident Undergraduate, Full-time student, two semesters (30 credit hours)</t>
  </si>
  <si>
    <t>Non-Resident Graduate, Full-time student, two semesters (24 credit hours)</t>
  </si>
  <si>
    <t>Non-Resident Law, Full-time student, two semesters (24 credit hours)</t>
  </si>
  <si>
    <t>Non-Resident Pharmacy, total</t>
  </si>
  <si>
    <t>Non-Resident Pharmacy, annually</t>
  </si>
  <si>
    <t>Non-Resident Physical Therapy, total</t>
  </si>
  <si>
    <t>Non-Resident Nurse Anesthetist, annually</t>
  </si>
  <si>
    <t>Non-Resident Nurse Anesthetist, total</t>
  </si>
  <si>
    <t>Non-Resident Master Public Health, total</t>
  </si>
  <si>
    <t>Non-Resident Physical Therapy, annually</t>
  </si>
  <si>
    <t>Per SCH for Non-FL Graduate</t>
  </si>
  <si>
    <t>Per SCH for FL Graduate</t>
  </si>
  <si>
    <t>For New Students in Main Campus</t>
  </si>
  <si>
    <t>Technology Fee for Resident Graduate</t>
  </si>
  <si>
    <t>Technology Fee for Non-Resident Graduate</t>
  </si>
  <si>
    <t>Main Campus Local Fees - Block Med/Vet./Dentistry Students (annual)</t>
  </si>
  <si>
    <t>Resident Subtotal</t>
  </si>
  <si>
    <t>Non-Resident Subtotal</t>
  </si>
  <si>
    <t>Main Campus Local Fees - Block Pharmacy Students (annual)</t>
  </si>
  <si>
    <t>Main Campus Local Fees - Block Public Health (42hrs) Students (Annual)</t>
  </si>
  <si>
    <t>Block Annual for Resident</t>
  </si>
  <si>
    <t>Block Annual for Non-Resident</t>
  </si>
  <si>
    <t>Technology Fee for Law</t>
  </si>
  <si>
    <t>Technology Fee for Nurse Anesthetist (FL/Non-FL)</t>
  </si>
  <si>
    <t>Resident Med/Vet./Dentistry (annual)</t>
  </si>
  <si>
    <t>Non-Resident Med/Vet./Dentistry (annual)</t>
  </si>
  <si>
    <t>Technology Fees for Physical Therapy (FL/NonFL)</t>
  </si>
  <si>
    <t>Per SCH for Physical Therapy (FL/Non-FL)</t>
  </si>
  <si>
    <t>USF Marshall Center or FSU Student Affairs Facility Use Fee</t>
  </si>
  <si>
    <t>Per SCH for Undergraduate (FL/Non_FL)</t>
  </si>
  <si>
    <t>Insert Any New Fee Category Here (Per Credit Hour)</t>
  </si>
  <si>
    <t>UNF_Student Life &amp; Services</t>
  </si>
  <si>
    <t>Block Per Term</t>
  </si>
  <si>
    <t>Block Annual</t>
  </si>
  <si>
    <t xml:space="preserve">Block Annual </t>
  </si>
  <si>
    <t>Block Per Term for Medical (FL/NonFL)</t>
  </si>
  <si>
    <t>Tuition &amp; Fee for Medicine*</t>
  </si>
  <si>
    <t>Tuition &amp; Fee for Nurse Anesthetist*32</t>
  </si>
  <si>
    <t>Tuition &amp; Fee for Vet Med*</t>
  </si>
  <si>
    <t>Tuition &amp; Fee for Pharmacy*</t>
  </si>
  <si>
    <t>Tuition &amp; Fee for Physical Therapy*40</t>
  </si>
  <si>
    <t>Tuition &amp; Fee for Dentistry*</t>
  </si>
  <si>
    <t>Tuition &amp; Fee for Master Public Health* 48 Hrs</t>
  </si>
  <si>
    <t>Tuition &amp; Fee for Master Public Health* 42 Hrs</t>
  </si>
  <si>
    <t>"Base Tuition" + "Out-of-State Fee"</t>
  </si>
  <si>
    <t>Tuition &amp; Fee for Graduate</t>
  </si>
  <si>
    <t>Tuition &amp; Fee for Law</t>
  </si>
  <si>
    <t>Nonresident tuition and fee = Base Tuition + Out-of-State Fee.</t>
  </si>
  <si>
    <t xml:space="preserve">For resident undergraduate base tuition, the default value is the General Appropriations Act maximum. </t>
  </si>
  <si>
    <t>Financial aid fee for resident undergraduate calculates automatically at 5% rounding down in two decimal; change if needed.</t>
  </si>
  <si>
    <t>Design, Construction, Planning Graduate Programs/SCH</t>
  </si>
  <si>
    <t>Physician Assistants Program/SCH</t>
  </si>
  <si>
    <t>Design, Construction, Planning Graduate Programs</t>
  </si>
  <si>
    <t>Physician Assistants Program</t>
  </si>
  <si>
    <t>Tuition &amp; Fee for Design, Construction, Planning Graduate Programs</t>
  </si>
  <si>
    <t>Tuition &amp; Fee Physician Assistants Program</t>
  </si>
  <si>
    <t>Per SCH for Design, Construction, Planning Graduate Programs (FL/Non_FL)</t>
  </si>
  <si>
    <t>Per SCH for Physician Assistants Program (FL/Non_FL)</t>
  </si>
  <si>
    <t>Tuition &amp; Fee for Sign Interpreter Training (DL/SCH)</t>
  </si>
  <si>
    <t>Sign Interpreter Training (DL/SCH)</t>
  </si>
  <si>
    <t>Green Fee</t>
  </si>
  <si>
    <t>Other (USF Marshall Center Fee - $1.5, FSU Student Affairs Facility Use Fee - $2, UNF Student Life and Services Fee - $5.16.</t>
  </si>
  <si>
    <t>Ann. Tech. Fees FL/NFL Physical Therapy</t>
  </si>
  <si>
    <t>Ann. Tech. Fees FL/NFL Pharmacy</t>
  </si>
  <si>
    <t>Ann. Physical Therapy (FL/NonFL)</t>
  </si>
  <si>
    <t>Ann. Med,Vet,Dentistry FL/NonFL</t>
  </si>
  <si>
    <t>Ann. Tech. Fee -FL/NFL Med/Vet/Dentistry</t>
  </si>
  <si>
    <t>Vet Med (Ann. 40 hrs)</t>
  </si>
  <si>
    <t>Medicine (Ann. 40-UF, FSU, USF, FAU &amp; 50 hrs-FIU)</t>
  </si>
  <si>
    <t>Pharmacy (Ann. 36-UF,  hrs)</t>
  </si>
  <si>
    <t>Master Public Health* (21 Hrs)</t>
  </si>
  <si>
    <t>Medicine* (40-UF, FSU, USF, FAU &amp; 50 hrs-FIU)</t>
  </si>
  <si>
    <t>Nurse Anesthetist* (32hrs-UNF)</t>
  </si>
  <si>
    <t>Vet Med* (40hrs)</t>
  </si>
  <si>
    <t>Pharmacy* (36-UF &amp; 32-USF)</t>
  </si>
  <si>
    <t>Physical Therapy* (39-UF, 32-USF, 40-UCF)</t>
  </si>
  <si>
    <t>Dentistry* (40-UF)</t>
  </si>
  <si>
    <t>Master Public Health* (24 Hrs)</t>
  </si>
  <si>
    <t>*Annual - Two term in an academic year.</t>
  </si>
  <si>
    <t>Resident Medical, Full-time student</t>
  </si>
  <si>
    <t>Non-Resident Medical, Full-time student</t>
  </si>
  <si>
    <t>Resident Vet. Med., Full-time student</t>
  </si>
  <si>
    <t>Non-Resident Vet. Med., Full-time student</t>
  </si>
  <si>
    <t>Resident Dentistry, Full-time student</t>
  </si>
  <si>
    <t>Non-Resident Dentistry, Full-time student</t>
  </si>
  <si>
    <t>Resident Pharmacy, Full-time student</t>
  </si>
  <si>
    <t>Non-Resident Pharmacy, Full-time student</t>
  </si>
  <si>
    <t>Resident Physical Therapy, Full-time student</t>
  </si>
  <si>
    <t>Non-Resident Physical Therapy, Full-time student</t>
  </si>
  <si>
    <t>Resident Master Public Health</t>
  </si>
  <si>
    <t>Non-Resident Master Public Health</t>
  </si>
  <si>
    <t>Resident Nurse Anesthetist, Full-time student</t>
  </si>
  <si>
    <t>Non-Resident Nurse Anesthetist, Full-time student</t>
  </si>
  <si>
    <t>Resident Physical Therapy, annually</t>
  </si>
  <si>
    <t>Resident Master Public Health, annually</t>
  </si>
  <si>
    <t>Non-Resident Master Public Health, annually</t>
  </si>
  <si>
    <t>Resident Nurse Anesthetist, annually</t>
  </si>
  <si>
    <t>Note 1:  Per SCH attributable to changing NCAA Divisions.  Per 1009.24(3) - Universities can charge up to an additional $2 per SCH if changing NCAA divisions.  These fees are not reimbursable under Bright Futures.</t>
  </si>
  <si>
    <t>Ann. PharmD (FL/NonFL)</t>
  </si>
  <si>
    <t>Note 2:  Students for PharmD (FAMU) and Doctoral of Physical Therapy (FAMU, FGCU, FIU, and UNF) are charged regular graduate tuition and fees.</t>
  </si>
  <si>
    <t>USF-T</t>
  </si>
  <si>
    <t>Per SCH forNurse Anesthetist*32 for FL/Non-FL</t>
  </si>
  <si>
    <t>Tuition Differential Fee</t>
  </si>
  <si>
    <t>For New Undergraduates in Main Campus</t>
  </si>
  <si>
    <t>USF Marshall Center or FSU Student Affairs Facility Use</t>
  </si>
  <si>
    <t>For New Graduate Students in Main Campus</t>
  </si>
  <si>
    <t>For New Professional Students in Main Campus</t>
  </si>
  <si>
    <t>AVG</t>
  </si>
  <si>
    <t>The Capital Improvement Trust Fund (CITF) fee, per credit hour (combines formerly Building fee + CITF fee)</t>
  </si>
  <si>
    <t>USF-SP</t>
  </si>
  <si>
    <t>USF-SM</t>
  </si>
  <si>
    <t>Note 3:  USF-T (USF-Tampa), USF-SP (USF-St. Petersburg), USF-SM (USF-Sarasota-Manatee)</t>
  </si>
  <si>
    <t>Note 1:  Students for PharmD (FAMU) and Doctoral of Physical Therapy (FAMU, FGCU, FIU, and UNF) are charged regular graduate tuition and fees.</t>
  </si>
  <si>
    <t>Note 2:  USF-T (USF-Tampa), USF-SP (USF-St. Petersburg), USF-SM (USF-Sarasota-Manatee)</t>
  </si>
  <si>
    <t>The Capital Improvement Trust Fund Fee</t>
  </si>
  <si>
    <t>Tuition Waiver</t>
  </si>
  <si>
    <t>Florida Interactive Entertainment Academy*30 Hrs</t>
  </si>
  <si>
    <t>Per SCH for FIEA (FL/Non-FL)</t>
  </si>
  <si>
    <t>Law/SCH (Tax LLM Programs)</t>
  </si>
  <si>
    <t>Law (Tax LLM Programs)</t>
  </si>
  <si>
    <t>Tuition &amp; Fee for Law (Tax LLM Programs)</t>
  </si>
  <si>
    <t>Per SCH for Law (Tax LLM Programs)</t>
  </si>
  <si>
    <t>Nursing Practicum*32</t>
  </si>
  <si>
    <t>Athletic Training Education*32</t>
  </si>
  <si>
    <t>Speech Language Pathology*32</t>
  </si>
  <si>
    <t>Occupational Therapy*32</t>
  </si>
  <si>
    <t>Per SCH for Nursing Practicum (FL/Non-FL)</t>
  </si>
  <si>
    <t>Per SCH for Athletic Training Education (FL/Non-FL)</t>
  </si>
  <si>
    <t>Per SCH for Speech Language Pathology (FL/Non-FL)</t>
  </si>
  <si>
    <t>Per SCH for Occupational Therapy (FL/Non-FL)</t>
  </si>
  <si>
    <t>Other (USF Marshall Center Fee - $1.5, FSU Student Affairs Facility Use Fee - $2, UNF Student Life and Services Fee - $5.25.</t>
  </si>
  <si>
    <t>Other (USF Marshall Center Fee - $1.5, FSU Student Affairs Facility Use Fee - $2, UNF Student Life and Services Fee - $5.25</t>
  </si>
  <si>
    <t>Cost of Attendance</t>
  </si>
  <si>
    <t>(For Full-Time Undergraduate Florida Residents in the Fall and Spring of 2014-15)</t>
  </si>
  <si>
    <t>Tuition &amp; Fees</t>
  </si>
  <si>
    <t>Books &amp; Supplies</t>
  </si>
  <si>
    <t>Room &amp; Board</t>
  </si>
  <si>
    <t>Transportation</t>
  </si>
  <si>
    <t>Other Expenses</t>
  </si>
  <si>
    <t>On-Campus</t>
  </si>
  <si>
    <t>At Home</t>
  </si>
  <si>
    <t>FPU</t>
  </si>
  <si>
    <t>UF Online</t>
  </si>
  <si>
    <t>Public Colleges and Universities of Florida, Tuition and Required Fees, 2014-15</t>
  </si>
  <si>
    <t>Tuition and Fees Survey for New Students on Main Campus 2014-15</t>
  </si>
  <si>
    <r>
      <t>Non-resident Tuition &amp; Fee ( =</t>
    </r>
    <r>
      <rPr>
        <b/>
        <u/>
        <sz val="11"/>
        <color indexed="10"/>
        <rFont val="Arial"/>
        <family val="2"/>
      </rPr>
      <t>" Base Tuition"  + "Out-of-State Fee"</t>
    </r>
    <r>
      <rPr>
        <b/>
        <u/>
        <sz val="11"/>
        <rFont val="Arial"/>
        <family val="2"/>
      </rPr>
      <t>)</t>
    </r>
  </si>
  <si>
    <t>Note: Grad Resident tuition and financial aid fee as well as Health fee and Athletic fee changed with consent of Rick Powell (UNF).  Changed to match regulation.</t>
  </si>
  <si>
    <t>Technology Fees for Medical (FL/NonFL)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</si>
</sst>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"/>
    <numFmt numFmtId="165" formatCode="&quot;$&quot;#,##0.000_);[Red]\(&quot;$&quot;#,##0.000\)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32"/>
      <name val="Times New Roman"/>
      <family val="1"/>
    </font>
    <font>
      <b/>
      <sz val="18"/>
      <color indexed="3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7"/>
      <name val="Arial"/>
      <family val="2"/>
    </font>
    <font>
      <u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Book Antiqua"/>
      <family val="1"/>
    </font>
    <font>
      <u/>
      <sz val="10"/>
      <color indexed="1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u/>
      <sz val="10"/>
      <name val="Book Antiqua"/>
      <family val="1"/>
    </font>
    <font>
      <b/>
      <u/>
      <sz val="10"/>
      <name val="Book Antiqua"/>
      <family val="1"/>
    </font>
    <font>
      <sz val="10"/>
      <color indexed="10"/>
      <name val="Book Antiqua"/>
      <family val="1"/>
    </font>
    <font>
      <sz val="8"/>
      <name val="Book Antiqua"/>
      <family val="1"/>
    </font>
    <font>
      <sz val="7"/>
      <color indexed="10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23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Book Antiqua"/>
      <family val="1"/>
    </font>
    <font>
      <sz val="12"/>
      <color indexed="10"/>
      <name val="Book Antiqua"/>
      <family val="1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20"/>
      <color indexed="32"/>
      <name val="Arial"/>
      <family val="2"/>
    </font>
    <font>
      <b/>
      <sz val="18"/>
      <color indexed="32"/>
      <name val="Arial"/>
      <family val="2"/>
    </font>
    <font>
      <b/>
      <sz val="14"/>
      <name val="Arial"/>
      <family val="2"/>
    </font>
    <font>
      <b/>
      <i/>
      <sz val="10"/>
      <color rgb="FFFF000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2"/>
      <color indexed="10"/>
      <name val="Arial"/>
      <family val="2"/>
    </font>
    <font>
      <b/>
      <u/>
      <sz val="11"/>
      <name val="Arial"/>
      <family val="2"/>
    </font>
    <font>
      <b/>
      <u/>
      <sz val="11"/>
      <color indexed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2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6" applyNumberFormat="0" applyFill="0" applyAlignment="0" applyProtection="0"/>
    <xf numFmtId="0" fontId="42" fillId="22" borderId="0" applyNumberFormat="0" applyBorder="0" applyAlignment="0" applyProtection="0"/>
    <xf numFmtId="0" fontId="30" fillId="0" borderId="0"/>
    <xf numFmtId="0" fontId="49" fillId="0" borderId="0"/>
    <xf numFmtId="0" fontId="50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43" fillId="20" borderId="8" applyNumberFormat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9" fillId="23" borderId="7" applyNumberFormat="0" applyFont="0" applyAlignment="0" applyProtection="0"/>
    <xf numFmtId="9" fontId="49" fillId="0" borderId="0" applyFont="0" applyFill="0" applyBorder="0" applyAlignment="0" applyProtection="0"/>
    <xf numFmtId="0" fontId="3" fillId="0" borderId="0"/>
    <xf numFmtId="0" fontId="3" fillId="0" borderId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" fillId="0" borderId="0"/>
    <xf numFmtId="0" fontId="51" fillId="23" borderId="7" applyNumberFormat="0" applyFont="0" applyAlignment="0" applyProtection="0"/>
    <xf numFmtId="9" fontId="5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3" borderId="7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3" borderId="7" applyNumberFormat="0" applyFont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48">
    <xf numFmtId="0" fontId="0" fillId="0" borderId="0" xfId="0"/>
    <xf numFmtId="0" fontId="4" fillId="0" borderId="0" xfId="42" applyFont="1" applyAlignment="1">
      <alignment horizontal="centerContinuous"/>
    </xf>
    <xf numFmtId="0" fontId="5" fillId="0" borderId="0" xfId="42" applyFont="1" applyAlignment="1">
      <alignment horizontal="centerContinuous"/>
    </xf>
    <xf numFmtId="0" fontId="3" fillId="0" borderId="0" xfId="43" applyAlignment="1">
      <alignment horizontal="centerContinuous"/>
    </xf>
    <xf numFmtId="0" fontId="3" fillId="0" borderId="0" xfId="43"/>
    <xf numFmtId="0" fontId="6" fillId="0" borderId="0" xfId="43" applyFont="1" applyAlignment="1">
      <alignment horizontal="center"/>
    </xf>
    <xf numFmtId="0" fontId="7" fillId="0" borderId="0" xfId="43" applyFont="1"/>
    <xf numFmtId="0" fontId="3" fillId="0" borderId="0" xfId="43" applyFont="1" applyAlignment="1">
      <alignment horizontal="right"/>
    </xf>
    <xf numFmtId="8" fontId="3" fillId="0" borderId="0" xfId="43" applyNumberFormat="1"/>
    <xf numFmtId="8" fontId="3" fillId="0" borderId="10" xfId="43" applyNumberFormat="1" applyBorder="1"/>
    <xf numFmtId="0" fontId="3" fillId="0" borderId="0" xfId="43" applyFont="1"/>
    <xf numFmtId="0" fontId="8" fillId="0" borderId="0" xfId="43" applyFont="1" applyAlignment="1">
      <alignment horizontal="centerContinuous"/>
    </xf>
    <xf numFmtId="8" fontId="3" fillId="0" borderId="0" xfId="43" applyNumberFormat="1" applyAlignment="1">
      <alignment horizontal="centerContinuous"/>
    </xf>
    <xf numFmtId="0" fontId="9" fillId="0" borderId="0" xfId="43" applyFont="1" applyAlignment="1">
      <alignment horizontal="right"/>
    </xf>
    <xf numFmtId="164" fontId="3" fillId="0" borderId="0" xfId="43" applyNumberFormat="1"/>
    <xf numFmtId="0" fontId="10" fillId="0" borderId="0" xfId="43" applyFont="1" applyAlignment="1">
      <alignment horizontal="centerContinuous"/>
    </xf>
    <xf numFmtId="8" fontId="13" fillId="0" borderId="0" xfId="0" applyNumberFormat="1" applyFont="1" applyAlignment="1">
      <alignment horizontal="centerContinuous"/>
    </xf>
    <xf numFmtId="8" fontId="6" fillId="0" borderId="0" xfId="0" applyNumberFormat="1" applyFont="1" applyAlignment="1">
      <alignment horizontal="centerContinuous"/>
    </xf>
    <xf numFmtId="8" fontId="0" fillId="0" borderId="0" xfId="0" applyNumberFormat="1"/>
    <xf numFmtId="164" fontId="0" fillId="0" borderId="0" xfId="0" applyNumberFormat="1"/>
    <xf numFmtId="8" fontId="6" fillId="0" borderId="0" xfId="0" applyNumberFormat="1" applyFont="1"/>
    <xf numFmtId="8" fontId="6" fillId="0" borderId="0" xfId="0" applyNumberFormat="1" applyFont="1" applyAlignment="1">
      <alignment horizontal="center"/>
    </xf>
    <xf numFmtId="8" fontId="7" fillId="0" borderId="0" xfId="0" applyNumberFormat="1" applyFont="1"/>
    <xf numFmtId="8" fontId="0" fillId="0" borderId="11" xfId="0" applyNumberFormat="1" applyBorder="1" applyProtection="1">
      <protection locked="0"/>
    </xf>
    <xf numFmtId="8" fontId="0" fillId="0" borderId="12" xfId="0" applyNumberFormat="1" applyBorder="1" applyProtection="1">
      <protection locked="0"/>
    </xf>
    <xf numFmtId="8" fontId="0" fillId="0" borderId="13" xfId="0" applyNumberFormat="1" applyBorder="1" applyProtection="1">
      <protection locked="0"/>
    </xf>
    <xf numFmtId="8" fontId="0" fillId="24" borderId="14" xfId="0" applyNumberFormat="1" applyFill="1" applyBorder="1"/>
    <xf numFmtId="8" fontId="0" fillId="24" borderId="13" xfId="0" applyNumberFormat="1" applyFill="1" applyBorder="1"/>
    <xf numFmtId="8" fontId="0" fillId="0" borderId="15" xfId="0" applyNumberFormat="1" applyBorder="1" applyProtection="1">
      <protection locked="0"/>
    </xf>
    <xf numFmtId="8" fontId="0" fillId="24" borderId="16" xfId="0" applyNumberFormat="1" applyFill="1" applyBorder="1"/>
    <xf numFmtId="8" fontId="0" fillId="24" borderId="17" xfId="0" applyNumberFormat="1" applyFill="1" applyBorder="1"/>
    <xf numFmtId="165" fontId="0" fillId="0" borderId="0" xfId="0" applyNumberFormat="1"/>
    <xf numFmtId="8" fontId="0" fillId="0" borderId="18" xfId="0" applyNumberFormat="1" applyBorder="1" applyProtection="1">
      <protection locked="0"/>
    </xf>
    <xf numFmtId="8" fontId="0" fillId="0" borderId="19" xfId="0" applyNumberFormat="1" applyBorder="1" applyProtection="1">
      <protection locked="0"/>
    </xf>
    <xf numFmtId="8" fontId="0" fillId="0" borderId="11" xfId="0" applyNumberFormat="1" applyBorder="1"/>
    <xf numFmtId="8" fontId="0" fillId="0" borderId="18" xfId="0" applyNumberFormat="1" applyBorder="1"/>
    <xf numFmtId="8" fontId="0" fillId="0" borderId="12" xfId="0" applyNumberFormat="1" applyBorder="1"/>
    <xf numFmtId="8" fontId="0" fillId="0" borderId="13" xfId="0" applyNumberFormat="1" applyBorder="1"/>
    <xf numFmtId="8" fontId="0" fillId="0" borderId="16" xfId="0" applyNumberFormat="1" applyBorder="1" applyProtection="1">
      <protection locked="0"/>
    </xf>
    <xf numFmtId="8" fontId="0" fillId="0" borderId="0" xfId="0" applyNumberFormat="1" applyProtection="1">
      <protection locked="0"/>
    </xf>
    <xf numFmtId="8" fontId="0" fillId="0" borderId="20" xfId="0" applyNumberFormat="1" applyBorder="1" applyProtection="1">
      <protection locked="0"/>
    </xf>
    <xf numFmtId="8" fontId="0" fillId="0" borderId="21" xfId="0" applyNumberFormat="1" applyBorder="1" applyProtection="1">
      <protection locked="0"/>
    </xf>
    <xf numFmtId="8" fontId="0" fillId="0" borderId="0" xfId="0" applyNumberFormat="1" applyBorder="1" applyProtection="1">
      <protection locked="0"/>
    </xf>
    <xf numFmtId="8" fontId="0" fillId="0" borderId="0" xfId="0" applyNumberFormat="1" applyFill="1" applyBorder="1" applyProtection="1">
      <protection locked="0"/>
    </xf>
    <xf numFmtId="8" fontId="0" fillId="0" borderId="20" xfId="0" applyNumberFormat="1" applyBorder="1"/>
    <xf numFmtId="8" fontId="0" fillId="0" borderId="21" xfId="0" applyNumberFormat="1" applyBorder="1"/>
    <xf numFmtId="8" fontId="0" fillId="0" borderId="22" xfId="0" applyNumberFormat="1" applyBorder="1"/>
    <xf numFmtId="10" fontId="3" fillId="0" borderId="0" xfId="46" applyNumberFormat="1"/>
    <xf numFmtId="8" fontId="7" fillId="0" borderId="0" xfId="0" applyNumberFormat="1" applyFont="1" applyBorder="1"/>
    <xf numFmtId="8" fontId="3" fillId="0" borderId="0" xfId="43" applyNumberFormat="1" applyBorder="1"/>
    <xf numFmtId="0" fontId="3" fillId="0" borderId="0" xfId="43" applyFont="1" applyBorder="1" applyAlignment="1">
      <alignment horizontal="right"/>
    </xf>
    <xf numFmtId="8" fontId="14" fillId="0" borderId="0" xfId="0" applyNumberFormat="1" applyFont="1" applyAlignment="1">
      <alignment horizontal="centerContinuous"/>
    </xf>
    <xf numFmtId="8" fontId="0" fillId="0" borderId="0" xfId="0" applyNumberFormat="1" applyAlignment="1">
      <alignment horizontal="left"/>
    </xf>
    <xf numFmtId="8" fontId="0" fillId="0" borderId="0" xfId="0" applyNumberFormat="1" applyAlignment="1">
      <alignment horizontal="centerContinuous"/>
    </xf>
    <xf numFmtId="8" fontId="0" fillId="0" borderId="23" xfId="0" applyNumberFormat="1" applyBorder="1" applyProtection="1">
      <protection locked="0"/>
    </xf>
    <xf numFmtId="8" fontId="0" fillId="24" borderId="24" xfId="0" applyNumberFormat="1" applyFill="1" applyBorder="1"/>
    <xf numFmtId="8" fontId="0" fillId="24" borderId="25" xfId="0" applyNumberFormat="1" applyFill="1" applyBorder="1"/>
    <xf numFmtId="8" fontId="0" fillId="0" borderId="26" xfId="0" applyNumberFormat="1" applyBorder="1" applyProtection="1">
      <protection locked="0"/>
    </xf>
    <xf numFmtId="8" fontId="0" fillId="0" borderId="19" xfId="0" applyNumberFormat="1" applyBorder="1"/>
    <xf numFmtId="8" fontId="0" fillId="0" borderId="23" xfId="0" applyNumberFormat="1" applyBorder="1"/>
    <xf numFmtId="8" fontId="0" fillId="0" borderId="16" xfId="0" applyNumberFormat="1" applyBorder="1"/>
    <xf numFmtId="8" fontId="0" fillId="25" borderId="11" xfId="0" applyNumberFormat="1" applyFill="1" applyBorder="1" applyProtection="1">
      <protection locked="0"/>
    </xf>
    <xf numFmtId="8" fontId="0" fillId="25" borderId="18" xfId="0" applyNumberFormat="1" applyFill="1" applyBorder="1" applyProtection="1">
      <protection locked="0"/>
    </xf>
    <xf numFmtId="8" fontId="0" fillId="25" borderId="19" xfId="0" applyNumberFormat="1" applyFill="1" applyBorder="1" applyProtection="1">
      <protection locked="0"/>
    </xf>
    <xf numFmtId="8" fontId="0" fillId="25" borderId="15" xfId="0" applyNumberFormat="1" applyFill="1" applyBorder="1" applyProtection="1">
      <protection locked="0"/>
    </xf>
    <xf numFmtId="8" fontId="0" fillId="25" borderId="16" xfId="0" applyNumberFormat="1" applyFill="1" applyBorder="1" applyProtection="1">
      <protection locked="0"/>
    </xf>
    <xf numFmtId="8" fontId="0" fillId="25" borderId="17" xfId="0" applyNumberFormat="1" applyFill="1" applyBorder="1" applyProtection="1">
      <protection locked="0"/>
    </xf>
    <xf numFmtId="8" fontId="6" fillId="0" borderId="0" xfId="0" applyNumberFormat="1" applyFont="1" applyAlignment="1">
      <alignment wrapText="1"/>
    </xf>
    <xf numFmtId="8" fontId="0" fillId="25" borderId="12" xfId="0" applyNumberFormat="1" applyFill="1" applyBorder="1" applyProtection="1">
      <protection locked="0"/>
    </xf>
    <xf numFmtId="8" fontId="0" fillId="25" borderId="13" xfId="0" applyNumberFormat="1" applyFill="1" applyBorder="1" applyProtection="1">
      <protection locked="0"/>
    </xf>
    <xf numFmtId="8" fontId="0" fillId="25" borderId="14" xfId="0" applyNumberFormat="1" applyFill="1" applyBorder="1" applyProtection="1">
      <protection locked="0"/>
    </xf>
    <xf numFmtId="8" fontId="0" fillId="25" borderId="27" xfId="0" applyNumberFormat="1" applyFill="1" applyBorder="1" applyProtection="1">
      <protection locked="0"/>
    </xf>
    <xf numFmtId="8" fontId="0" fillId="25" borderId="28" xfId="0" applyNumberFormat="1" applyFill="1" applyBorder="1" applyProtection="1">
      <protection locked="0"/>
    </xf>
    <xf numFmtId="8" fontId="0" fillId="25" borderId="29" xfId="0" applyNumberFormat="1" applyFill="1" applyBorder="1" applyProtection="1">
      <protection locked="0"/>
    </xf>
    <xf numFmtId="8" fontId="0" fillId="24" borderId="21" xfId="0" applyNumberFormat="1" applyFill="1" applyBorder="1" applyProtection="1">
      <protection locked="0"/>
    </xf>
    <xf numFmtId="8" fontId="0" fillId="24" borderId="22" xfId="0" applyNumberFormat="1" applyFill="1" applyBorder="1" applyProtection="1">
      <protection locked="0"/>
    </xf>
    <xf numFmtId="8" fontId="7" fillId="0" borderId="0" xfId="0" applyNumberFormat="1" applyFont="1" applyBorder="1" applyProtection="1">
      <protection locked="0"/>
    </xf>
    <xf numFmtId="8" fontId="15" fillId="0" borderId="0" xfId="0" applyNumberFormat="1" applyFont="1"/>
    <xf numFmtId="8" fontId="17" fillId="0" borderId="11" xfId="0" applyNumberFormat="1" applyFont="1" applyBorder="1" applyProtection="1">
      <protection locked="0"/>
    </xf>
    <xf numFmtId="8" fontId="17" fillId="0" borderId="18" xfId="0" applyNumberFormat="1" applyFont="1" applyBorder="1" applyProtection="1">
      <protection locked="0"/>
    </xf>
    <xf numFmtId="8" fontId="17" fillId="0" borderId="19" xfId="0" applyNumberFormat="1" applyFont="1" applyBorder="1" applyProtection="1">
      <protection locked="0"/>
    </xf>
    <xf numFmtId="8" fontId="17" fillId="0" borderId="12" xfId="0" applyNumberFormat="1" applyFont="1" applyBorder="1" applyProtection="1">
      <protection locked="0"/>
    </xf>
    <xf numFmtId="8" fontId="17" fillId="0" borderId="13" xfId="0" applyNumberFormat="1" applyFont="1" applyBorder="1" applyProtection="1">
      <protection locked="0"/>
    </xf>
    <xf numFmtId="8" fontId="17" fillId="24" borderId="13" xfId="0" applyNumberFormat="1" applyFont="1" applyFill="1" applyBorder="1"/>
    <xf numFmtId="8" fontId="17" fillId="24" borderId="14" xfId="0" applyNumberFormat="1" applyFont="1" applyFill="1" applyBorder="1"/>
    <xf numFmtId="8" fontId="17" fillId="0" borderId="23" xfId="0" applyNumberFormat="1" applyFont="1" applyBorder="1" applyProtection="1">
      <protection locked="0"/>
    </xf>
    <xf numFmtId="8" fontId="17" fillId="0" borderId="15" xfId="0" applyNumberFormat="1" applyFont="1" applyBorder="1" applyProtection="1">
      <protection locked="0"/>
    </xf>
    <xf numFmtId="8" fontId="17" fillId="24" borderId="24" xfId="0" applyNumberFormat="1" applyFont="1" applyFill="1" applyBorder="1"/>
    <xf numFmtId="8" fontId="18" fillId="0" borderId="18" xfId="0" applyNumberFormat="1" applyFont="1" applyBorder="1" applyProtection="1">
      <protection locked="0"/>
    </xf>
    <xf numFmtId="8" fontId="19" fillId="0" borderId="0" xfId="0" applyNumberFormat="1" applyFont="1" applyAlignment="1">
      <alignment horizontal="centerContinuous"/>
    </xf>
    <xf numFmtId="8" fontId="20" fillId="0" borderId="0" xfId="0" applyNumberFormat="1" applyFont="1" applyAlignment="1">
      <alignment horizontal="centerContinuous"/>
    </xf>
    <xf numFmtId="8" fontId="21" fillId="0" borderId="0" xfId="0" applyNumberFormat="1" applyFont="1" applyAlignment="1">
      <alignment horizontal="centerContinuous"/>
    </xf>
    <xf numFmtId="8" fontId="17" fillId="0" borderId="0" xfId="0" applyNumberFormat="1" applyFont="1"/>
    <xf numFmtId="8" fontId="17" fillId="0" borderId="0" xfId="0" applyNumberFormat="1" applyFont="1" applyAlignment="1">
      <alignment horizontal="left"/>
    </xf>
    <xf numFmtId="8" fontId="17" fillId="0" borderId="0" xfId="0" applyNumberFormat="1" applyFont="1" applyAlignment="1">
      <alignment horizontal="centerContinuous"/>
    </xf>
    <xf numFmtId="8" fontId="22" fillId="0" borderId="0" xfId="0" applyNumberFormat="1" applyFont="1"/>
    <xf numFmtId="8" fontId="20" fillId="0" borderId="0" xfId="0" applyNumberFormat="1" applyFont="1" applyAlignment="1">
      <alignment horizontal="left"/>
    </xf>
    <xf numFmtId="8" fontId="20" fillId="0" borderId="0" xfId="0" applyNumberFormat="1" applyFont="1" applyAlignment="1">
      <alignment horizontal="center"/>
    </xf>
    <xf numFmtId="8" fontId="23" fillId="0" borderId="0" xfId="0" applyNumberFormat="1" applyFont="1"/>
    <xf numFmtId="8" fontId="20" fillId="0" borderId="0" xfId="0" applyNumberFormat="1" applyFont="1"/>
    <xf numFmtId="8" fontId="17" fillId="24" borderId="12" xfId="0" applyNumberFormat="1" applyFont="1" applyFill="1" applyBorder="1"/>
    <xf numFmtId="8" fontId="17" fillId="24" borderId="25" xfId="0" applyNumberFormat="1" applyFont="1" applyFill="1" applyBorder="1"/>
    <xf numFmtId="8" fontId="17" fillId="24" borderId="16" xfId="0" applyNumberFormat="1" applyFont="1" applyFill="1" applyBorder="1"/>
    <xf numFmtId="8" fontId="17" fillId="24" borderId="17" xfId="0" applyNumberFormat="1" applyFont="1" applyFill="1" applyBorder="1"/>
    <xf numFmtId="165" fontId="17" fillId="0" borderId="0" xfId="0" applyNumberFormat="1" applyFont="1"/>
    <xf numFmtId="8" fontId="17" fillId="0" borderId="11" xfId="0" applyNumberFormat="1" applyFont="1" applyBorder="1"/>
    <xf numFmtId="8" fontId="17" fillId="0" borderId="18" xfId="0" applyNumberFormat="1" applyFont="1" applyBorder="1"/>
    <xf numFmtId="8" fontId="17" fillId="0" borderId="19" xfId="0" applyNumberFormat="1" applyFont="1" applyBorder="1"/>
    <xf numFmtId="8" fontId="17" fillId="0" borderId="12" xfId="0" applyNumberFormat="1" applyFont="1" applyBorder="1"/>
    <xf numFmtId="8" fontId="17" fillId="0" borderId="13" xfId="0" applyNumberFormat="1" applyFont="1" applyBorder="1"/>
    <xf numFmtId="0" fontId="17" fillId="0" borderId="0" xfId="0" applyFont="1"/>
    <xf numFmtId="8" fontId="24" fillId="0" borderId="19" xfId="0" applyNumberFormat="1" applyFont="1" applyBorder="1" applyProtection="1">
      <protection locked="0"/>
    </xf>
    <xf numFmtId="8" fontId="17" fillId="25" borderId="11" xfId="0" applyNumberFormat="1" applyFont="1" applyFill="1" applyBorder="1" applyProtection="1">
      <protection locked="0"/>
    </xf>
    <xf numFmtId="8" fontId="17" fillId="25" borderId="18" xfId="0" applyNumberFormat="1" applyFont="1" applyFill="1" applyBorder="1" applyProtection="1">
      <protection locked="0"/>
    </xf>
    <xf numFmtId="8" fontId="17" fillId="25" borderId="19" xfId="0" applyNumberFormat="1" applyFont="1" applyFill="1" applyBorder="1" applyProtection="1">
      <protection locked="0"/>
    </xf>
    <xf numFmtId="8" fontId="17" fillId="25" borderId="15" xfId="0" applyNumberFormat="1" applyFont="1" applyFill="1" applyBorder="1" applyProtection="1">
      <protection locked="0"/>
    </xf>
    <xf numFmtId="8" fontId="17" fillId="25" borderId="16" xfId="0" applyNumberFormat="1" applyFont="1" applyFill="1" applyBorder="1" applyProtection="1">
      <protection locked="0"/>
    </xf>
    <xf numFmtId="8" fontId="17" fillId="25" borderId="17" xfId="0" applyNumberFormat="1" applyFont="1" applyFill="1" applyBorder="1" applyProtection="1">
      <protection locked="0"/>
    </xf>
    <xf numFmtId="8" fontId="17" fillId="0" borderId="0" xfId="0" applyNumberFormat="1" applyFont="1" applyProtection="1">
      <protection locked="0"/>
    </xf>
    <xf numFmtId="8" fontId="20" fillId="0" borderId="0" xfId="0" applyNumberFormat="1" applyFont="1" applyAlignment="1">
      <alignment wrapText="1"/>
    </xf>
    <xf numFmtId="8" fontId="17" fillId="25" borderId="12" xfId="0" applyNumberFormat="1" applyFont="1" applyFill="1" applyBorder="1" applyProtection="1">
      <protection locked="0"/>
    </xf>
    <xf numFmtId="8" fontId="17" fillId="25" borderId="13" xfId="0" applyNumberFormat="1" applyFont="1" applyFill="1" applyBorder="1" applyProtection="1">
      <protection locked="0"/>
    </xf>
    <xf numFmtId="8" fontId="17" fillId="25" borderId="14" xfId="0" applyNumberFormat="1" applyFont="1" applyFill="1" applyBorder="1" applyProtection="1">
      <protection locked="0"/>
    </xf>
    <xf numFmtId="8" fontId="17" fillId="25" borderId="27" xfId="0" applyNumberFormat="1" applyFont="1" applyFill="1" applyBorder="1" applyProtection="1">
      <protection locked="0"/>
    </xf>
    <xf numFmtId="8" fontId="17" fillId="25" borderId="28" xfId="0" applyNumberFormat="1" applyFont="1" applyFill="1" applyBorder="1" applyProtection="1">
      <protection locked="0"/>
    </xf>
    <xf numFmtId="8" fontId="17" fillId="25" borderId="29" xfId="0" applyNumberFormat="1" applyFont="1" applyFill="1" applyBorder="1" applyProtection="1">
      <protection locked="0"/>
    </xf>
    <xf numFmtId="8" fontId="17" fillId="0" borderId="20" xfId="0" applyNumberFormat="1" applyFont="1" applyBorder="1" applyProtection="1">
      <protection locked="0"/>
    </xf>
    <xf numFmtId="8" fontId="17" fillId="0" borderId="21" xfId="0" applyNumberFormat="1" applyFont="1" applyBorder="1" applyProtection="1">
      <protection locked="0"/>
    </xf>
    <xf numFmtId="8" fontId="17" fillId="24" borderId="21" xfId="0" applyNumberFormat="1" applyFont="1" applyFill="1" applyBorder="1" applyProtection="1">
      <protection locked="0"/>
    </xf>
    <xf numFmtId="8" fontId="17" fillId="24" borderId="22" xfId="0" applyNumberFormat="1" applyFont="1" applyFill="1" applyBorder="1" applyProtection="1">
      <protection locked="0"/>
    </xf>
    <xf numFmtId="8" fontId="23" fillId="0" borderId="0" xfId="0" applyNumberFormat="1" applyFont="1" applyBorder="1" applyProtection="1">
      <protection locked="0"/>
    </xf>
    <xf numFmtId="8" fontId="17" fillId="0" borderId="0" xfId="0" applyNumberFormat="1" applyFont="1" applyBorder="1" applyProtection="1">
      <protection locked="0"/>
    </xf>
    <xf numFmtId="8" fontId="17" fillId="0" borderId="0" xfId="0" applyNumberFormat="1" applyFont="1" applyFill="1" applyBorder="1" applyProtection="1">
      <protection locked="0"/>
    </xf>
    <xf numFmtId="8" fontId="23" fillId="0" borderId="0" xfId="0" applyNumberFormat="1" applyFont="1" applyBorder="1"/>
    <xf numFmtId="8" fontId="17" fillId="0" borderId="30" xfId="0" applyNumberFormat="1" applyFont="1" applyBorder="1" applyProtection="1">
      <protection locked="0"/>
    </xf>
    <xf numFmtId="8" fontId="17" fillId="0" borderId="20" xfId="0" applyNumberFormat="1" applyFont="1" applyBorder="1"/>
    <xf numFmtId="8" fontId="17" fillId="0" borderId="21" xfId="0" applyNumberFormat="1" applyFont="1" applyBorder="1"/>
    <xf numFmtId="8" fontId="17" fillId="0" borderId="22" xfId="0" applyNumberFormat="1" applyFont="1" applyBorder="1"/>
    <xf numFmtId="8" fontId="25" fillId="0" borderId="0" xfId="0" applyNumberFormat="1" applyFont="1"/>
    <xf numFmtId="8" fontId="17" fillId="0" borderId="15" xfId="0" applyNumberFormat="1" applyFont="1" applyBorder="1"/>
    <xf numFmtId="8" fontId="24" fillId="0" borderId="18" xfId="0" applyNumberFormat="1" applyFont="1" applyBorder="1" applyProtection="1">
      <protection locked="0"/>
    </xf>
    <xf numFmtId="8" fontId="24" fillId="0" borderId="13" xfId="0" applyNumberFormat="1" applyFont="1" applyBorder="1" applyProtection="1">
      <protection locked="0"/>
    </xf>
    <xf numFmtId="8" fontId="17" fillId="24" borderId="0" xfId="0" applyNumberFormat="1" applyFont="1" applyFill="1" applyBorder="1"/>
    <xf numFmtId="8" fontId="17" fillId="0" borderId="23" xfId="0" applyNumberFormat="1" applyFont="1" applyFill="1" applyBorder="1" applyProtection="1">
      <protection locked="0"/>
    </xf>
    <xf numFmtId="0" fontId="28" fillId="26" borderId="31" xfId="0" applyFont="1" applyFill="1" applyBorder="1" applyAlignment="1">
      <alignment horizontal="right" wrapText="1"/>
    </xf>
    <xf numFmtId="0" fontId="27" fillId="26" borderId="31" xfId="0" applyFont="1" applyFill="1" applyBorder="1" applyAlignment="1">
      <alignment horizontal="center"/>
    </xf>
    <xf numFmtId="0" fontId="29" fillId="26" borderId="31" xfId="0" applyFont="1" applyFill="1" applyBorder="1" applyAlignment="1">
      <alignment horizontal="center"/>
    </xf>
    <xf numFmtId="0" fontId="28" fillId="26" borderId="31" xfId="0" applyFont="1" applyFill="1" applyBorder="1" applyAlignment="1">
      <alignment horizontal="right"/>
    </xf>
    <xf numFmtId="0" fontId="28" fillId="26" borderId="31" xfId="0" applyFont="1" applyFill="1" applyBorder="1" applyAlignment="1">
      <alignment horizontal="center"/>
    </xf>
    <xf numFmtId="0" fontId="27" fillId="26" borderId="31" xfId="0" applyFont="1" applyFill="1" applyBorder="1" applyAlignment="1">
      <alignment wrapText="1"/>
    </xf>
    <xf numFmtId="0" fontId="6" fillId="0" borderId="0" xfId="0" applyFont="1"/>
    <xf numFmtId="0" fontId="28" fillId="26" borderId="0" xfId="0" applyFont="1" applyFill="1" applyBorder="1" applyAlignment="1">
      <alignment horizontal="right" wrapText="1"/>
    </xf>
    <xf numFmtId="0" fontId="6" fillId="0" borderId="31" xfId="0" applyFont="1" applyBorder="1"/>
    <xf numFmtId="0" fontId="27" fillId="26" borderId="0" xfId="0" applyFont="1" applyFill="1" applyAlignment="1">
      <alignment horizontal="center"/>
    </xf>
    <xf numFmtId="8" fontId="48" fillId="0" borderId="14" xfId="0" applyNumberFormat="1" applyFont="1" applyBorder="1" applyAlignment="1">
      <alignment horizontal="left"/>
    </xf>
    <xf numFmtId="8" fontId="48" fillId="0" borderId="17" xfId="0" applyNumberFormat="1" applyFont="1" applyBorder="1" applyAlignment="1">
      <alignment horizontal="left"/>
    </xf>
    <xf numFmtId="8" fontId="47" fillId="0" borderId="12" xfId="0" applyNumberFormat="1" applyFont="1" applyBorder="1" applyAlignment="1">
      <alignment horizontal="right"/>
    </xf>
    <xf numFmtId="8" fontId="47" fillId="0" borderId="15" xfId="0" applyNumberFormat="1" applyFont="1" applyBorder="1" applyAlignment="1">
      <alignment horizontal="right"/>
    </xf>
    <xf numFmtId="8" fontId="21" fillId="0" borderId="0" xfId="0" applyNumberFormat="1" applyFont="1" applyAlignment="1">
      <alignment horizontal="left"/>
    </xf>
    <xf numFmtId="0" fontId="2" fillId="0" borderId="0" xfId="62"/>
    <xf numFmtId="0" fontId="55" fillId="0" borderId="42" xfId="62" applyFont="1" applyBorder="1"/>
    <xf numFmtId="0" fontId="2" fillId="0" borderId="44" xfId="62" applyBorder="1"/>
    <xf numFmtId="0" fontId="2" fillId="0" borderId="45" xfId="62" applyBorder="1"/>
    <xf numFmtId="0" fontId="2" fillId="0" borderId="0" xfId="62" applyBorder="1"/>
    <xf numFmtId="0" fontId="2" fillId="0" borderId="46" xfId="62" applyBorder="1"/>
    <xf numFmtId="0" fontId="55" fillId="0" borderId="13" xfId="62" applyFont="1" applyBorder="1" applyAlignment="1">
      <alignment horizontal="center" vertical="center"/>
    </xf>
    <xf numFmtId="0" fontId="55" fillId="0" borderId="14" xfId="62" applyFont="1" applyBorder="1" applyAlignment="1">
      <alignment horizontal="center" vertical="center"/>
    </xf>
    <xf numFmtId="0" fontId="55" fillId="0" borderId="12" xfId="62" applyFont="1" applyBorder="1" applyAlignment="1">
      <alignment horizontal="left" vertical="center"/>
    </xf>
    <xf numFmtId="44" fontId="2" fillId="0" borderId="13" xfId="62" applyNumberFormat="1" applyBorder="1"/>
    <xf numFmtId="44" fontId="2" fillId="0" borderId="14" xfId="62" applyNumberFormat="1" applyBorder="1"/>
    <xf numFmtId="0" fontId="55" fillId="0" borderId="15" xfId="62" applyFont="1" applyBorder="1" applyAlignment="1">
      <alignment horizontal="left" vertical="center"/>
    </xf>
    <xf numFmtId="44" fontId="2" fillId="0" borderId="16" xfId="62" applyNumberFormat="1" applyBorder="1"/>
    <xf numFmtId="44" fontId="2" fillId="0" borderId="17" xfId="62" applyNumberFormat="1" applyBorder="1"/>
    <xf numFmtId="44" fontId="2" fillId="0" borderId="0" xfId="62" applyNumberFormat="1"/>
    <xf numFmtId="0" fontId="15" fillId="0" borderId="0" xfId="43" applyFont="1"/>
    <xf numFmtId="0" fontId="3" fillId="0" borderId="0" xfId="0" applyFont="1"/>
    <xf numFmtId="164" fontId="3" fillId="0" borderId="0" xfId="0" applyNumberFormat="1" applyFont="1"/>
    <xf numFmtId="167" fontId="3" fillId="0" borderId="0" xfId="29" applyNumberFormat="1" applyFont="1" applyAlignment="1">
      <alignment horizontal="centerContinuous"/>
    </xf>
    <xf numFmtId="167" fontId="3" fillId="0" borderId="0" xfId="29" applyNumberFormat="1" applyFont="1"/>
    <xf numFmtId="8" fontId="59" fillId="0" borderId="0" xfId="0" applyNumberFormat="1" applyFont="1" applyAlignment="1">
      <alignment horizontal="centerContinuous"/>
    </xf>
    <xf numFmtId="8" fontId="60" fillId="0" borderId="0" xfId="0" applyNumberFormat="1" applyFont="1" applyAlignment="1">
      <alignment horizontal="centerContinuous"/>
    </xf>
    <xf numFmtId="168" fontId="3" fillId="0" borderId="0" xfId="0" applyNumberFormat="1" applyFont="1"/>
    <xf numFmtId="8" fontId="61" fillId="0" borderId="0" xfId="0" applyNumberFormat="1" applyFont="1" applyAlignment="1">
      <alignment horizontal="centerContinuous"/>
    </xf>
    <xf numFmtId="8" fontId="62" fillId="0" borderId="0" xfId="0" applyNumberFormat="1" applyFont="1" applyAlignment="1">
      <alignment horizontal="centerContinuous"/>
    </xf>
    <xf numFmtId="8" fontId="50" fillId="0" borderId="0" xfId="0" applyNumberFormat="1" applyFont="1" applyFill="1" applyAlignment="1">
      <alignment horizontal="left"/>
    </xf>
    <xf numFmtId="8" fontId="13" fillId="0" borderId="0" xfId="0" applyNumberFormat="1" applyFont="1" applyFill="1" applyAlignment="1">
      <alignment horizontal="left"/>
    </xf>
    <xf numFmtId="8" fontId="3" fillId="0" borderId="0" xfId="0" applyNumberFormat="1" applyFont="1" applyAlignment="1">
      <alignment horizontal="centerContinuous"/>
    </xf>
    <xf numFmtId="8" fontId="52" fillId="0" borderId="0" xfId="0" applyNumberFormat="1" applyFont="1" applyAlignment="1">
      <alignment horizontal="centerContinuous"/>
    </xf>
    <xf numFmtId="168" fontId="3" fillId="0" borderId="0" xfId="0" applyNumberFormat="1" applyFont="1" applyAlignment="1">
      <alignment horizontal="centerContinuous"/>
    </xf>
    <xf numFmtId="8" fontId="62" fillId="0" borderId="0" xfId="0" applyNumberFormat="1" applyFont="1" applyAlignment="1">
      <alignment horizontal="center"/>
    </xf>
    <xf numFmtId="8" fontId="13" fillId="0" borderId="0" xfId="0" applyNumberFormat="1" applyFont="1" applyFill="1" applyAlignment="1">
      <alignment horizontal="centerContinuous"/>
    </xf>
    <xf numFmtId="0" fontId="6" fillId="0" borderId="0" xfId="43" applyFont="1" applyAlignment="1">
      <alignment horizontal="center"/>
    </xf>
    <xf numFmtId="0" fontId="7" fillId="0" borderId="0" xfId="43" applyFont="1"/>
    <xf numFmtId="0" fontId="3" fillId="0" borderId="0" xfId="43" applyFont="1" applyAlignment="1">
      <alignment horizontal="right"/>
    </xf>
    <xf numFmtId="0" fontId="3" fillId="0" borderId="0" xfId="43" applyFont="1"/>
    <xf numFmtId="0" fontId="8" fillId="0" borderId="0" xfId="43" applyFont="1" applyAlignment="1">
      <alignment horizontal="centerContinuous"/>
    </xf>
    <xf numFmtId="0" fontId="9" fillId="0" borderId="0" xfId="43" applyFont="1" applyAlignment="1">
      <alignment horizontal="right"/>
    </xf>
    <xf numFmtId="0" fontId="10" fillId="0" borderId="0" xfId="43" applyFont="1" applyAlignment="1">
      <alignment horizontal="centerContinuous"/>
    </xf>
    <xf numFmtId="8" fontId="13" fillId="0" borderId="0" xfId="0" applyNumberFormat="1" applyFont="1" applyAlignment="1">
      <alignment horizontal="centerContinuous"/>
    </xf>
    <xf numFmtId="8" fontId="6" fillId="0" borderId="0" xfId="0" applyNumberFormat="1" applyFont="1" applyAlignment="1">
      <alignment horizontal="centerContinuous"/>
    </xf>
    <xf numFmtId="8" fontId="6" fillId="0" borderId="0" xfId="0" applyNumberFormat="1" applyFont="1"/>
    <xf numFmtId="8" fontId="6" fillId="0" borderId="0" xfId="0" applyNumberFormat="1" applyFont="1" applyAlignment="1">
      <alignment horizontal="center"/>
    </xf>
    <xf numFmtId="8" fontId="7" fillId="0" borderId="0" xfId="0" applyNumberFormat="1" applyFont="1"/>
    <xf numFmtId="0" fontId="3" fillId="0" borderId="0" xfId="43" applyFont="1" applyBorder="1" applyAlignment="1">
      <alignment horizontal="right"/>
    </xf>
    <xf numFmtId="8" fontId="6" fillId="0" borderId="0" xfId="0" applyNumberFormat="1" applyFont="1" applyAlignment="1">
      <alignment wrapText="1"/>
    </xf>
    <xf numFmtId="8" fontId="7" fillId="0" borderId="0" xfId="0" applyNumberFormat="1" applyFont="1" applyBorder="1" applyProtection="1">
      <protection locked="0"/>
    </xf>
    <xf numFmtId="8" fontId="15" fillId="0" borderId="0" xfId="0" applyNumberFormat="1" applyFont="1"/>
    <xf numFmtId="0" fontId="16" fillId="0" borderId="0" xfId="43" applyFont="1"/>
    <xf numFmtId="164" fontId="16" fillId="0" borderId="0" xfId="43" applyNumberFormat="1" applyFont="1"/>
    <xf numFmtId="0" fontId="26" fillId="0" borderId="0" xfId="43" applyFont="1" applyAlignment="1">
      <alignment horizontal="right"/>
    </xf>
    <xf numFmtId="0" fontId="6" fillId="0" borderId="0" xfId="43" applyFont="1" applyAlignment="1">
      <alignment horizontal="right"/>
    </xf>
    <xf numFmtId="167" fontId="6" fillId="0" borderId="0" xfId="29" applyNumberFormat="1" applyFont="1" applyAlignment="1">
      <alignment horizontal="center"/>
    </xf>
    <xf numFmtId="0" fontId="3" fillId="0" borderId="0" xfId="43" applyFont="1" applyAlignment="1">
      <alignment horizontal="right" wrapText="1"/>
    </xf>
    <xf numFmtId="0" fontId="3" fillId="0" borderId="0" xfId="43" applyFont="1" applyBorder="1" applyAlignment="1">
      <alignment horizontal="center"/>
    </xf>
    <xf numFmtId="8" fontId="52" fillId="24" borderId="21" xfId="0" applyNumberFormat="1" applyFont="1" applyFill="1" applyBorder="1" applyProtection="1">
      <protection locked="0"/>
    </xf>
    <xf numFmtId="8" fontId="52" fillId="0" borderId="0" xfId="0" applyNumberFormat="1" applyFont="1" applyProtection="1">
      <protection locked="0"/>
    </xf>
    <xf numFmtId="0" fontId="3" fillId="0" borderId="0" xfId="43" applyFont="1" applyAlignment="1">
      <alignment horizontal="left"/>
    </xf>
    <xf numFmtId="0" fontId="3" fillId="0" borderId="0" xfId="43" applyFont="1" applyBorder="1" applyAlignment="1">
      <alignment horizontal="left"/>
    </xf>
    <xf numFmtId="0" fontId="7" fillId="0" borderId="0" xfId="43" applyFont="1" applyAlignment="1">
      <alignment horizontal="right"/>
    </xf>
    <xf numFmtId="0" fontId="7" fillId="0" borderId="0" xfId="43" applyFont="1" applyAlignment="1">
      <alignment horizontal="right" vertical="top"/>
    </xf>
    <xf numFmtId="8" fontId="52" fillId="24" borderId="51" xfId="0" applyNumberFormat="1" applyFont="1" applyFill="1" applyBorder="1" applyProtection="1">
      <protection locked="0"/>
    </xf>
    <xf numFmtId="8" fontId="52" fillId="24" borderId="10" xfId="0" applyNumberFormat="1" applyFont="1" applyFill="1" applyBorder="1" applyProtection="1">
      <protection locked="0"/>
    </xf>
    <xf numFmtId="168" fontId="52" fillId="24" borderId="21" xfId="0" applyNumberFormat="1" applyFont="1" applyFill="1" applyBorder="1" applyProtection="1">
      <protection locked="0"/>
    </xf>
    <xf numFmtId="168" fontId="52" fillId="24" borderId="22" xfId="0" applyNumberFormat="1" applyFont="1" applyFill="1" applyBorder="1" applyProtection="1">
      <protection locked="0"/>
    </xf>
    <xf numFmtId="168" fontId="52" fillId="24" borderId="29" xfId="0" applyNumberFormat="1" applyFont="1" applyFill="1" applyBorder="1" applyProtection="1">
      <protection locked="0"/>
    </xf>
    <xf numFmtId="0" fontId="57" fillId="0" borderId="0" xfId="42" applyFont="1" applyAlignment="1">
      <alignment horizontal="centerContinuous"/>
    </xf>
    <xf numFmtId="0" fontId="58" fillId="0" borderId="0" xfId="42" applyFont="1" applyAlignment="1">
      <alignment horizontal="centerContinuous"/>
    </xf>
    <xf numFmtId="0" fontId="3" fillId="0" borderId="0" xfId="43" applyFont="1" applyAlignment="1">
      <alignment horizontal="centerContinuous"/>
    </xf>
    <xf numFmtId="8" fontId="3" fillId="0" borderId="0" xfId="43" applyNumberFormat="1" applyFont="1"/>
    <xf numFmtId="44" fontId="3" fillId="0" borderId="0" xfId="29" applyFont="1"/>
    <xf numFmtId="8" fontId="3" fillId="0" borderId="0" xfId="43" applyNumberFormat="1" applyFont="1" applyBorder="1"/>
    <xf numFmtId="8" fontId="3" fillId="0" borderId="10" xfId="43" applyNumberFormat="1" applyFont="1" applyBorder="1"/>
    <xf numFmtId="8" fontId="3" fillId="0" borderId="0" xfId="43" applyNumberFormat="1" applyFont="1" applyBorder="1" applyAlignment="1">
      <alignment horizontal="left" vertical="top"/>
    </xf>
    <xf numFmtId="0" fontId="3" fillId="0" borderId="0" xfId="43" applyFont="1" applyAlignment="1"/>
    <xf numFmtId="8" fontId="3" fillId="0" borderId="0" xfId="0" applyNumberFormat="1" applyFont="1" applyBorder="1" applyProtection="1">
      <protection locked="0"/>
    </xf>
    <xf numFmtId="8" fontId="3" fillId="0" borderId="0" xfId="0" applyNumberFormat="1" applyFont="1"/>
    <xf numFmtId="8" fontId="3" fillId="0" borderId="0" xfId="0" applyNumberFormat="1" applyFont="1" applyBorder="1"/>
    <xf numFmtId="8" fontId="3" fillId="0" borderId="0" xfId="43" applyNumberFormat="1" applyFont="1" applyAlignment="1">
      <alignment horizontal="centerContinuous"/>
    </xf>
    <xf numFmtId="8" fontId="3" fillId="0" borderId="0" xfId="0" applyNumberFormat="1" applyFont="1" applyAlignment="1">
      <alignment horizontal="right"/>
    </xf>
    <xf numFmtId="10" fontId="3" fillId="0" borderId="0" xfId="46" applyNumberFormat="1" applyFont="1"/>
    <xf numFmtId="168" fontId="6" fillId="0" borderId="0" xfId="0" applyNumberFormat="1" applyFont="1" applyAlignment="1">
      <alignment horizontal="center"/>
    </xf>
    <xf numFmtId="8" fontId="3" fillId="0" borderId="18" xfId="0" applyNumberFormat="1" applyFont="1" applyFill="1" applyBorder="1" applyProtection="1"/>
    <xf numFmtId="8" fontId="3" fillId="0" borderId="18" xfId="0" applyNumberFormat="1" applyFont="1" applyFill="1" applyBorder="1" applyProtection="1">
      <protection locked="0"/>
    </xf>
    <xf numFmtId="8" fontId="3" fillId="27" borderId="18" xfId="59" applyNumberFormat="1" applyFont="1" applyFill="1" applyBorder="1" applyProtection="1">
      <protection locked="0"/>
    </xf>
    <xf numFmtId="8" fontId="3" fillId="0" borderId="47" xfId="0" applyNumberFormat="1" applyFont="1" applyFill="1" applyBorder="1" applyProtection="1">
      <protection locked="0"/>
    </xf>
    <xf numFmtId="168" fontId="3" fillId="0" borderId="19" xfId="0" applyNumberFormat="1" applyFont="1" applyBorder="1"/>
    <xf numFmtId="8" fontId="3" fillId="28" borderId="36" xfId="0" applyNumberFormat="1" applyFont="1" applyFill="1" applyBorder="1" applyProtection="1"/>
    <xf numFmtId="8" fontId="3" fillId="28" borderId="33" xfId="0" applyNumberFormat="1" applyFont="1" applyFill="1" applyBorder="1" applyProtection="1"/>
    <xf numFmtId="8" fontId="3" fillId="27" borderId="33" xfId="0" applyNumberFormat="1" applyFont="1" applyFill="1" applyBorder="1" applyProtection="1">
      <protection locked="0"/>
    </xf>
    <xf numFmtId="8" fontId="3" fillId="28" borderId="33" xfId="0" applyNumberFormat="1" applyFont="1" applyFill="1" applyBorder="1" applyProtection="1">
      <protection locked="0"/>
    </xf>
    <xf numFmtId="8" fontId="3" fillId="28" borderId="33" xfId="59" applyNumberFormat="1" applyFont="1" applyFill="1" applyBorder="1" applyProtection="1">
      <protection locked="0"/>
    </xf>
    <xf numFmtId="8" fontId="3" fillId="28" borderId="37" xfId="0" applyNumberFormat="1" applyFont="1" applyFill="1" applyBorder="1" applyProtection="1">
      <protection locked="0"/>
    </xf>
    <xf numFmtId="168" fontId="3" fillId="29" borderId="14" xfId="0" applyNumberFormat="1" applyFont="1" applyFill="1" applyBorder="1"/>
    <xf numFmtId="8" fontId="3" fillId="0" borderId="12" xfId="0" applyNumberFormat="1" applyFont="1" applyFill="1" applyBorder="1" applyProtection="1">
      <protection locked="0"/>
    </xf>
    <xf numFmtId="8" fontId="3" fillId="0" borderId="36" xfId="0" applyNumberFormat="1" applyFont="1" applyFill="1" applyBorder="1" applyProtection="1">
      <protection locked="0"/>
    </xf>
    <xf numFmtId="8" fontId="3" fillId="0" borderId="33" xfId="0" applyNumberFormat="1" applyFont="1" applyFill="1" applyBorder="1" applyProtection="1">
      <protection locked="0"/>
    </xf>
    <xf numFmtId="8" fontId="3" fillId="0" borderId="33" xfId="56" applyNumberFormat="1" applyFont="1" applyFill="1" applyBorder="1" applyProtection="1">
      <protection locked="0"/>
    </xf>
    <xf numFmtId="8" fontId="3" fillId="27" borderId="33" xfId="59" applyNumberFormat="1" applyFont="1" applyFill="1" applyBorder="1" applyProtection="1">
      <protection locked="0"/>
    </xf>
    <xf numFmtId="8" fontId="3" fillId="0" borderId="37" xfId="0" applyNumberFormat="1" applyFont="1" applyFill="1" applyBorder="1" applyProtection="1">
      <protection locked="0"/>
    </xf>
    <xf numFmtId="8" fontId="3" fillId="26" borderId="12" xfId="0" applyNumberFormat="1" applyFont="1" applyFill="1" applyBorder="1" applyProtection="1">
      <protection locked="0"/>
    </xf>
    <xf numFmtId="8" fontId="3" fillId="26" borderId="13" xfId="56" applyNumberFormat="1" applyFont="1" applyFill="1" applyBorder="1" applyProtection="1">
      <protection locked="0"/>
    </xf>
    <xf numFmtId="8" fontId="3" fillId="26" borderId="13" xfId="55" applyNumberFormat="1" applyFont="1" applyFill="1" applyBorder="1" applyProtection="1">
      <protection locked="0"/>
    </xf>
    <xf numFmtId="8" fontId="3" fillId="26" borderId="13" xfId="0" applyNumberFormat="1" applyFont="1" applyFill="1" applyBorder="1" applyProtection="1">
      <protection locked="0"/>
    </xf>
    <xf numFmtId="8" fontId="3" fillId="0" borderId="13" xfId="59" applyNumberFormat="1" applyFont="1" applyFill="1" applyBorder="1" applyProtection="1">
      <protection locked="0"/>
    </xf>
    <xf numFmtId="8" fontId="52" fillId="24" borderId="48" xfId="0" applyNumberFormat="1" applyFont="1" applyFill="1" applyBorder="1"/>
    <xf numFmtId="168" fontId="3" fillId="0" borderId="14" xfId="0" applyNumberFormat="1" applyFont="1" applyBorder="1"/>
    <xf numFmtId="8" fontId="3" fillId="28" borderId="13" xfId="56" applyNumberFormat="1" applyFont="1" applyFill="1" applyBorder="1" applyProtection="1">
      <protection locked="0"/>
    </xf>
    <xf numFmtId="8" fontId="3" fillId="28" borderId="13" xfId="55" applyNumberFormat="1" applyFont="1" applyFill="1" applyBorder="1" applyProtection="1">
      <protection locked="0"/>
    </xf>
    <xf numFmtId="8" fontId="3" fillId="28" borderId="13" xfId="0" applyNumberFormat="1" applyFont="1" applyFill="1" applyBorder="1" applyProtection="1">
      <protection locked="0"/>
    </xf>
    <xf numFmtId="168" fontId="52" fillId="24" borderId="14" xfId="0" applyNumberFormat="1" applyFont="1" applyFill="1" applyBorder="1"/>
    <xf numFmtId="8" fontId="3" fillId="24" borderId="13" xfId="0" applyNumberFormat="1" applyFont="1" applyFill="1" applyBorder="1"/>
    <xf numFmtId="8" fontId="3" fillId="24" borderId="13" xfId="56" applyNumberFormat="1" applyFont="1" applyFill="1" applyBorder="1"/>
    <xf numFmtId="8" fontId="3" fillId="24" borderId="12" xfId="0" applyNumberFormat="1" applyFont="1" applyFill="1" applyBorder="1"/>
    <xf numFmtId="8" fontId="3" fillId="24" borderId="40" xfId="0" applyNumberFormat="1" applyFont="1" applyFill="1" applyBorder="1"/>
    <xf numFmtId="8" fontId="3" fillId="27" borderId="13" xfId="0" applyNumberFormat="1" applyFont="1" applyFill="1" applyBorder="1"/>
    <xf numFmtId="8" fontId="3" fillId="24" borderId="24" xfId="0" applyNumberFormat="1" applyFont="1" applyFill="1" applyBorder="1"/>
    <xf numFmtId="8" fontId="3" fillId="24" borderId="24" xfId="56" applyNumberFormat="1" applyFont="1" applyFill="1" applyBorder="1"/>
    <xf numFmtId="8" fontId="52" fillId="24" borderId="49" xfId="0" applyNumberFormat="1" applyFont="1" applyFill="1" applyBorder="1"/>
    <xf numFmtId="168" fontId="52" fillId="24" borderId="25" xfId="0" applyNumberFormat="1" applyFont="1" applyFill="1" applyBorder="1"/>
    <xf numFmtId="8" fontId="3" fillId="0" borderId="13" xfId="0" applyNumberFormat="1" applyFont="1" applyFill="1" applyBorder="1" applyProtection="1">
      <protection locked="0"/>
    </xf>
    <xf numFmtId="8" fontId="3" fillId="28" borderId="13" xfId="59" applyNumberFormat="1" applyFont="1" applyFill="1" applyBorder="1" applyProtection="1">
      <protection locked="0"/>
    </xf>
    <xf numFmtId="8" fontId="6" fillId="0" borderId="0" xfId="40" applyNumberFormat="1" applyFont="1"/>
    <xf numFmtId="8" fontId="3" fillId="26" borderId="12" xfId="56" applyNumberFormat="1" applyFont="1" applyFill="1" applyBorder="1" applyProtection="1">
      <protection locked="0"/>
    </xf>
    <xf numFmtId="8" fontId="3" fillId="26" borderId="23" xfId="0" applyNumberFormat="1" applyFont="1" applyFill="1" applyBorder="1" applyProtection="1">
      <protection locked="0"/>
    </xf>
    <xf numFmtId="8" fontId="3" fillId="24" borderId="38" xfId="0" applyNumberFormat="1" applyFont="1" applyFill="1" applyBorder="1"/>
    <xf numFmtId="8" fontId="52" fillId="24" borderId="50" xfId="0" applyNumberFormat="1" applyFont="1" applyFill="1" applyBorder="1"/>
    <xf numFmtId="168" fontId="52" fillId="24" borderId="39" xfId="0" applyNumberFormat="1" applyFont="1" applyFill="1" applyBorder="1"/>
    <xf numFmtId="8" fontId="6" fillId="0" borderId="0" xfId="0" applyNumberFormat="1" applyFont="1" applyFill="1"/>
    <xf numFmtId="8" fontId="3" fillId="29" borderId="13" xfId="0" applyNumberFormat="1" applyFont="1" applyFill="1" applyBorder="1"/>
    <xf numFmtId="8" fontId="6" fillId="27" borderId="0" xfId="0" applyNumberFormat="1" applyFont="1" applyFill="1"/>
    <xf numFmtId="8" fontId="3" fillId="28" borderId="13" xfId="0" applyNumberFormat="1" applyFont="1" applyFill="1" applyBorder="1"/>
    <xf numFmtId="8" fontId="3" fillId="26" borderId="0" xfId="56" applyNumberFormat="1" applyFont="1" applyFill="1" applyBorder="1" applyProtection="1">
      <protection locked="0"/>
    </xf>
    <xf numFmtId="8" fontId="52" fillId="26" borderId="0" xfId="56" applyNumberFormat="1" applyFont="1" applyFill="1" applyBorder="1" applyProtection="1">
      <protection locked="0"/>
    </xf>
    <xf numFmtId="165" fontId="3" fillId="0" borderId="0" xfId="0" applyNumberFormat="1" applyFont="1"/>
    <xf numFmtId="8" fontId="3" fillId="0" borderId="11" xfId="0" applyNumberFormat="1" applyFont="1" applyFill="1" applyBorder="1" applyProtection="1">
      <protection locked="0"/>
    </xf>
    <xf numFmtId="8" fontId="3" fillId="0" borderId="34" xfId="0" applyNumberFormat="1" applyFont="1" applyFill="1" applyBorder="1" applyProtection="1">
      <protection locked="0"/>
    </xf>
    <xf numFmtId="8" fontId="3" fillId="27" borderId="18" xfId="0" applyNumberFormat="1" applyFont="1" applyFill="1" applyBorder="1" applyProtection="1">
      <protection locked="0"/>
    </xf>
    <xf numFmtId="8" fontId="3" fillId="0" borderId="0" xfId="0" applyNumberFormat="1" applyFont="1" applyFill="1" applyBorder="1"/>
    <xf numFmtId="8" fontId="52" fillId="0" borderId="0" xfId="0" applyNumberFormat="1" applyFont="1" applyFill="1" applyBorder="1"/>
    <xf numFmtId="8" fontId="3" fillId="0" borderId="11" xfId="0" applyNumberFormat="1" applyFont="1" applyFill="1" applyBorder="1"/>
    <xf numFmtId="8" fontId="3" fillId="0" borderId="34" xfId="0" applyNumberFormat="1" applyFont="1" applyFill="1" applyBorder="1"/>
    <xf numFmtId="8" fontId="3" fillId="0" borderId="18" xfId="0" applyNumberFormat="1" applyFont="1" applyFill="1" applyBorder="1"/>
    <xf numFmtId="8" fontId="3" fillId="27" borderId="18" xfId="0" applyNumberFormat="1" applyFont="1" applyFill="1" applyBorder="1"/>
    <xf numFmtId="8" fontId="3" fillId="27" borderId="13" xfId="56" applyNumberFormat="1" applyFont="1" applyFill="1" applyBorder="1"/>
    <xf numFmtId="8" fontId="3" fillId="27" borderId="47" xfId="0" applyNumberFormat="1" applyFont="1" applyFill="1" applyBorder="1"/>
    <xf numFmtId="168" fontId="3" fillId="0" borderId="19" xfId="0" applyNumberFormat="1" applyFont="1" applyFill="1" applyBorder="1"/>
    <xf numFmtId="8" fontId="3" fillId="0" borderId="12" xfId="0" applyNumberFormat="1" applyFont="1" applyFill="1" applyBorder="1"/>
    <xf numFmtId="8" fontId="3" fillId="0" borderId="40" xfId="0" applyNumberFormat="1" applyFont="1" applyFill="1" applyBorder="1"/>
    <xf numFmtId="8" fontId="3" fillId="0" borderId="13" xfId="0" applyNumberFormat="1" applyFont="1" applyFill="1" applyBorder="1"/>
    <xf numFmtId="168" fontId="3" fillId="0" borderId="14" xfId="0" applyNumberFormat="1" applyFont="1" applyFill="1" applyBorder="1"/>
    <xf numFmtId="8" fontId="3" fillId="28" borderId="13" xfId="56" applyNumberFormat="1" applyFont="1" applyFill="1" applyBorder="1"/>
    <xf numFmtId="168" fontId="3" fillId="28" borderId="14" xfId="0" applyNumberFormat="1" applyFont="1" applyFill="1" applyBorder="1"/>
    <xf numFmtId="168" fontId="3" fillId="24" borderId="14" xfId="0" applyNumberFormat="1" applyFont="1" applyFill="1" applyBorder="1"/>
    <xf numFmtId="8" fontId="3" fillId="26" borderId="13" xfId="0" applyNumberFormat="1" applyFont="1" applyFill="1" applyBorder="1"/>
    <xf numFmtId="8" fontId="3" fillId="29" borderId="13" xfId="0" applyNumberFormat="1" applyFont="1" applyFill="1" applyBorder="1" applyProtection="1">
      <protection locked="0"/>
    </xf>
    <xf numFmtId="168" fontId="3" fillId="24" borderId="25" xfId="0" applyNumberFormat="1" applyFont="1" applyFill="1" applyBorder="1"/>
    <xf numFmtId="168" fontId="3" fillId="28" borderId="14" xfId="59" applyNumberFormat="1" applyFont="1" applyFill="1" applyBorder="1" applyProtection="1">
      <protection locked="0"/>
    </xf>
    <xf numFmtId="8" fontId="52" fillId="24" borderId="48" xfId="56" applyNumberFormat="1" applyFont="1" applyFill="1" applyBorder="1"/>
    <xf numFmtId="168" fontId="3" fillId="24" borderId="14" xfId="56" applyNumberFormat="1" applyFont="1" applyFill="1" applyBorder="1"/>
    <xf numFmtId="8" fontId="52" fillId="0" borderId="0" xfId="0" applyNumberFormat="1" applyFont="1" applyBorder="1"/>
    <xf numFmtId="8" fontId="64" fillId="0" borderId="0" xfId="0" applyNumberFormat="1" applyFont="1"/>
    <xf numFmtId="8" fontId="3" fillId="27" borderId="11" xfId="0" applyNumberFormat="1" applyFont="1" applyFill="1" applyBorder="1"/>
    <xf numFmtId="8" fontId="3" fillId="27" borderId="34" xfId="0" applyNumberFormat="1" applyFont="1" applyFill="1" applyBorder="1"/>
    <xf numFmtId="8" fontId="3" fillId="27" borderId="18" xfId="56" applyNumberFormat="1" applyFont="1" applyFill="1" applyBorder="1" applyProtection="1">
      <protection locked="0"/>
    </xf>
    <xf numFmtId="8" fontId="3" fillId="27" borderId="47" xfId="0" applyNumberFormat="1" applyFont="1" applyFill="1" applyBorder="1" applyProtection="1">
      <protection locked="0"/>
    </xf>
    <xf numFmtId="168" fontId="3" fillId="27" borderId="19" xfId="0" applyNumberFormat="1" applyFont="1" applyFill="1" applyBorder="1" applyProtection="1">
      <protection locked="0"/>
    </xf>
    <xf numFmtId="8" fontId="3" fillId="27" borderId="13" xfId="0" applyNumberFormat="1" applyFont="1" applyFill="1" applyBorder="1" applyProtection="1">
      <protection locked="0"/>
    </xf>
    <xf numFmtId="8" fontId="3" fillId="27" borderId="13" xfId="56" applyNumberFormat="1" applyFont="1" applyFill="1" applyBorder="1" applyProtection="1">
      <protection locked="0"/>
    </xf>
    <xf numFmtId="8" fontId="3" fillId="27" borderId="48" xfId="0" applyNumberFormat="1" applyFont="1" applyFill="1" applyBorder="1" applyProtection="1">
      <protection locked="0"/>
    </xf>
    <xf numFmtId="168" fontId="3" fillId="29" borderId="14" xfId="0" applyNumberFormat="1" applyFont="1" applyFill="1" applyBorder="1" applyProtection="1">
      <protection locked="0"/>
    </xf>
    <xf numFmtId="8" fontId="3" fillId="0" borderId="12" xfId="0" applyNumberFormat="1" applyFont="1" applyBorder="1"/>
    <xf numFmtId="168" fontId="3" fillId="26" borderId="14" xfId="0" applyNumberFormat="1" applyFont="1" applyFill="1" applyBorder="1" applyProtection="1">
      <protection locked="0"/>
    </xf>
    <xf numFmtId="8" fontId="3" fillId="28" borderId="33" xfId="56" applyNumberFormat="1" applyFont="1" applyFill="1" applyBorder="1" applyProtection="1">
      <protection locked="0"/>
    </xf>
    <xf numFmtId="8" fontId="3" fillId="0" borderId="33" xfId="59" applyNumberFormat="1" applyFont="1" applyFill="1" applyBorder="1" applyProtection="1">
      <protection locked="0"/>
    </xf>
    <xf numFmtId="168" fontId="3" fillId="28" borderId="53" xfId="0" applyNumberFormat="1" applyFont="1" applyFill="1" applyBorder="1" applyProtection="1">
      <protection locked="0"/>
    </xf>
    <xf numFmtId="8" fontId="3" fillId="26" borderId="33" xfId="56" applyNumberFormat="1" applyFont="1" applyFill="1" applyBorder="1" applyProtection="1">
      <protection locked="0"/>
    </xf>
    <xf numFmtId="8" fontId="3" fillId="24" borderId="33" xfId="0" applyNumberFormat="1" applyFont="1" applyFill="1" applyBorder="1"/>
    <xf numFmtId="168" fontId="3" fillId="24" borderId="53" xfId="0" applyNumberFormat="1" applyFont="1" applyFill="1" applyBorder="1"/>
    <xf numFmtId="8" fontId="3" fillId="26" borderId="33" xfId="0" applyNumberFormat="1" applyFont="1" applyFill="1" applyBorder="1" applyProtection="1">
      <protection locked="0"/>
    </xf>
    <xf numFmtId="0" fontId="3" fillId="0" borderId="0" xfId="40" applyFont="1"/>
    <xf numFmtId="8" fontId="3" fillId="26" borderId="27" xfId="0" applyNumberFormat="1" applyFont="1" applyFill="1" applyBorder="1" applyProtection="1">
      <protection locked="0"/>
    </xf>
    <xf numFmtId="8" fontId="3" fillId="26" borderId="26" xfId="56" applyNumberFormat="1" applyFont="1" applyFill="1" applyBorder="1" applyProtection="1">
      <protection locked="0"/>
    </xf>
    <xf numFmtId="8" fontId="3" fillId="0" borderId="13" xfId="0" applyNumberFormat="1" applyFont="1" applyBorder="1"/>
    <xf numFmtId="8" fontId="52" fillId="28" borderId="48" xfId="0" applyNumberFormat="1" applyFont="1" applyFill="1" applyBorder="1"/>
    <xf numFmtId="8" fontId="3" fillId="27" borderId="41" xfId="0" applyNumberFormat="1" applyFont="1" applyFill="1" applyBorder="1"/>
    <xf numFmtId="8" fontId="52" fillId="27" borderId="41" xfId="0" applyNumberFormat="1" applyFont="1" applyFill="1" applyBorder="1"/>
    <xf numFmtId="8" fontId="3" fillId="27" borderId="11" xfId="0" applyNumberFormat="1" applyFont="1" applyFill="1" applyBorder="1" applyProtection="1">
      <protection locked="0"/>
    </xf>
    <xf numFmtId="8" fontId="3" fillId="27" borderId="34" xfId="0" applyNumberFormat="1" applyFont="1" applyFill="1" applyBorder="1" applyProtection="1">
      <protection locked="0"/>
    </xf>
    <xf numFmtId="8" fontId="3" fillId="26" borderId="48" xfId="0" applyNumberFormat="1" applyFont="1" applyFill="1" applyBorder="1" applyProtection="1">
      <protection locked="0"/>
    </xf>
    <xf numFmtId="8" fontId="3" fillId="28" borderId="48" xfId="0" applyNumberFormat="1" applyFont="1" applyFill="1" applyBorder="1" applyProtection="1">
      <protection locked="0"/>
    </xf>
    <xf numFmtId="168" fontId="3" fillId="28" borderId="14" xfId="0" applyNumberFormat="1" applyFont="1" applyFill="1" applyBorder="1" applyProtection="1">
      <protection locked="0"/>
    </xf>
    <xf numFmtId="168" fontId="52" fillId="24" borderId="14" xfId="56" applyNumberFormat="1" applyFont="1" applyFill="1" applyBorder="1"/>
    <xf numFmtId="8" fontId="6" fillId="0" borderId="0" xfId="0" applyNumberFormat="1" applyFont="1" applyAlignment="1">
      <alignment horizontal="left"/>
    </xf>
    <xf numFmtId="8" fontId="3" fillId="0" borderId="0" xfId="0" applyNumberFormat="1" applyFont="1" applyAlignment="1">
      <alignment horizontal="left"/>
    </xf>
    <xf numFmtId="166" fontId="3" fillId="0" borderId="0" xfId="28" applyNumberFormat="1" applyFont="1"/>
    <xf numFmtId="8" fontId="3" fillId="26" borderId="15" xfId="0" applyNumberFormat="1" applyFont="1" applyFill="1" applyBorder="1" applyProtection="1">
      <protection locked="0"/>
    </xf>
    <xf numFmtId="8" fontId="3" fillId="28" borderId="26" xfId="56" applyNumberFormat="1" applyFont="1" applyFill="1" applyBorder="1" applyProtection="1">
      <protection locked="0"/>
    </xf>
    <xf numFmtId="8" fontId="52" fillId="24" borderId="13" xfId="0" applyNumberFormat="1" applyFont="1" applyFill="1" applyBorder="1"/>
    <xf numFmtId="0" fontId="3" fillId="26" borderId="0" xfId="0" applyFont="1" applyFill="1"/>
    <xf numFmtId="0" fontId="52" fillId="0" borderId="0" xfId="0" applyFont="1"/>
    <xf numFmtId="8" fontId="3" fillId="26" borderId="0" xfId="0" applyNumberFormat="1" applyFont="1" applyFill="1"/>
    <xf numFmtId="168" fontId="3" fillId="0" borderId="19" xfId="0" applyNumberFormat="1" applyFont="1" applyFill="1" applyBorder="1" applyProtection="1">
      <protection locked="0"/>
    </xf>
    <xf numFmtId="8" fontId="3" fillId="24" borderId="16" xfId="0" applyNumberFormat="1" applyFont="1" applyFill="1" applyBorder="1"/>
    <xf numFmtId="8" fontId="3" fillId="0" borderId="16" xfId="0" applyNumberFormat="1" applyFont="1" applyFill="1" applyBorder="1" applyProtection="1">
      <protection locked="0"/>
    </xf>
    <xf numFmtId="8" fontId="3" fillId="0" borderId="0" xfId="0" applyNumberFormat="1" applyFont="1" applyProtection="1">
      <protection locked="0"/>
    </xf>
    <xf numFmtId="8" fontId="3" fillId="26" borderId="0" xfId="0" applyNumberFormat="1" applyFont="1" applyFill="1" applyProtection="1">
      <protection locked="0"/>
    </xf>
    <xf numFmtId="168" fontId="3" fillId="0" borderId="14" xfId="0" applyNumberFormat="1" applyFont="1" applyFill="1" applyBorder="1" applyProtection="1">
      <protection locked="0"/>
    </xf>
    <xf numFmtId="8" fontId="3" fillId="27" borderId="16" xfId="0" applyNumberFormat="1" applyFont="1" applyFill="1" applyBorder="1" applyProtection="1">
      <protection locked="0"/>
    </xf>
    <xf numFmtId="168" fontId="52" fillId="24" borderId="17" xfId="0" applyNumberFormat="1" applyFont="1" applyFill="1" applyBorder="1"/>
    <xf numFmtId="8" fontId="3" fillId="24" borderId="18" xfId="0" applyNumberFormat="1" applyFont="1" applyFill="1" applyBorder="1" applyProtection="1">
      <protection locked="0"/>
    </xf>
    <xf numFmtId="8" fontId="3" fillId="24" borderId="21" xfId="0" applyNumberFormat="1" applyFont="1" applyFill="1" applyBorder="1" applyProtection="1">
      <protection locked="0"/>
    </xf>
    <xf numFmtId="8" fontId="3" fillId="0" borderId="28" xfId="0" applyNumberFormat="1" applyFont="1" applyFill="1" applyBorder="1" applyProtection="1">
      <protection locked="0"/>
    </xf>
    <xf numFmtId="8" fontId="3" fillId="26" borderId="0" xfId="0" applyNumberFormat="1" applyFont="1" applyFill="1" applyBorder="1" applyProtection="1">
      <protection locked="0"/>
    </xf>
    <xf numFmtId="8" fontId="52" fillId="26" borderId="0" xfId="0" applyNumberFormat="1" applyFont="1" applyFill="1" applyBorder="1" applyProtection="1">
      <protection locked="0"/>
    </xf>
    <xf numFmtId="8" fontId="3" fillId="24" borderId="11" xfId="0" applyNumberFormat="1" applyFont="1" applyFill="1" applyBorder="1" applyProtection="1">
      <protection locked="0"/>
    </xf>
    <xf numFmtId="8" fontId="3" fillId="24" borderId="34" xfId="0" applyNumberFormat="1" applyFont="1" applyFill="1" applyBorder="1" applyProtection="1">
      <protection locked="0"/>
    </xf>
    <xf numFmtId="168" fontId="3" fillId="24" borderId="19" xfId="0" applyNumberFormat="1" applyFont="1" applyFill="1" applyBorder="1" applyProtection="1">
      <protection locked="0"/>
    </xf>
    <xf numFmtId="8" fontId="3" fillId="24" borderId="15" xfId="0" applyNumberFormat="1" applyFont="1" applyFill="1" applyBorder="1"/>
    <xf numFmtId="168" fontId="3" fillId="24" borderId="17" xfId="0" applyNumberFormat="1" applyFont="1" applyFill="1" applyBorder="1"/>
    <xf numFmtId="8" fontId="6" fillId="26" borderId="0" xfId="0" applyNumberFormat="1" applyFont="1" applyFill="1"/>
    <xf numFmtId="168" fontId="3" fillId="26" borderId="0" xfId="0" applyNumberFormat="1" applyFont="1" applyFill="1"/>
    <xf numFmtId="8" fontId="3" fillId="0" borderId="18" xfId="59" applyNumberFormat="1" applyFont="1" applyFill="1" applyBorder="1" applyProtection="1">
      <protection locked="0"/>
    </xf>
    <xf numFmtId="8" fontId="52" fillId="28" borderId="13" xfId="0" applyNumberFormat="1" applyFont="1" applyFill="1" applyBorder="1" applyProtection="1">
      <protection locked="0"/>
    </xf>
    <xf numFmtId="168" fontId="3" fillId="28" borderId="14" xfId="56" applyNumberFormat="1" applyFont="1" applyFill="1" applyBorder="1" applyProtection="1">
      <protection locked="0"/>
    </xf>
    <xf numFmtId="8" fontId="3" fillId="26" borderId="13" xfId="59" applyNumberFormat="1" applyFont="1" applyFill="1" applyBorder="1" applyProtection="1">
      <protection locked="0"/>
    </xf>
    <xf numFmtId="8" fontId="3" fillId="24" borderId="12" xfId="56" applyNumberFormat="1" applyFont="1" applyFill="1" applyBorder="1"/>
    <xf numFmtId="8" fontId="3" fillId="24" borderId="40" xfId="56" applyNumberFormat="1" applyFont="1" applyFill="1" applyBorder="1"/>
    <xf numFmtId="8" fontId="3" fillId="24" borderId="12" xfId="56" applyNumberFormat="1" applyFont="1" applyFill="1" applyBorder="1" applyProtection="1">
      <protection locked="0"/>
    </xf>
    <xf numFmtId="8" fontId="3" fillId="24" borderId="40" xfId="56" applyNumberFormat="1" applyFont="1" applyFill="1" applyBorder="1" applyProtection="1">
      <protection locked="0"/>
    </xf>
    <xf numFmtId="8" fontId="3" fillId="24" borderId="13" xfId="0" applyNumberFormat="1" applyFont="1" applyFill="1" applyBorder="1" applyProtection="1">
      <protection locked="0"/>
    </xf>
    <xf numFmtId="8" fontId="3" fillId="26" borderId="24" xfId="0" applyNumberFormat="1" applyFont="1" applyFill="1" applyBorder="1" applyProtection="1">
      <protection locked="0"/>
    </xf>
    <xf numFmtId="8" fontId="3" fillId="26" borderId="20" xfId="0" applyNumberFormat="1" applyFont="1" applyFill="1" applyBorder="1" applyProtection="1">
      <protection locked="0"/>
    </xf>
    <xf numFmtId="8" fontId="3" fillId="26" borderId="21" xfId="56" applyNumberFormat="1" applyFont="1" applyFill="1" applyBorder="1" applyProtection="1">
      <protection locked="0"/>
    </xf>
    <xf numFmtId="8" fontId="3" fillId="26" borderId="21" xfId="0" applyNumberFormat="1" applyFont="1" applyFill="1" applyBorder="1" applyProtection="1">
      <protection locked="0"/>
    </xf>
    <xf numFmtId="8" fontId="3" fillId="0" borderId="21" xfId="0" applyNumberFormat="1" applyFont="1" applyFill="1" applyBorder="1" applyProtection="1">
      <protection locked="0"/>
    </xf>
    <xf numFmtId="8" fontId="3" fillId="0" borderId="21" xfId="59" applyNumberFormat="1" applyFont="1" applyFill="1" applyBorder="1" applyProtection="1">
      <protection locked="0"/>
    </xf>
    <xf numFmtId="8" fontId="3" fillId="0" borderId="0" xfId="56" applyNumberFormat="1" applyFont="1" applyProtection="1">
      <protection locked="0"/>
    </xf>
    <xf numFmtId="8" fontId="3" fillId="24" borderId="21" xfId="0" applyNumberFormat="1" applyFont="1" applyFill="1" applyBorder="1"/>
    <xf numFmtId="8" fontId="3" fillId="28" borderId="21" xfId="56" applyNumberFormat="1" applyFont="1" applyFill="1" applyBorder="1" applyProtection="1">
      <protection locked="0"/>
    </xf>
    <xf numFmtId="8" fontId="3" fillId="28" borderId="21" xfId="0" applyNumberFormat="1" applyFont="1" applyFill="1" applyBorder="1" applyProtection="1">
      <protection locked="0"/>
    </xf>
    <xf numFmtId="8" fontId="3" fillId="28" borderId="21" xfId="59" applyNumberFormat="1" applyFont="1" applyFill="1" applyBorder="1" applyProtection="1">
      <protection locked="0"/>
    </xf>
    <xf numFmtId="8" fontId="3" fillId="0" borderId="0" xfId="0" applyNumberFormat="1" applyFont="1" applyFill="1" applyBorder="1" applyProtection="1">
      <protection locked="0"/>
    </xf>
    <xf numFmtId="8" fontId="52" fillId="0" borderId="0" xfId="0" applyNumberFormat="1" applyFont="1" applyFill="1" applyBorder="1" applyProtection="1">
      <protection locked="0"/>
    </xf>
    <xf numFmtId="8" fontId="3" fillId="29" borderId="20" xfId="0" applyNumberFormat="1" applyFont="1" applyFill="1" applyBorder="1" applyProtection="1">
      <protection locked="0"/>
    </xf>
    <xf numFmtId="8" fontId="3" fillId="29" borderId="56" xfId="0" applyNumberFormat="1" applyFont="1" applyFill="1" applyBorder="1" applyProtection="1">
      <protection locked="0"/>
    </xf>
    <xf numFmtId="8" fontId="7" fillId="0" borderId="0" xfId="0" applyNumberFormat="1" applyFont="1" applyBorder="1" applyAlignment="1" applyProtection="1">
      <alignment wrapText="1"/>
      <protection locked="0"/>
    </xf>
    <xf numFmtId="8" fontId="6" fillId="0" borderId="0" xfId="0" applyNumberFormat="1" applyFont="1" applyBorder="1" applyAlignment="1" applyProtection="1">
      <alignment wrapText="1"/>
      <protection locked="0"/>
    </xf>
    <xf numFmtId="8" fontId="6" fillId="0" borderId="0" xfId="0" applyNumberFormat="1" applyFont="1" applyFill="1" applyBorder="1" applyAlignment="1" applyProtection="1">
      <alignment wrapText="1"/>
      <protection locked="0"/>
    </xf>
    <xf numFmtId="8" fontId="62" fillId="0" borderId="0" xfId="0" applyNumberFormat="1" applyFont="1" applyFill="1" applyBorder="1" applyAlignment="1" applyProtection="1">
      <alignment wrapText="1"/>
      <protection locked="0"/>
    </xf>
    <xf numFmtId="8" fontId="52" fillId="24" borderId="52" xfId="0" applyNumberFormat="1" applyFont="1" applyFill="1" applyBorder="1" applyProtection="1">
      <protection locked="0"/>
    </xf>
    <xf numFmtId="168" fontId="52" fillId="24" borderId="19" xfId="0" applyNumberFormat="1" applyFont="1" applyFill="1" applyBorder="1" applyProtection="1">
      <protection locked="0"/>
    </xf>
    <xf numFmtId="8" fontId="3" fillId="24" borderId="27" xfId="0" applyNumberFormat="1" applyFont="1" applyFill="1" applyBorder="1" applyProtection="1">
      <protection locked="0"/>
    </xf>
    <xf numFmtId="8" fontId="3" fillId="24" borderId="57" xfId="0" applyNumberFormat="1" applyFont="1" applyFill="1" applyBorder="1" applyProtection="1">
      <protection locked="0"/>
    </xf>
    <xf numFmtId="8" fontId="3" fillId="24" borderId="28" xfId="0" applyNumberFormat="1" applyFont="1" applyFill="1" applyBorder="1" applyProtection="1">
      <protection locked="0"/>
    </xf>
    <xf numFmtId="8" fontId="3" fillId="26" borderId="20" xfId="0" applyNumberFormat="1" applyFont="1" applyFill="1" applyBorder="1"/>
    <xf numFmtId="8" fontId="3" fillId="26" borderId="56" xfId="0" applyNumberFormat="1" applyFont="1" applyFill="1" applyBorder="1"/>
    <xf numFmtId="8" fontId="3" fillId="26" borderId="21" xfId="0" applyNumberFormat="1" applyFont="1" applyFill="1" applyBorder="1"/>
    <xf numFmtId="8" fontId="3" fillId="26" borderId="22" xfId="0" applyNumberFormat="1" applyFont="1" applyFill="1" applyBorder="1"/>
    <xf numFmtId="168" fontId="3" fillId="26" borderId="22" xfId="0" applyNumberFormat="1" applyFont="1" applyFill="1" applyBorder="1"/>
    <xf numFmtId="8" fontId="52" fillId="0" borderId="0" xfId="0" applyNumberFormat="1" applyFont="1"/>
    <xf numFmtId="8" fontId="6" fillId="30" borderId="20" xfId="0" applyNumberFormat="1" applyFont="1" applyFill="1" applyBorder="1" applyAlignment="1" applyProtection="1">
      <alignment horizontal="center"/>
      <protection locked="0"/>
    </xf>
    <xf numFmtId="8" fontId="6" fillId="30" borderId="21" xfId="0" applyNumberFormat="1" applyFont="1" applyFill="1" applyBorder="1" applyAlignment="1" applyProtection="1">
      <alignment horizontal="center"/>
      <protection locked="0"/>
    </xf>
    <xf numFmtId="168" fontId="6" fillId="30" borderId="22" xfId="0" applyNumberFormat="1" applyFont="1" applyFill="1" applyBorder="1" applyAlignment="1" applyProtection="1">
      <alignment horizontal="center"/>
      <protection locked="0"/>
    </xf>
    <xf numFmtId="0" fontId="6" fillId="30" borderId="0" xfId="43" applyFont="1" applyFill="1" applyAlignment="1">
      <alignment horizontal="center"/>
    </xf>
    <xf numFmtId="167" fontId="6" fillId="30" borderId="0" xfId="29" applyNumberFormat="1" applyFont="1" applyFill="1" applyAlignment="1">
      <alignment horizontal="center"/>
    </xf>
    <xf numFmtId="8" fontId="3" fillId="29" borderId="40" xfId="0" applyNumberFormat="1" applyFont="1" applyFill="1" applyBorder="1" applyProtection="1">
      <protection locked="0"/>
    </xf>
    <xf numFmtId="8" fontId="3" fillId="29" borderId="54" xfId="0" applyNumberFormat="1" applyFont="1" applyFill="1" applyBorder="1" applyProtection="1">
      <protection locked="0"/>
    </xf>
    <xf numFmtId="8" fontId="3" fillId="29" borderId="40" xfId="56" applyNumberFormat="1" applyFont="1" applyFill="1" applyBorder="1" applyProtection="1">
      <protection locked="0"/>
    </xf>
    <xf numFmtId="8" fontId="3" fillId="29" borderId="55" xfId="0" applyNumberFormat="1" applyFont="1" applyFill="1" applyBorder="1" applyProtection="1">
      <protection locked="0"/>
    </xf>
    <xf numFmtId="8" fontId="3" fillId="29" borderId="40" xfId="0" applyNumberFormat="1" applyFont="1" applyFill="1" applyBorder="1"/>
    <xf numFmtId="8" fontId="3" fillId="29" borderId="36" xfId="0" applyNumberFormat="1" applyFont="1" applyFill="1" applyBorder="1"/>
    <xf numFmtId="8" fontId="3" fillId="29" borderId="36" xfId="0" applyNumberFormat="1" applyFont="1" applyFill="1" applyBorder="1" applyProtection="1">
      <protection locked="0"/>
    </xf>
    <xf numFmtId="8" fontId="3" fillId="29" borderId="40" xfId="56" applyNumberFormat="1" applyFont="1" applyFill="1" applyBorder="1"/>
    <xf numFmtId="8" fontId="3" fillId="24" borderId="18" xfId="0" applyNumberFormat="1" applyFont="1" applyFill="1" applyBorder="1"/>
    <xf numFmtId="8" fontId="52" fillId="24" borderId="16" xfId="0" applyNumberFormat="1" applyFont="1" applyFill="1" applyBorder="1"/>
    <xf numFmtId="8" fontId="52" fillId="24" borderId="18" xfId="0" applyNumberFormat="1" applyFont="1" applyFill="1" applyBorder="1" applyProtection="1">
      <protection locked="0"/>
    </xf>
    <xf numFmtId="0" fontId="3" fillId="0" borderId="30" xfId="43" applyFont="1" applyBorder="1"/>
    <xf numFmtId="0" fontId="3" fillId="0" borderId="30" xfId="43" applyFont="1" applyBorder="1" applyAlignment="1">
      <alignment horizontal="right"/>
    </xf>
    <xf numFmtId="8" fontId="3" fillId="0" borderId="30" xfId="43" applyNumberFormat="1" applyFont="1" applyBorder="1"/>
    <xf numFmtId="8" fontId="3" fillId="31" borderId="12" xfId="0" applyNumberFormat="1" applyFont="1" applyFill="1" applyBorder="1" applyProtection="1">
      <protection locked="0"/>
    </xf>
    <xf numFmtId="0" fontId="57" fillId="0" borderId="0" xfId="42" applyFont="1" applyAlignment="1">
      <alignment horizontal="center"/>
    </xf>
    <xf numFmtId="8" fontId="50" fillId="0" borderId="0" xfId="0" applyNumberFormat="1" applyFont="1" applyAlignment="1">
      <alignment horizontal="left" vertical="center"/>
    </xf>
    <xf numFmtId="0" fontId="50" fillId="0" borderId="0" xfId="0" applyFont="1" applyAlignment="1"/>
    <xf numFmtId="8" fontId="63" fillId="0" borderId="0" xfId="0" applyNumberFormat="1" applyFont="1" applyAlignment="1">
      <alignment horizontal="left"/>
    </xf>
    <xf numFmtId="0" fontId="3" fillId="0" borderId="0" xfId="0" applyFont="1" applyAlignment="1"/>
    <xf numFmtId="0" fontId="56" fillId="0" borderId="43" xfId="62" applyFont="1" applyBorder="1" applyAlignment="1">
      <alignment horizontal="left"/>
    </xf>
    <xf numFmtId="8" fontId="47" fillId="0" borderId="35" xfId="0" applyNumberFormat="1" applyFont="1" applyBorder="1" applyAlignment="1">
      <alignment horizontal="center"/>
    </xf>
    <xf numFmtId="8" fontId="47" fillId="0" borderId="32" xfId="0" applyNumberFormat="1" applyFont="1" applyBorder="1" applyAlignment="1">
      <alignment horizontal="center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1"/>
    <cellStyle name="Comma 2 2" xfId="63"/>
    <cellStyle name="Comma 3" xfId="57"/>
    <cellStyle name="Comma 3 2" xfId="67"/>
    <cellStyle name="Currency" xfId="29" builtinId="4"/>
    <cellStyle name="Currency 2" xfId="52"/>
    <cellStyle name="Currency 2 2" xfId="64"/>
    <cellStyle name="Currency 3" xfId="58"/>
    <cellStyle name="Currency 3 2" xfId="68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0"/>
    <cellStyle name="Normal 3 2" xfId="56"/>
    <cellStyle name="Normal 4" xfId="55"/>
    <cellStyle name="Normal 5" xfId="41"/>
    <cellStyle name="Normal 6" xfId="62"/>
    <cellStyle name="Normal 6 2" xfId="71"/>
    <cellStyle name="Normal_1994-95 FEE DETAIL" xfId="42"/>
    <cellStyle name="Normal_2010-11 Survey Template 2" xfId="59"/>
    <cellStyle name="Normal_sheet" xfId="43"/>
    <cellStyle name="Note" xfId="44" builtinId="10" customBuiltin="1"/>
    <cellStyle name="Note 2" xfId="53"/>
    <cellStyle name="Note 2 2" xfId="65"/>
    <cellStyle name="Note 3" xfId="60"/>
    <cellStyle name="Note 3 2" xfId="69"/>
    <cellStyle name="Output" xfId="45" builtinId="21" customBuiltin="1"/>
    <cellStyle name="Percent" xfId="46" builtinId="5"/>
    <cellStyle name="Percent 2" xfId="47"/>
    <cellStyle name="Percent 3" xfId="54"/>
    <cellStyle name="Percent 3 2" xfId="66"/>
    <cellStyle name="Percent 4" xfId="61"/>
    <cellStyle name="Percent 4 2" xfId="70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zoomScaleNormal="100" zoomScaleSheetLayoutView="55" workbookViewId="0">
      <pane xSplit="18" ySplit="3" topLeftCell="S4" activePane="bottomRight" state="frozen"/>
      <selection pane="topRight" activeCell="Q1" sqref="Q1"/>
      <selection pane="bottomLeft" activeCell="A4" sqref="A4"/>
      <selection pane="bottomRight" activeCell="H28" sqref="H28"/>
    </sheetView>
  </sheetViews>
  <sheetFormatPr defaultColWidth="9.140625" defaultRowHeight="12.75" x14ac:dyDescent="0.2"/>
  <cols>
    <col min="1" max="1" width="69.5703125" style="194" customWidth="1"/>
    <col min="2" max="2" width="13.140625" style="194" customWidth="1"/>
    <col min="3" max="3" width="14.42578125" style="194" bestFit="1" customWidth="1"/>
    <col min="4" max="4" width="14.42578125" style="194" customWidth="1"/>
    <col min="5" max="5" width="12" style="194" bestFit="1" customWidth="1"/>
    <col min="6" max="6" width="11.85546875" style="194" bestFit="1" customWidth="1"/>
    <col min="7" max="7" width="12" style="194" bestFit="1" customWidth="1"/>
    <col min="8" max="9" width="12" style="194" customWidth="1"/>
    <col min="10" max="10" width="12" style="194" bestFit="1" customWidth="1"/>
    <col min="11" max="11" width="11.42578125" style="194" customWidth="1"/>
    <col min="12" max="12" width="12" style="194" bestFit="1" customWidth="1"/>
    <col min="13" max="14" width="11.5703125" style="194" bestFit="1" customWidth="1"/>
    <col min="15" max="15" width="12" style="194" bestFit="1" customWidth="1"/>
    <col min="16" max="16" width="11.5703125" style="194" bestFit="1" customWidth="1"/>
    <col min="17" max="17" width="11.5703125" style="194" customWidth="1"/>
    <col min="18" max="18" width="10.5703125" style="178" customWidth="1"/>
    <col min="19" max="16384" width="9.140625" style="194"/>
  </cols>
  <sheetData>
    <row r="1" spans="1:18" ht="26.25" x14ac:dyDescent="0.4">
      <c r="A1" s="440" t="s">
        <v>310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</row>
    <row r="2" spans="1:18" ht="26.25" x14ac:dyDescent="0.4">
      <c r="A2" s="225" t="s">
        <v>179</v>
      </c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177"/>
    </row>
    <row r="3" spans="1:18" x14ac:dyDescent="0.2">
      <c r="C3" s="423" t="s">
        <v>0</v>
      </c>
      <c r="D3" s="423" t="s">
        <v>309</v>
      </c>
      <c r="E3" s="423" t="s">
        <v>1</v>
      </c>
      <c r="F3" s="423" t="s">
        <v>2</v>
      </c>
      <c r="G3" s="423" t="s">
        <v>267</v>
      </c>
      <c r="H3" s="423" t="s">
        <v>276</v>
      </c>
      <c r="I3" s="423" t="s">
        <v>277</v>
      </c>
      <c r="J3" s="423" t="s">
        <v>4</v>
      </c>
      <c r="K3" s="423" t="s">
        <v>5</v>
      </c>
      <c r="L3" s="423" t="s">
        <v>6</v>
      </c>
      <c r="M3" s="423" t="s">
        <v>7</v>
      </c>
      <c r="N3" s="423" t="s">
        <v>8</v>
      </c>
      <c r="O3" s="423" t="s">
        <v>9</v>
      </c>
      <c r="P3" s="423" t="s">
        <v>10</v>
      </c>
      <c r="Q3" s="423" t="s">
        <v>308</v>
      </c>
      <c r="R3" s="424" t="s">
        <v>274</v>
      </c>
    </row>
    <row r="4" spans="1:18" x14ac:dyDescent="0.2">
      <c r="A4" s="192" t="s">
        <v>59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11"/>
    </row>
    <row r="5" spans="1:18" x14ac:dyDescent="0.2">
      <c r="B5" s="193" t="s">
        <v>60</v>
      </c>
      <c r="C5" s="228">
        <f>'T&amp;F-All'!C54</f>
        <v>6312.9000000000005</v>
      </c>
      <c r="D5" s="228">
        <f>'T&amp;F-All'!D54</f>
        <v>3875.3999999999992</v>
      </c>
      <c r="E5" s="228">
        <f>'T&amp;F-All'!E54</f>
        <v>6506.4999999999991</v>
      </c>
      <c r="F5" s="228">
        <f>'T&amp;F-All'!F54</f>
        <v>5827.2999999999993</v>
      </c>
      <c r="G5" s="228">
        <f>'T&amp;F-All'!G54</f>
        <v>6409.7</v>
      </c>
      <c r="H5" s="228">
        <f>'T&amp;F-All'!H54</f>
        <v>5821</v>
      </c>
      <c r="I5" s="228">
        <f>'T&amp;F-All'!I54</f>
        <v>5587.5999999999995</v>
      </c>
      <c r="J5" s="228">
        <f>'T&amp;F-All'!J54</f>
        <v>6192.5</v>
      </c>
      <c r="K5" s="228">
        <f>'T&amp;F-All'!K54</f>
        <v>6359.4</v>
      </c>
      <c r="L5" s="228">
        <f>'T&amp;F-All'!L54</f>
        <v>6368.4</v>
      </c>
      <c r="M5" s="228">
        <f>'T&amp;F-All'!M54</f>
        <v>6493.079999999999</v>
      </c>
      <c r="N5" s="228">
        <f>'T&amp;F-All'!N54</f>
        <v>6385.1999999999989</v>
      </c>
      <c r="O5" s="228">
        <f>'T&amp;F-All'!O54</f>
        <v>6170.7</v>
      </c>
      <c r="P5" s="228">
        <f>'T&amp;F-All'!P54</f>
        <v>5763</v>
      </c>
      <c r="Q5" s="228">
        <f>'T&amp;F-All'!Q54</f>
        <v>4939.4999999999991</v>
      </c>
      <c r="R5" s="178">
        <f>'T&amp;F-All'!R54</f>
        <v>5934.1453333333329</v>
      </c>
    </row>
    <row r="6" spans="1:18" x14ac:dyDescent="0.2">
      <c r="B6" s="193" t="s">
        <v>61</v>
      </c>
      <c r="C6" s="228">
        <f>'T&amp;F-All'!C55</f>
        <v>210.43</v>
      </c>
      <c r="D6" s="228">
        <f>'T&amp;F-All'!D55</f>
        <v>129.18</v>
      </c>
      <c r="E6" s="228">
        <f>'T&amp;F-All'!E55</f>
        <v>216.88</v>
      </c>
      <c r="F6" s="228">
        <f>'T&amp;F-All'!F55</f>
        <v>194.24</v>
      </c>
      <c r="G6" s="228">
        <f>'T&amp;F-All'!G55</f>
        <v>213.65</v>
      </c>
      <c r="H6" s="228">
        <f>'T&amp;F-All'!H55</f>
        <v>194.03</v>
      </c>
      <c r="I6" s="228">
        <f>'T&amp;F-All'!I55</f>
        <v>186.25</v>
      </c>
      <c r="J6" s="228">
        <f>'T&amp;F-All'!J55</f>
        <v>206.41</v>
      </c>
      <c r="K6" s="228">
        <f>'T&amp;F-All'!K55</f>
        <v>211.98</v>
      </c>
      <c r="L6" s="228">
        <f>'T&amp;F-All'!L55</f>
        <v>212.28</v>
      </c>
      <c r="M6" s="228">
        <f>'T&amp;F-All'!M55</f>
        <v>216.43</v>
      </c>
      <c r="N6" s="228">
        <f>'T&amp;F-All'!N55</f>
        <v>212.84</v>
      </c>
      <c r="O6" s="228">
        <f>'T&amp;F-All'!O55</f>
        <v>205.69</v>
      </c>
      <c r="P6" s="228">
        <f>'T&amp;F-All'!P55</f>
        <v>192.1</v>
      </c>
      <c r="Q6" s="228">
        <f>'T&amp;F-All'!Q55</f>
        <v>164.65</v>
      </c>
      <c r="R6" s="178">
        <f>'T&amp;F-All'!R55</f>
        <v>197.80266666666668</v>
      </c>
    </row>
    <row r="7" spans="1:18" ht="6.6" customHeight="1" x14ac:dyDescent="0.2">
      <c r="B7" s="193"/>
    </row>
    <row r="8" spans="1:18" x14ac:dyDescent="0.2">
      <c r="A8" s="192" t="s">
        <v>167</v>
      </c>
    </row>
    <row r="9" spans="1:18" x14ac:dyDescent="0.2">
      <c r="B9" s="193" t="s">
        <v>60</v>
      </c>
      <c r="C9" s="228">
        <f>'T&amp;F-All'!C64</f>
        <v>28589.999999999996</v>
      </c>
      <c r="D9" s="228">
        <f>'T&amp;F-All'!D64</f>
        <v>16578.599999999999</v>
      </c>
      <c r="E9" s="228">
        <f>'T&amp;F-All'!E64</f>
        <v>21673</v>
      </c>
      <c r="F9" s="228">
        <f>'T&amp;F-All'!F64</f>
        <v>17715.399999999998</v>
      </c>
      <c r="G9" s="228">
        <f>'T&amp;F-All'!G64</f>
        <v>17324.3</v>
      </c>
      <c r="H9" s="228">
        <f>'T&amp;F-All'!H64</f>
        <v>16735.599999999999</v>
      </c>
      <c r="I9" s="228">
        <f>'T&amp;F-All'!I64</f>
        <v>16502.2</v>
      </c>
      <c r="J9" s="228">
        <f>'T&amp;F-All'!J64</f>
        <v>21748.999999999996</v>
      </c>
      <c r="K9" s="228">
        <f>'T&amp;F-All'!K64</f>
        <v>19241.099999999999</v>
      </c>
      <c r="L9" s="228">
        <f>'T&amp;F-All'!L64</f>
        <v>22466.700000000004</v>
      </c>
      <c r="M9" s="228">
        <f>'T&amp;F-All'!M64</f>
        <v>18892.080000000002</v>
      </c>
      <c r="N9" s="228">
        <f>'T&amp;F-All'!N64</f>
        <v>20789.100000000002</v>
      </c>
      <c r="O9" s="228">
        <f>'T&amp;F-All'!O64</f>
        <v>25161.9</v>
      </c>
      <c r="P9" s="228">
        <f>'T&amp;F-All'!P64</f>
        <v>24953.699999999997</v>
      </c>
      <c r="Q9" s="228">
        <f>'T&amp;F-All'!Q64</f>
        <v>21004.500000000004</v>
      </c>
      <c r="R9" s="178">
        <f>'T&amp;F-All'!R64</f>
        <v>20625.145333333337</v>
      </c>
    </row>
    <row r="10" spans="1:18" x14ac:dyDescent="0.2">
      <c r="B10" s="193" t="s">
        <v>61</v>
      </c>
      <c r="C10" s="228">
        <f>'T&amp;F-All'!C65</f>
        <v>953</v>
      </c>
      <c r="D10" s="228">
        <f>'T&amp;F-All'!D65</f>
        <v>552.62</v>
      </c>
      <c r="E10" s="228">
        <f>'T&amp;F-All'!E65</f>
        <v>722.43</v>
      </c>
      <c r="F10" s="228">
        <f>'T&amp;F-All'!F65</f>
        <v>590.51</v>
      </c>
      <c r="G10" s="228">
        <f>'T&amp;F-All'!G65</f>
        <v>577.47</v>
      </c>
      <c r="H10" s="228">
        <f>'T&amp;F-All'!H65</f>
        <v>557.85</v>
      </c>
      <c r="I10" s="228">
        <f>'T&amp;F-All'!I65</f>
        <v>550.07000000000005</v>
      </c>
      <c r="J10" s="228">
        <f>'T&amp;F-All'!J65</f>
        <v>724.96</v>
      </c>
      <c r="K10" s="228">
        <f>'T&amp;F-All'!K65</f>
        <v>641.37</v>
      </c>
      <c r="L10" s="228">
        <f>'T&amp;F-All'!L65</f>
        <v>748.89</v>
      </c>
      <c r="M10" s="228">
        <f>'T&amp;F-All'!M65</f>
        <v>629.73</v>
      </c>
      <c r="N10" s="228">
        <f>'T&amp;F-All'!N65</f>
        <v>692.97</v>
      </c>
      <c r="O10" s="228">
        <f>'T&amp;F-All'!O65</f>
        <v>838.73</v>
      </c>
      <c r="P10" s="228">
        <f>'T&amp;F-All'!P65</f>
        <v>831.79</v>
      </c>
      <c r="Q10" s="228">
        <f>'T&amp;F-All'!Q65</f>
        <v>700.15</v>
      </c>
      <c r="R10" s="178">
        <f>'T&amp;F-All'!R65</f>
        <v>687.50266666666664</v>
      </c>
    </row>
    <row r="11" spans="1:18" ht="6" customHeight="1" x14ac:dyDescent="0.2">
      <c r="B11" s="193"/>
    </row>
    <row r="12" spans="1:18" x14ac:dyDescent="0.2">
      <c r="A12" s="192" t="s">
        <v>62</v>
      </c>
    </row>
    <row r="13" spans="1:18" x14ac:dyDescent="0.2">
      <c r="B13" s="193" t="s">
        <v>63</v>
      </c>
      <c r="C13" s="228">
        <f>'T&amp;F-All'!C74</f>
        <v>12681.84</v>
      </c>
      <c r="D13" s="228"/>
      <c r="E13" s="228">
        <f>'T&amp;F-All'!E74</f>
        <v>11543.68</v>
      </c>
      <c r="F13" s="228">
        <f>'T&amp;F-All'!F74</f>
        <v>9866.0799999999981</v>
      </c>
      <c r="G13" s="228">
        <f>'T&amp;F-All'!G74</f>
        <v>10428.32</v>
      </c>
      <c r="H13" s="228">
        <f>'T&amp;F-All'!H74</f>
        <v>10226.32</v>
      </c>
      <c r="I13" s="228">
        <f>'T&amp;F-All'!I74</f>
        <v>10039.6</v>
      </c>
      <c r="J13" s="228">
        <f>'T&amp;F-All'!J74</f>
        <v>9029.48</v>
      </c>
      <c r="K13" s="228">
        <f>'T&amp;F-All'!K74</f>
        <v>9062.4</v>
      </c>
      <c r="L13" s="228">
        <f>'T&amp;F-All'!L74</f>
        <v>8871.5999999999985</v>
      </c>
      <c r="M13" s="228">
        <f>'T&amp;F-All'!M74</f>
        <v>11273.22</v>
      </c>
      <c r="N13" s="228">
        <f>'T&amp;F-All'!N74</f>
        <v>11841.36</v>
      </c>
      <c r="O13" s="228">
        <f>'T&amp;F-All'!O74</f>
        <v>8961.119999999999</v>
      </c>
      <c r="P13" s="228"/>
      <c r="Q13" s="228">
        <f>'T&amp;F-All'!Q74</f>
        <v>11341.92</v>
      </c>
      <c r="R13" s="178">
        <f>'T&amp;F-All'!R74</f>
        <v>10397.456923076921</v>
      </c>
    </row>
    <row r="14" spans="1:18" x14ac:dyDescent="0.2">
      <c r="B14" s="193" t="s">
        <v>61</v>
      </c>
      <c r="C14" s="228">
        <f>'T&amp;F-All'!C75</f>
        <v>528.41</v>
      </c>
      <c r="D14" s="228"/>
      <c r="E14" s="228">
        <f>'T&amp;F-All'!E75</f>
        <v>480.98666666666668</v>
      </c>
      <c r="F14" s="228">
        <f>'T&amp;F-All'!F75</f>
        <v>411.08666666666659</v>
      </c>
      <c r="G14" s="228">
        <f>'T&amp;F-All'!G75</f>
        <v>434.51333333333332</v>
      </c>
      <c r="H14" s="228">
        <f>'T&amp;F-All'!H75</f>
        <v>426.09666666666664</v>
      </c>
      <c r="I14" s="228">
        <f>'T&amp;F-All'!I75</f>
        <v>418.31666666666666</v>
      </c>
      <c r="J14" s="228">
        <f>'T&amp;F-All'!J75</f>
        <v>376.2283333333333</v>
      </c>
      <c r="K14" s="228">
        <f>'T&amp;F-All'!K75</f>
        <v>377.59999999999997</v>
      </c>
      <c r="L14" s="228">
        <f>'T&amp;F-All'!L75</f>
        <v>369.64999999999992</v>
      </c>
      <c r="M14" s="228">
        <f>'T&amp;F-All'!M75</f>
        <v>469.71749999999997</v>
      </c>
      <c r="N14" s="228">
        <f>'T&amp;F-All'!N75</f>
        <v>493.39000000000004</v>
      </c>
      <c r="O14" s="228">
        <f>'T&amp;F-All'!O75</f>
        <v>373.37999999999994</v>
      </c>
      <c r="P14" s="228"/>
      <c r="Q14" s="228">
        <f>'T&amp;F-All'!Q75</f>
        <v>472.58</v>
      </c>
      <c r="R14" s="178">
        <f>'T&amp;F-All'!R75</f>
        <v>433.22737179487183</v>
      </c>
    </row>
    <row r="15" spans="1:18" ht="6" customHeight="1" x14ac:dyDescent="0.2">
      <c r="B15" s="193"/>
    </row>
    <row r="16" spans="1:18" x14ac:dyDescent="0.2">
      <c r="A16" s="192" t="s">
        <v>168</v>
      </c>
    </row>
    <row r="17" spans="1:18" x14ac:dyDescent="0.2">
      <c r="B17" s="193" t="s">
        <v>63</v>
      </c>
      <c r="C17" s="228">
        <f>'T&amp;F-All'!C83</f>
        <v>30075.120000000003</v>
      </c>
      <c r="D17" s="228"/>
      <c r="E17" s="228">
        <f>'T&amp;F-All'!E83</f>
        <v>26697.279999999999</v>
      </c>
      <c r="F17" s="228">
        <f>'T&amp;F-All'!F83</f>
        <v>24658.959999999999</v>
      </c>
      <c r="G17" s="228">
        <f>'T&amp;F-All'!G83</f>
        <v>21126.079999999998</v>
      </c>
      <c r="H17" s="228">
        <f>'T&amp;F-All'!H83</f>
        <v>20924.079999999998</v>
      </c>
      <c r="I17" s="228">
        <f>'T&amp;F-All'!I83</f>
        <v>20737.36</v>
      </c>
      <c r="J17" s="228">
        <f>'T&amp;F-All'!J83</f>
        <v>24749.239999999998</v>
      </c>
      <c r="K17" s="228">
        <f>'T&amp;F-All'!K83</f>
        <v>24893.760000000002</v>
      </c>
      <c r="L17" s="228">
        <f>'T&amp;F-All'!L83</f>
        <v>28657.199999999997</v>
      </c>
      <c r="M17" s="228">
        <f>'T&amp;F-All'!M83</f>
        <v>24378.420000000002</v>
      </c>
      <c r="N17" s="228">
        <f>'T&amp;F-All'!N83</f>
        <v>25059.120000000003</v>
      </c>
      <c r="O17" s="228">
        <f>'T&amp;F-All'!O83</f>
        <v>31215.840000000004</v>
      </c>
      <c r="P17" s="228"/>
      <c r="Q17" s="228">
        <f>'T&amp;F-All'!Q83</f>
        <v>26663.52</v>
      </c>
      <c r="R17" s="178">
        <f>'T&amp;F-All'!R83</f>
        <v>25371.998461538467</v>
      </c>
    </row>
    <row r="18" spans="1:18" x14ac:dyDescent="0.2">
      <c r="B18" s="193" t="s">
        <v>61</v>
      </c>
      <c r="C18" s="228">
        <f>'T&amp;F-All'!C84</f>
        <v>1253.1300000000001</v>
      </c>
      <c r="D18" s="228"/>
      <c r="E18" s="228">
        <f>'T&amp;F-All'!E84</f>
        <v>1112.3866666666665</v>
      </c>
      <c r="F18" s="228">
        <f>'T&amp;F-All'!F84</f>
        <v>1027.4566666666667</v>
      </c>
      <c r="G18" s="228">
        <f>'T&amp;F-All'!G84</f>
        <v>880.25333333333322</v>
      </c>
      <c r="H18" s="228">
        <f>'T&amp;F-All'!H84</f>
        <v>871.83666666666659</v>
      </c>
      <c r="I18" s="228">
        <f>'T&amp;F-All'!I84</f>
        <v>864.05666666666673</v>
      </c>
      <c r="J18" s="228">
        <f>'T&amp;F-All'!J84</f>
        <v>1031.2183333333332</v>
      </c>
      <c r="K18" s="228">
        <f>'T&amp;F-All'!K84</f>
        <v>1037.24</v>
      </c>
      <c r="L18" s="228">
        <f>'T&amp;F-All'!L84</f>
        <v>1194.05</v>
      </c>
      <c r="M18" s="228">
        <f>'T&amp;F-All'!M84</f>
        <v>1015.7675</v>
      </c>
      <c r="N18" s="228">
        <f>'T&amp;F-All'!N84</f>
        <v>1044.1300000000001</v>
      </c>
      <c r="O18" s="228">
        <f>'T&amp;F-All'!O84</f>
        <v>1300.6600000000001</v>
      </c>
      <c r="P18" s="228"/>
      <c r="Q18" s="228">
        <f>'T&amp;F-All'!Q84</f>
        <v>1110.98</v>
      </c>
      <c r="R18" s="178">
        <f>'T&amp;F-All'!R84</f>
        <v>1057.1666025641025</v>
      </c>
    </row>
    <row r="19" spans="1:18" ht="4.9000000000000004" customHeight="1" x14ac:dyDescent="0.2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1:18" x14ac:dyDescent="0.2">
      <c r="A20" s="192" t="s">
        <v>64</v>
      </c>
    </row>
    <row r="21" spans="1:18" x14ac:dyDescent="0.2">
      <c r="B21" s="193" t="s">
        <v>63</v>
      </c>
      <c r="C21" s="228">
        <f>'T&amp;F-All'!C92</f>
        <v>17784.72</v>
      </c>
      <c r="D21" s="228"/>
      <c r="E21" s="228">
        <f>'T&amp;F-All'!E92</f>
        <v>16554.64</v>
      </c>
      <c r="F21" s="228">
        <f>'T&amp;F-All'!F92</f>
        <v>11070.64</v>
      </c>
      <c r="G21" s="228"/>
      <c r="H21" s="228"/>
      <c r="I21" s="228"/>
      <c r="J21" s="228"/>
      <c r="K21" s="228"/>
      <c r="L21" s="228"/>
      <c r="M21" s="228">
        <f>'T&amp;F-All'!M92</f>
        <v>16910.82</v>
      </c>
      <c r="N21" s="228"/>
      <c r="O21" s="228"/>
      <c r="P21" s="228"/>
      <c r="Q21" s="228"/>
      <c r="R21" s="178">
        <f>'T&amp;F-All'!R92</f>
        <v>15580.205</v>
      </c>
    </row>
    <row r="22" spans="1:18" x14ac:dyDescent="0.2">
      <c r="B22" s="193" t="s">
        <v>61</v>
      </c>
      <c r="C22" s="228">
        <f>'T&amp;F-All'!C93</f>
        <v>741.03000000000009</v>
      </c>
      <c r="D22" s="228"/>
      <c r="E22" s="228">
        <f>'T&amp;F-All'!E93</f>
        <v>689.77666666666664</v>
      </c>
      <c r="F22" s="228">
        <f>'T&amp;F-All'!F93</f>
        <v>461.27666666666664</v>
      </c>
      <c r="G22" s="228"/>
      <c r="H22" s="228"/>
      <c r="I22" s="228"/>
      <c r="J22" s="228"/>
      <c r="K22" s="228"/>
      <c r="L22" s="228"/>
      <c r="M22" s="228">
        <f>'T&amp;F-All'!M93</f>
        <v>704.61749999999995</v>
      </c>
      <c r="N22" s="228"/>
      <c r="O22" s="228"/>
      <c r="P22" s="228"/>
      <c r="Q22" s="228"/>
      <c r="R22" s="178">
        <f>'T&amp;F-All'!R93</f>
        <v>649.17520833333333</v>
      </c>
    </row>
    <row r="23" spans="1:18" ht="6.95" customHeight="1" x14ac:dyDescent="0.2">
      <c r="B23" s="193"/>
    </row>
    <row r="24" spans="1:18" x14ac:dyDescent="0.2">
      <c r="A24" s="192" t="s">
        <v>169</v>
      </c>
    </row>
    <row r="25" spans="1:18" x14ac:dyDescent="0.2">
      <c r="B25" s="193" t="s">
        <v>63</v>
      </c>
      <c r="C25" s="228">
        <f>'T&amp;F-All'!C101</f>
        <v>31068.48</v>
      </c>
      <c r="D25" s="228"/>
      <c r="E25" s="228">
        <f>'T&amp;F-All'!E101</f>
        <v>32564.32</v>
      </c>
      <c r="F25" s="228">
        <f>'T&amp;F-All'!F101</f>
        <v>26479.359999999997</v>
      </c>
      <c r="G25" s="228"/>
      <c r="H25" s="228"/>
      <c r="I25" s="228"/>
      <c r="J25" s="228"/>
      <c r="K25" s="228"/>
      <c r="L25" s="228"/>
      <c r="M25" s="228">
        <f>'T&amp;F-All'!M101</f>
        <v>27938.579999999998</v>
      </c>
      <c r="N25" s="228"/>
      <c r="O25" s="228"/>
      <c r="P25" s="228"/>
      <c r="Q25" s="228"/>
      <c r="R25" s="178">
        <f>'T&amp;F-All'!R101</f>
        <v>29512.685000000001</v>
      </c>
    </row>
    <row r="26" spans="1:18" x14ac:dyDescent="0.2">
      <c r="B26" s="193" t="s">
        <v>61</v>
      </c>
      <c r="C26" s="228">
        <f>'T&amp;F-All'!C102</f>
        <v>1294.52</v>
      </c>
      <c r="D26" s="228"/>
      <c r="E26" s="228">
        <f>'T&amp;F-All'!E102</f>
        <v>1356.8466666666666</v>
      </c>
      <c r="F26" s="228">
        <f>'T&amp;F-All'!F102</f>
        <v>1103.3066666666666</v>
      </c>
      <c r="G26" s="228"/>
      <c r="H26" s="228"/>
      <c r="I26" s="228"/>
      <c r="J26" s="228"/>
      <c r="K26" s="228"/>
      <c r="L26" s="228"/>
      <c r="M26" s="228">
        <f>'T&amp;F-All'!M102</f>
        <v>1164.1074999999998</v>
      </c>
      <c r="N26" s="228"/>
      <c r="O26" s="228"/>
      <c r="P26" s="228"/>
      <c r="Q26" s="228"/>
      <c r="R26" s="178">
        <f>'T&amp;F-All'!R102</f>
        <v>1229.6952083333333</v>
      </c>
    </row>
    <row r="27" spans="1:18" ht="6.6" customHeight="1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8" x14ac:dyDescent="0.2">
      <c r="A28" s="192" t="s">
        <v>246</v>
      </c>
    </row>
    <row r="29" spans="1:18" x14ac:dyDescent="0.2">
      <c r="B29" s="193" t="s">
        <v>46</v>
      </c>
      <c r="C29" s="228">
        <f>'T&amp;F-All'!C111</f>
        <v>36565.979999999996</v>
      </c>
      <c r="D29" s="228"/>
      <c r="E29" s="228">
        <f>'T&amp;F-All'!E111</f>
        <v>24258.800000000003</v>
      </c>
      <c r="F29" s="228"/>
      <c r="G29" s="228">
        <f>'T&amp;F-All'!G111</f>
        <v>32611.460000000003</v>
      </c>
      <c r="H29" s="228"/>
      <c r="I29" s="228"/>
      <c r="J29" s="228">
        <f>'T&amp;F-All'!J111</f>
        <v>30606.720000000005</v>
      </c>
      <c r="K29" s="228"/>
      <c r="L29" s="228">
        <f>'T&amp;F-All'!L111</f>
        <v>31122.799999999999</v>
      </c>
      <c r="M29" s="228">
        <f>'T&amp;F-All'!M111</f>
        <v>37647.089999999997</v>
      </c>
      <c r="N29" s="228"/>
      <c r="O29" s="228"/>
      <c r="P29" s="228"/>
      <c r="Q29" s="228"/>
      <c r="R29" s="178">
        <f>'T&amp;F-All'!R111</f>
        <v>32135.475000000002</v>
      </c>
    </row>
    <row r="30" spans="1:18" ht="6" customHeight="1" x14ac:dyDescent="0.2">
      <c r="B30" s="193"/>
    </row>
    <row r="31" spans="1:18" x14ac:dyDescent="0.2">
      <c r="A31" s="192" t="s">
        <v>247</v>
      </c>
    </row>
    <row r="32" spans="1:18" x14ac:dyDescent="0.2">
      <c r="B32" s="193" t="s">
        <v>46</v>
      </c>
      <c r="C32" s="228">
        <f>'T&amp;F-All'!C119</f>
        <v>65806.22</v>
      </c>
      <c r="D32" s="228"/>
      <c r="E32" s="228">
        <f>'T&amp;F-All'!E119</f>
        <v>58809.99</v>
      </c>
      <c r="F32" s="228"/>
      <c r="G32" s="228">
        <f>'T&amp;F-All'!G119</f>
        <v>53801.120000000003</v>
      </c>
      <c r="H32" s="228"/>
      <c r="I32" s="228"/>
      <c r="J32" s="228">
        <f>'T&amp;F-All'!J119</f>
        <v>65361.440000000002</v>
      </c>
      <c r="K32" s="228"/>
      <c r="L32" s="228">
        <f>'T&amp;F-All'!L119</f>
        <v>57996.4</v>
      </c>
      <c r="M32" s="228">
        <f>'T&amp;F-All'!M119</f>
        <v>69147.089999999982</v>
      </c>
      <c r="N32" s="228"/>
      <c r="O32" s="228"/>
      <c r="P32" s="228"/>
      <c r="Q32" s="228"/>
      <c r="R32" s="178">
        <f>'T&amp;F-All'!R119</f>
        <v>61820.376666666656</v>
      </c>
    </row>
    <row r="33" spans="1:18" ht="6.95" customHeight="1" x14ac:dyDescent="0.2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1:18" x14ac:dyDescent="0.2">
      <c r="A34" s="192" t="s">
        <v>248</v>
      </c>
    </row>
    <row r="35" spans="1:18" x14ac:dyDescent="0.2">
      <c r="B35" s="193" t="s">
        <v>46</v>
      </c>
      <c r="C35" s="228">
        <f>'T&amp;F-All'!C128</f>
        <v>28695.660000000003</v>
      </c>
      <c r="D35" s="228"/>
      <c r="R35" s="178">
        <f>'T&amp;F-All'!R128</f>
        <v>28695.660000000003</v>
      </c>
    </row>
    <row r="36" spans="1:18" ht="6" customHeight="1" x14ac:dyDescent="0.2">
      <c r="B36" s="193"/>
    </row>
    <row r="37" spans="1:18" x14ac:dyDescent="0.2">
      <c r="A37" s="192" t="s">
        <v>249</v>
      </c>
    </row>
    <row r="38" spans="1:18" x14ac:dyDescent="0.2">
      <c r="B38" s="193" t="s">
        <v>46</v>
      </c>
      <c r="C38" s="228">
        <f>'T&amp;F-All'!C136</f>
        <v>49670.859999999993</v>
      </c>
      <c r="D38" s="228"/>
      <c r="R38" s="178">
        <f>'T&amp;F-All'!R136</f>
        <v>49670.859999999993</v>
      </c>
    </row>
    <row r="39" spans="1:18" ht="8.1" customHeight="1" x14ac:dyDescent="0.2">
      <c r="B39" s="193"/>
    </row>
    <row r="40" spans="1:18" x14ac:dyDescent="0.2">
      <c r="A40" s="192" t="s">
        <v>250</v>
      </c>
    </row>
    <row r="41" spans="1:18" x14ac:dyDescent="0.2">
      <c r="B41" s="193" t="s">
        <v>46</v>
      </c>
      <c r="C41" s="228">
        <f>'T&amp;F-All'!C145</f>
        <v>41626.78</v>
      </c>
      <c r="D41" s="228"/>
      <c r="R41" s="178">
        <f>'T&amp;F-All'!R145</f>
        <v>41626.78</v>
      </c>
    </row>
    <row r="42" spans="1:18" ht="6.95" customHeight="1" x14ac:dyDescent="0.2">
      <c r="B42" s="193"/>
    </row>
    <row r="43" spans="1:18" x14ac:dyDescent="0.2">
      <c r="A43" s="192" t="s">
        <v>251</v>
      </c>
    </row>
    <row r="44" spans="1:18" x14ac:dyDescent="0.2">
      <c r="B44" s="193" t="s">
        <v>46</v>
      </c>
      <c r="C44" s="228">
        <f>'T&amp;F-All'!C153</f>
        <v>68107.539999999994</v>
      </c>
      <c r="D44" s="228"/>
      <c r="R44" s="178">
        <f>'T&amp;F-All'!R153</f>
        <v>68107.539999999994</v>
      </c>
    </row>
    <row r="45" spans="1:18" ht="6.95" customHeight="1" x14ac:dyDescent="0.2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1:18" x14ac:dyDescent="0.2">
      <c r="A46" s="192" t="s">
        <v>252</v>
      </c>
    </row>
    <row r="47" spans="1:18" x14ac:dyDescent="0.2">
      <c r="B47" s="193" t="s">
        <v>46</v>
      </c>
      <c r="C47" s="228">
        <f>'T&amp;F-All'!C162</f>
        <v>22819.300000000003</v>
      </c>
      <c r="D47" s="228"/>
      <c r="F47" s="228">
        <f>'T&amp;F-All'!F162</f>
        <v>9866.0799999999981</v>
      </c>
      <c r="G47" s="228">
        <f>'T&amp;F-All'!G162</f>
        <v>19418.580000000002</v>
      </c>
      <c r="R47" s="178">
        <f>'T&amp;F-All'!R162</f>
        <v>17367.986666666668</v>
      </c>
    </row>
    <row r="48" spans="1:18" ht="6.95" customHeight="1" x14ac:dyDescent="0.2">
      <c r="B48" s="193"/>
    </row>
    <row r="49" spans="1:18" x14ac:dyDescent="0.2">
      <c r="A49" s="192" t="s">
        <v>253</v>
      </c>
    </row>
    <row r="50" spans="1:18" x14ac:dyDescent="0.2">
      <c r="B50" s="193" t="s">
        <v>46</v>
      </c>
      <c r="C50" s="228">
        <f>'T&amp;F-All'!C171</f>
        <v>45962.76</v>
      </c>
      <c r="D50" s="228"/>
      <c r="F50" s="228">
        <f>'T&amp;F-All'!F171</f>
        <v>24658.959999999999</v>
      </c>
      <c r="G50" s="228">
        <f>'T&amp;F-All'!G171</f>
        <v>37976.83</v>
      </c>
      <c r="R50" s="178">
        <f>'T&amp;F-All'!R171</f>
        <v>36199.51666666667</v>
      </c>
    </row>
    <row r="51" spans="1:18" ht="6.6" customHeight="1" x14ac:dyDescent="0.2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1:18" x14ac:dyDescent="0.2">
      <c r="A52" s="192" t="s">
        <v>254</v>
      </c>
    </row>
    <row r="53" spans="1:18" x14ac:dyDescent="0.2">
      <c r="B53" s="193" t="s">
        <v>46</v>
      </c>
      <c r="C53" s="228">
        <f>'T&amp;F-All'!C180</f>
        <v>22507.78</v>
      </c>
      <c r="D53" s="228"/>
      <c r="F53" s="228"/>
      <c r="G53" s="228">
        <f>'T&amp;F-All'!G180</f>
        <v>21398.120000000003</v>
      </c>
      <c r="H53" s="228"/>
      <c r="I53" s="228"/>
      <c r="L53" s="228">
        <f>'T&amp;F-All'!L180</f>
        <v>21202.400000000001</v>
      </c>
      <c r="M53" s="228">
        <f>'T&amp;F-All'!M180</f>
        <v>20909.599999999999</v>
      </c>
      <c r="N53" s="228"/>
      <c r="O53" s="228"/>
      <c r="P53" s="228"/>
      <c r="Q53" s="228"/>
      <c r="R53" s="178">
        <f>'T&amp;F-All'!R180</f>
        <v>21504.474999999999</v>
      </c>
    </row>
    <row r="54" spans="1:18" ht="6.95" customHeight="1" x14ac:dyDescent="0.2">
      <c r="B54" s="193"/>
    </row>
    <row r="55" spans="1:18" x14ac:dyDescent="0.2">
      <c r="A55" s="192" t="s">
        <v>255</v>
      </c>
    </row>
    <row r="56" spans="1:18" x14ac:dyDescent="0.2">
      <c r="B56" s="193" t="s">
        <v>46</v>
      </c>
      <c r="C56" s="228">
        <f>'T&amp;F-All'!C188</f>
        <v>30008.799999999999</v>
      </c>
      <c r="D56" s="228"/>
      <c r="E56" s="228"/>
      <c r="F56" s="228"/>
      <c r="G56" s="228">
        <f>'T&amp;F-All'!G188</f>
        <v>27196.06</v>
      </c>
      <c r="H56" s="228"/>
      <c r="I56" s="228"/>
      <c r="L56" s="228">
        <f>'T&amp;F-All'!L188</f>
        <v>54178.400000000001</v>
      </c>
      <c r="M56" s="228">
        <f>'T&amp;F-All'!M188</f>
        <v>38768.579999999994</v>
      </c>
      <c r="N56" s="228"/>
      <c r="O56" s="228"/>
      <c r="R56" s="178">
        <f>'T&amp;F-All'!R188</f>
        <v>37537.96</v>
      </c>
    </row>
    <row r="57" spans="1:18" ht="8.4499999999999993" customHeight="1" x14ac:dyDescent="0.2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1:18" x14ac:dyDescent="0.2">
      <c r="A58" s="192" t="s">
        <v>256</v>
      </c>
    </row>
    <row r="59" spans="1:18" x14ac:dyDescent="0.2">
      <c r="B59" s="193" t="s">
        <v>46</v>
      </c>
      <c r="C59" s="228">
        <f>'T&amp;F-All'!C197</f>
        <v>15235.96</v>
      </c>
      <c r="D59" s="228"/>
      <c r="R59" s="178">
        <f>'T&amp;F-All'!R197</f>
        <v>15235.96</v>
      </c>
    </row>
    <row r="60" spans="1:18" ht="8.1" customHeight="1" x14ac:dyDescent="0.2">
      <c r="B60" s="193"/>
    </row>
    <row r="61" spans="1:18" x14ac:dyDescent="0.2">
      <c r="A61" s="192" t="s">
        <v>257</v>
      </c>
    </row>
    <row r="62" spans="1:18" x14ac:dyDescent="0.2">
      <c r="B62" s="193" t="s">
        <v>46</v>
      </c>
      <c r="C62" s="228">
        <f>'T&amp;F-All'!C205</f>
        <v>32629.460000000003</v>
      </c>
      <c r="D62" s="228"/>
      <c r="R62" s="178">
        <f>'T&amp;F-All'!R205</f>
        <v>32629.460000000003</v>
      </c>
    </row>
    <row r="63" spans="1:18" ht="6.6" customHeight="1" x14ac:dyDescent="0.2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</row>
    <row r="64" spans="1:18" x14ac:dyDescent="0.2">
      <c r="A64" s="192" t="s">
        <v>258</v>
      </c>
    </row>
    <row r="65" spans="1:18" x14ac:dyDescent="0.2">
      <c r="B65" s="193" t="s">
        <v>46</v>
      </c>
      <c r="C65" s="228"/>
      <c r="D65" s="228"/>
      <c r="M65" s="228">
        <f>'T&amp;F-All'!M214</f>
        <v>24942.820000000003</v>
      </c>
      <c r="N65" s="228">
        <f>'T&amp;F-All'!N214</f>
        <v>16307.2</v>
      </c>
      <c r="R65" s="178">
        <f>'T&amp;F-All'!R214</f>
        <v>20625.010000000002</v>
      </c>
    </row>
    <row r="66" spans="1:18" ht="6" customHeight="1" x14ac:dyDescent="0.2">
      <c r="B66" s="193"/>
    </row>
    <row r="67" spans="1:18" x14ac:dyDescent="0.2">
      <c r="A67" s="192" t="s">
        <v>259</v>
      </c>
    </row>
    <row r="68" spans="1:18" x14ac:dyDescent="0.2">
      <c r="B68" s="193" t="s">
        <v>46</v>
      </c>
      <c r="C68" s="228"/>
      <c r="D68" s="228"/>
      <c r="M68" s="228">
        <f>'T&amp;F-All'!M221</f>
        <v>42416.42</v>
      </c>
      <c r="N68" s="228">
        <f>'T&amp;F-All'!N221</f>
        <v>36070.720000000001</v>
      </c>
      <c r="R68" s="178">
        <f>'T&amp;F-All'!R221</f>
        <v>39243.57</v>
      </c>
    </row>
    <row r="69" spans="1:18" x14ac:dyDescent="0.2">
      <c r="B69" s="174"/>
      <c r="C69" s="228"/>
      <c r="D69" s="228"/>
      <c r="M69" s="228"/>
      <c r="N69" s="228"/>
    </row>
    <row r="70" spans="1:18" x14ac:dyDescent="0.2">
      <c r="B70" s="206" t="s">
        <v>279</v>
      </c>
    </row>
    <row r="71" spans="1:18" x14ac:dyDescent="0.2">
      <c r="B71" s="206" t="s">
        <v>280</v>
      </c>
    </row>
  </sheetData>
  <mergeCells count="1">
    <mergeCell ref="A1:R1"/>
  </mergeCells>
  <phoneticPr fontId="0" type="noConversion"/>
  <printOptions horizontalCentered="1"/>
  <pageMargins left="0" right="0" top="0.5" bottom="0.5" header="0.25" footer="0.25"/>
  <pageSetup paperSize="5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Zeros="0" zoomScaleNormal="100" zoomScaleSheetLayoutView="100" workbookViewId="0">
      <pane xSplit="19" ySplit="4" topLeftCell="T13" activePane="bottomRight" state="frozen"/>
      <selection pane="topRight" activeCell="R1" sqref="R1"/>
      <selection pane="bottomLeft" activeCell="A5" sqref="A5"/>
      <selection pane="bottomRight" activeCell="J45" sqref="J45"/>
    </sheetView>
  </sheetViews>
  <sheetFormatPr defaultColWidth="9.140625" defaultRowHeight="12.75" x14ac:dyDescent="0.2"/>
  <cols>
    <col min="1" max="1" width="12.7109375" style="194" customWidth="1"/>
    <col min="2" max="2" width="32.140625" style="194" customWidth="1"/>
    <col min="3" max="3" width="10.7109375" style="194" bestFit="1" customWidth="1"/>
    <col min="4" max="4" width="10.7109375" style="194" customWidth="1"/>
    <col min="5" max="16" width="10.7109375" style="194" bestFit="1" customWidth="1"/>
    <col min="17" max="17" width="10.7109375" style="194" customWidth="1"/>
    <col min="18" max="18" width="10.7109375" style="194" bestFit="1" customWidth="1"/>
    <col min="19" max="19" width="6.7109375" style="194" hidden="1" customWidth="1"/>
    <col min="20" max="16384" width="9.140625" style="194"/>
  </cols>
  <sheetData>
    <row r="1" spans="1:19" ht="26.25" x14ac:dyDescent="0.4">
      <c r="A1" s="440" t="s">
        <v>310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</row>
    <row r="2" spans="1:19" ht="21" customHeight="1" x14ac:dyDescent="0.4">
      <c r="A2" s="225" t="s">
        <v>270</v>
      </c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191" t="s">
        <v>130</v>
      </c>
    </row>
    <row r="3" spans="1:19" ht="6.95" customHeight="1" x14ac:dyDescent="0.4">
      <c r="A3" s="225"/>
      <c r="B3" s="226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91"/>
    </row>
    <row r="4" spans="1:19" x14ac:dyDescent="0.2">
      <c r="C4" s="423" t="s">
        <v>0</v>
      </c>
      <c r="D4" s="423" t="s">
        <v>309</v>
      </c>
      <c r="E4" s="423" t="s">
        <v>1</v>
      </c>
      <c r="F4" s="423" t="s">
        <v>2</v>
      </c>
      <c r="G4" s="423" t="s">
        <v>267</v>
      </c>
      <c r="H4" s="423" t="s">
        <v>276</v>
      </c>
      <c r="I4" s="423" t="s">
        <v>277</v>
      </c>
      <c r="J4" s="423" t="s">
        <v>4</v>
      </c>
      <c r="K4" s="423" t="s">
        <v>5</v>
      </c>
      <c r="L4" s="423" t="s">
        <v>6</v>
      </c>
      <c r="M4" s="423" t="s">
        <v>7</v>
      </c>
      <c r="N4" s="423" t="s">
        <v>8</v>
      </c>
      <c r="O4" s="423" t="s">
        <v>9</v>
      </c>
      <c r="P4" s="423" t="s">
        <v>10</v>
      </c>
      <c r="Q4" s="423" t="s">
        <v>308</v>
      </c>
      <c r="R4" s="423" t="s">
        <v>274</v>
      </c>
      <c r="S4" s="191" t="s">
        <v>11</v>
      </c>
    </row>
    <row r="5" spans="1:19" x14ac:dyDescent="0.2">
      <c r="A5" s="192" t="s">
        <v>12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9" x14ac:dyDescent="0.2">
      <c r="A6" s="192"/>
      <c r="B6" s="193" t="s">
        <v>13</v>
      </c>
      <c r="C6" s="228">
        <f>'Survey Template'!C144</f>
        <v>18.190000000000001</v>
      </c>
      <c r="D6" s="228">
        <f>'Survey Template'!D144</f>
        <v>0</v>
      </c>
      <c r="E6" s="228">
        <f>'Survey Template'!E144</f>
        <v>12.86</v>
      </c>
      <c r="F6" s="228">
        <f>'Survey Template'!F144</f>
        <v>10.5</v>
      </c>
      <c r="G6" s="228">
        <f>'Survey Template'!G144</f>
        <v>12.08</v>
      </c>
      <c r="H6" s="228">
        <f>'Survey Template'!H144</f>
        <v>25.63</v>
      </c>
      <c r="I6" s="228">
        <f>'Survey Template'!I144</f>
        <v>20.190000000000001</v>
      </c>
      <c r="J6" s="228">
        <f>'Survey Template'!J144</f>
        <v>12.32</v>
      </c>
      <c r="K6" s="228">
        <f>'Survey Template'!K144</f>
        <v>13.57</v>
      </c>
      <c r="L6" s="228">
        <f>'Survey Template'!L144</f>
        <v>11.67</v>
      </c>
      <c r="M6" s="228">
        <f>'Survey Template'!M144</f>
        <v>12.87</v>
      </c>
      <c r="N6" s="228">
        <f>'Survey Template'!N144</f>
        <v>14.47</v>
      </c>
      <c r="O6" s="228">
        <f>'Survey Template'!O144</f>
        <v>11.5</v>
      </c>
      <c r="P6" s="228">
        <f>'Survey Template'!P144</f>
        <v>16.84</v>
      </c>
      <c r="Q6" s="228">
        <f>'Survey Template'!Q144</f>
        <v>17.62</v>
      </c>
      <c r="R6" s="228">
        <f t="array" ref="R6">AVERAGE(IF(C6:Q6&lt;&gt;0,C6:Q6,""))</f>
        <v>15.022142857142855</v>
      </c>
      <c r="S6" s="229"/>
    </row>
    <row r="7" spans="1:19" x14ac:dyDescent="0.2">
      <c r="A7" s="192"/>
      <c r="B7" s="193" t="s">
        <v>14</v>
      </c>
      <c r="C7" s="228">
        <f>'Survey Template'!C147</f>
        <v>1.9</v>
      </c>
      <c r="D7" s="228">
        <f>'Survey Template'!D147</f>
        <v>0</v>
      </c>
      <c r="E7" s="228">
        <f>'Survey Template'!E147</f>
        <v>7.9</v>
      </c>
      <c r="F7" s="228">
        <f>'Survey Template'!F147</f>
        <v>13.969999999999999</v>
      </c>
      <c r="G7" s="228">
        <f>'Survey Template'!G147</f>
        <v>14.46</v>
      </c>
      <c r="H7" s="228">
        <f>'Survey Template'!H147</f>
        <v>2.4500000000000002</v>
      </c>
      <c r="I7" s="228">
        <f>'Survey Template'!I147</f>
        <v>4.2300000000000004</v>
      </c>
      <c r="J7" s="228">
        <f>'Survey Template'!J147</f>
        <v>17.27</v>
      </c>
      <c r="K7" s="228">
        <f>'Survey Template'!K147</f>
        <v>20.93</v>
      </c>
      <c r="L7" s="228">
        <f>'Survey Template'!L147</f>
        <v>14.32</v>
      </c>
      <c r="M7" s="228">
        <f>'Survey Template'!M147</f>
        <v>14.1</v>
      </c>
      <c r="N7" s="228">
        <f>'Survey Template'!N147</f>
        <v>16.829999999999998</v>
      </c>
      <c r="O7" s="228">
        <f>'Survey Template'!O147</f>
        <v>13.54</v>
      </c>
      <c r="P7" s="228">
        <f>'Survey Template'!P147</f>
        <v>6.81</v>
      </c>
      <c r="Q7" s="228">
        <f>'Survey Template'!Q147</f>
        <v>14.12</v>
      </c>
      <c r="R7" s="228">
        <f t="array" ref="R7">AVERAGE(IF(C7:Q7&lt;&gt;0,C7:Q7,""))</f>
        <v>11.630714285714287</v>
      </c>
      <c r="S7" s="229"/>
    </row>
    <row r="8" spans="1:19" x14ac:dyDescent="0.2">
      <c r="A8" s="192"/>
      <c r="B8" s="193" t="s">
        <v>113</v>
      </c>
      <c r="C8" s="228">
        <f>'Survey Template'!C148</f>
        <v>0</v>
      </c>
      <c r="D8" s="228">
        <f>'Survey Template'!D148</f>
        <v>0</v>
      </c>
      <c r="E8" s="228">
        <f>'Survey Template'!E148</f>
        <v>0</v>
      </c>
      <c r="F8" s="228">
        <f>'Survey Template'!F148</f>
        <v>0</v>
      </c>
      <c r="G8" s="228">
        <f>'Survey Template'!G148</f>
        <v>0</v>
      </c>
      <c r="H8" s="228">
        <f>'Survey Template'!H148</f>
        <v>0</v>
      </c>
      <c r="I8" s="228">
        <f>'Survey Template'!I148</f>
        <v>0</v>
      </c>
      <c r="J8" s="228">
        <f>'Survey Template'!J148</f>
        <v>0</v>
      </c>
      <c r="K8" s="228">
        <f>'Survey Template'!K148</f>
        <v>0</v>
      </c>
      <c r="L8" s="228">
        <f>'Survey Template'!L148</f>
        <v>0</v>
      </c>
      <c r="M8" s="228">
        <f>'Survey Template'!M148</f>
        <v>2</v>
      </c>
      <c r="N8" s="228">
        <f>'Survey Template'!N148</f>
        <v>2</v>
      </c>
      <c r="O8" s="228">
        <f>'Survey Template'!O148</f>
        <v>4</v>
      </c>
      <c r="P8" s="228">
        <f>'Survey Template'!P148</f>
        <v>0</v>
      </c>
      <c r="Q8" s="228"/>
      <c r="R8" s="228">
        <f t="array" ref="R8">AVERAGE(IF(C8:Q8&lt;&gt;0,C8:Q8,""))</f>
        <v>2.6666666666666665</v>
      </c>
    </row>
    <row r="9" spans="1:19" x14ac:dyDescent="0.2">
      <c r="A9" s="192"/>
      <c r="B9" s="193" t="s">
        <v>15</v>
      </c>
      <c r="C9" s="228">
        <f>'Survey Template'!C152</f>
        <v>14.93</v>
      </c>
      <c r="D9" s="228">
        <f>'Survey Template'!D152</f>
        <v>0</v>
      </c>
      <c r="E9" s="228">
        <f>'Survey Template'!E152</f>
        <v>13.97</v>
      </c>
      <c r="F9" s="228">
        <f>'Survey Template'!F152</f>
        <v>6.91</v>
      </c>
      <c r="G9" s="228">
        <f>'Survey Template'!G152</f>
        <v>9.94</v>
      </c>
      <c r="H9" s="228">
        <f>'Survey Template'!H152</f>
        <v>4.9000000000000004</v>
      </c>
      <c r="I9" s="228">
        <f>'Survey Template'!I152</f>
        <v>4.03</v>
      </c>
      <c r="J9" s="228">
        <f>'Survey Template'!J152</f>
        <v>9.42</v>
      </c>
      <c r="K9" s="228">
        <f>'Survey Template'!K152</f>
        <v>7.52</v>
      </c>
      <c r="L9" s="228">
        <f>'Survey Template'!L152</f>
        <v>10.84</v>
      </c>
      <c r="M9" s="228">
        <f>'Survey Template'!M152</f>
        <v>0</v>
      </c>
      <c r="N9" s="228">
        <f>'Survey Template'!N152</f>
        <v>10.25</v>
      </c>
      <c r="O9" s="228">
        <f>'Survey Template'!O152</f>
        <v>9.24</v>
      </c>
      <c r="P9" s="228">
        <f>'Survey Template'!P152</f>
        <v>5.61</v>
      </c>
      <c r="Q9" s="228">
        <f>'Survey Template'!Q152</f>
        <v>9.58</v>
      </c>
      <c r="R9" s="228">
        <f t="array" ref="R9">AVERAGE(IF(C9:Q9&lt;&gt;0,C9:Q9,""))</f>
        <v>9.0107692307692293</v>
      </c>
    </row>
    <row r="10" spans="1:19" x14ac:dyDescent="0.2">
      <c r="B10" s="203" t="s">
        <v>144</v>
      </c>
      <c r="C10" s="230">
        <f>'Survey Template'!C155</f>
        <v>8.91</v>
      </c>
      <c r="D10" s="230">
        <f>'Survey Template'!D155</f>
        <v>0</v>
      </c>
      <c r="E10" s="230">
        <f>'Survey Template'!E155</f>
        <v>8.9</v>
      </c>
      <c r="F10" s="230">
        <f>'Survey Template'!F155</f>
        <v>0</v>
      </c>
      <c r="G10" s="230">
        <f>'Survey Template'!G155</f>
        <v>3</v>
      </c>
      <c r="H10" s="230">
        <f>'Survey Template'!H155</f>
        <v>2.25</v>
      </c>
      <c r="I10" s="230">
        <f>'Survey Template'!I155</f>
        <v>0</v>
      </c>
      <c r="J10" s="230">
        <f>'Survey Template'!J155</f>
        <v>0</v>
      </c>
      <c r="K10" s="230">
        <f>'Survey Template'!K155</f>
        <v>8</v>
      </c>
      <c r="L10" s="230">
        <f>'Survey Template'!L155</f>
        <v>9.1</v>
      </c>
      <c r="M10" s="230">
        <f>'Survey Template'!M155</f>
        <v>0</v>
      </c>
      <c r="N10" s="230">
        <f>'Survey Template'!N155</f>
        <v>4.08</v>
      </c>
      <c r="O10" s="230">
        <f>'Survey Template'!O155</f>
        <v>8.6999999999999993</v>
      </c>
      <c r="P10" s="230">
        <f>'Survey Template'!P155</f>
        <v>0</v>
      </c>
      <c r="Q10" s="230">
        <f>'Survey Template'!Q155</f>
        <v>3</v>
      </c>
      <c r="R10" s="228">
        <f t="array" ref="R10">AVERAGE(IF(C10:Q10&lt;&gt;0,C10:Q10,""))</f>
        <v>6.2155555555555555</v>
      </c>
    </row>
    <row r="11" spans="1:19" x14ac:dyDescent="0.2">
      <c r="B11" s="203" t="s">
        <v>227</v>
      </c>
      <c r="C11" s="230">
        <f>'Survey Template'!C159</f>
        <v>0</v>
      </c>
      <c r="D11" s="230"/>
      <c r="E11" s="230">
        <f>'Survey Template'!E159</f>
        <v>0</v>
      </c>
      <c r="F11" s="230">
        <f>'Survey Template'!F159</f>
        <v>0</v>
      </c>
      <c r="G11" s="230">
        <f>'Survey Template'!G159</f>
        <v>1</v>
      </c>
      <c r="H11" s="230">
        <f>'Survey Template'!H159</f>
        <v>1</v>
      </c>
      <c r="I11" s="230">
        <f>'Survey Template'!I159</f>
        <v>0</v>
      </c>
      <c r="J11" s="230">
        <f>'Survey Template'!J159</f>
        <v>0</v>
      </c>
      <c r="K11" s="230">
        <f>'Survey Template'!K159</f>
        <v>0.75</v>
      </c>
      <c r="L11" s="230">
        <f>'Survey Template'!L159</f>
        <v>0</v>
      </c>
      <c r="M11" s="230">
        <f>'Survey Template'!M159</f>
        <v>0</v>
      </c>
      <c r="N11" s="230">
        <f>'Survey Template'!N159</f>
        <v>0</v>
      </c>
      <c r="O11" s="230">
        <f>'Survey Template'!O159</f>
        <v>0</v>
      </c>
      <c r="P11" s="230">
        <f>'Survey Template'!P159</f>
        <v>1</v>
      </c>
      <c r="Q11" s="230">
        <f>'Survey Template'!Q159</f>
        <v>0</v>
      </c>
      <c r="R11" s="228">
        <f t="array" ref="R11">AVERAGE(IF(C11:Q11&lt;&gt;0,C11:Q11,""))</f>
        <v>0.9375</v>
      </c>
    </row>
    <row r="12" spans="1:19" ht="66" customHeight="1" thickBot="1" x14ac:dyDescent="0.25">
      <c r="A12" s="192"/>
      <c r="B12" s="212" t="s">
        <v>297</v>
      </c>
      <c r="C12" s="231">
        <f>'Survey Template'!C204</f>
        <v>0</v>
      </c>
      <c r="D12" s="231"/>
      <c r="E12" s="231">
        <f>'Survey Template'!E206</f>
        <v>2</v>
      </c>
      <c r="F12" s="231">
        <f>'Survey Template'!F204</f>
        <v>0</v>
      </c>
      <c r="G12" s="231">
        <f>'Survey Template'!G206</f>
        <v>1.5</v>
      </c>
      <c r="H12" s="231">
        <f>'Survey Template'!H204</f>
        <v>0</v>
      </c>
      <c r="I12" s="231">
        <f>'Survey Template'!I204</f>
        <v>0</v>
      </c>
      <c r="J12" s="231">
        <f>'Survey Template'!J204</f>
        <v>0</v>
      </c>
      <c r="K12" s="231">
        <f>'Survey Template'!K204</f>
        <v>0</v>
      </c>
      <c r="L12" s="231">
        <f>'Survey Template'!L204</f>
        <v>0</v>
      </c>
      <c r="M12" s="231">
        <f>'Survey Template'!M204</f>
        <v>0</v>
      </c>
      <c r="N12" s="231">
        <f>'Survey Template'!N204+'Survey Template'!N160</f>
        <v>5.25</v>
      </c>
      <c r="O12" s="231">
        <f>'Survey Template'!O204</f>
        <v>0</v>
      </c>
      <c r="P12" s="231"/>
      <c r="Q12" s="231"/>
      <c r="R12" s="228">
        <f t="array" ref="R12">AVERAGE(IF(C12:Q12&lt;&gt;0,C12:Q12,""))</f>
        <v>2.9166666666666665</v>
      </c>
    </row>
    <row r="13" spans="1:19" x14ac:dyDescent="0.2">
      <c r="B13" s="210" t="s">
        <v>17</v>
      </c>
      <c r="C13" s="228">
        <f>SUM(C6:C12)</f>
        <v>43.929999999999993</v>
      </c>
      <c r="D13" s="228">
        <f>SUM(D6:D12)</f>
        <v>0</v>
      </c>
      <c r="E13" s="228">
        <f>SUM(E6:E12)</f>
        <v>45.629999999999995</v>
      </c>
      <c r="F13" s="228">
        <f t="shared" ref="F13:O13" si="0">SUM(F6:F12)</f>
        <v>31.38</v>
      </c>
      <c r="G13" s="228">
        <f>SUM(G6:G12)</f>
        <v>41.98</v>
      </c>
      <c r="H13" s="228">
        <f t="shared" ref="H13:I13" si="1">SUM(H6:H12)</f>
        <v>36.229999999999997</v>
      </c>
      <c r="I13" s="228">
        <f t="shared" si="1"/>
        <v>28.450000000000003</v>
      </c>
      <c r="J13" s="228">
        <f>SUM(J6:J12)</f>
        <v>39.01</v>
      </c>
      <c r="K13" s="228">
        <f>SUM(K6:K12)</f>
        <v>50.769999999999996</v>
      </c>
      <c r="L13" s="228">
        <f t="shared" si="0"/>
        <v>45.93</v>
      </c>
      <c r="M13" s="228">
        <f t="shared" si="0"/>
        <v>28.97</v>
      </c>
      <c r="N13" s="228">
        <f>SUM(N6:N12)</f>
        <v>52.879999999999995</v>
      </c>
      <c r="O13" s="228">
        <f t="shared" si="0"/>
        <v>46.980000000000004</v>
      </c>
      <c r="P13" s="228">
        <f>SUM(P6:P12)</f>
        <v>30.259999999999998</v>
      </c>
      <c r="Q13" s="228">
        <f>SUM(Q6:Q12)</f>
        <v>44.32</v>
      </c>
      <c r="R13" s="228">
        <f t="array" ref="R13">AVERAGE(IF(C13:Q13&lt;&gt;0,C13:Q13,""))</f>
        <v>40.480000000000004</v>
      </c>
    </row>
    <row r="14" spans="1:19" ht="8.1" customHeight="1" x14ac:dyDescent="0.2">
      <c r="B14" s="210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</row>
    <row r="15" spans="1:19" x14ac:dyDescent="0.2">
      <c r="B15" s="203" t="s">
        <v>166</v>
      </c>
      <c r="C15" s="230">
        <f>'Survey Template'!C167</f>
        <v>5.25</v>
      </c>
      <c r="D15" s="230">
        <f>'Survey Template'!D167</f>
        <v>5.25</v>
      </c>
      <c r="E15" s="230">
        <f>'Survey Template'!E167</f>
        <v>5.25</v>
      </c>
      <c r="F15" s="230">
        <f>'Survey Template'!F167</f>
        <v>5.16</v>
      </c>
      <c r="G15" s="230">
        <f>'Survey Template'!G167</f>
        <v>5.25</v>
      </c>
      <c r="H15" s="230">
        <f>'Survey Template'!H167</f>
        <v>5.25</v>
      </c>
      <c r="I15" s="230">
        <f>'Survey Template'!I167</f>
        <v>5.25</v>
      </c>
      <c r="J15" s="230">
        <f>'Survey Template'!J167</f>
        <v>5.16</v>
      </c>
      <c r="K15" s="230">
        <f>'Survey Template'!K167</f>
        <v>5.25</v>
      </c>
      <c r="L15" s="230">
        <f>'Survey Template'!L167</f>
        <v>5.16</v>
      </c>
      <c r="M15" s="230">
        <f>'Survey Template'!M167</f>
        <v>5.25</v>
      </c>
      <c r="N15" s="230">
        <f>'Survey Template'!N167</f>
        <v>5.25</v>
      </c>
      <c r="O15" s="230">
        <f>'Survey Template'!O167</f>
        <v>5.25</v>
      </c>
      <c r="P15" s="230">
        <f>'Survey Template'!P167</f>
        <v>5.25</v>
      </c>
      <c r="Q15" s="230">
        <f>'Survey Template'!Q167</f>
        <v>5.25</v>
      </c>
      <c r="R15" s="228">
        <f t="array" ref="R15">AVERAGE(IF(C15:Q15&lt;&gt;0,C15:Q15,""))</f>
        <v>5.2319999999999993</v>
      </c>
    </row>
    <row r="16" spans="1:19" ht="11.1" customHeight="1" x14ac:dyDescent="0.2">
      <c r="B16" s="193"/>
      <c r="C16" s="228"/>
      <c r="D16" s="228"/>
      <c r="E16" s="228"/>
      <c r="F16" s="228"/>
      <c r="G16" s="230"/>
      <c r="H16" s="230"/>
      <c r="I16" s="230"/>
      <c r="J16" s="228"/>
      <c r="K16" s="228"/>
      <c r="L16" s="228"/>
      <c r="M16" s="228"/>
      <c r="N16" s="228"/>
      <c r="O16" s="228"/>
      <c r="P16" s="228"/>
      <c r="Q16" s="228"/>
      <c r="R16" s="228"/>
    </row>
    <row r="17" spans="1:21" x14ac:dyDescent="0.2">
      <c r="A17" s="192" t="s">
        <v>18</v>
      </c>
      <c r="B17" s="193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</row>
    <row r="18" spans="1:21" x14ac:dyDescent="0.2">
      <c r="B18" s="193" t="s">
        <v>13</v>
      </c>
      <c r="C18" s="228">
        <f>'Survey Template'!C145</f>
        <v>0</v>
      </c>
      <c r="D18" s="228">
        <f>'Survey Template'!D145</f>
        <v>0</v>
      </c>
      <c r="E18" s="228">
        <f>'Survey Template'!E145</f>
        <v>0</v>
      </c>
      <c r="F18" s="228">
        <f>'Survey Template'!F145</f>
        <v>0</v>
      </c>
      <c r="G18" s="228">
        <f>'Survey Template'!G145</f>
        <v>7</v>
      </c>
      <c r="H18" s="228">
        <f>'Survey Template'!H145</f>
        <v>0</v>
      </c>
      <c r="I18" s="228">
        <f>'Survey Template'!I145</f>
        <v>0</v>
      </c>
      <c r="J18" s="228">
        <f>'Survey Template'!J145</f>
        <v>0</v>
      </c>
      <c r="K18" s="228">
        <f>'Survey Template'!K145</f>
        <v>0</v>
      </c>
      <c r="L18" s="228">
        <f>'Survey Template'!L145</f>
        <v>0</v>
      </c>
      <c r="M18" s="228">
        <f>'Survey Template'!M145</f>
        <v>0</v>
      </c>
      <c r="N18" s="228">
        <f>'Survey Template'!N145</f>
        <v>0</v>
      </c>
      <c r="O18" s="228">
        <f>'Survey Template'!O145</f>
        <v>0</v>
      </c>
      <c r="P18" s="228">
        <f>'Survey Template'!P145</f>
        <v>0</v>
      </c>
      <c r="Q18" s="228">
        <f>'Survey Template'!Q145</f>
        <v>0</v>
      </c>
      <c r="R18" s="228">
        <f t="array" ref="R18">AVERAGE(IF(C18:Q18&lt;&gt;0,C18:Q18,""))</f>
        <v>7</v>
      </c>
    </row>
    <row r="19" spans="1:21" x14ac:dyDescent="0.2">
      <c r="B19" s="193" t="s">
        <v>14</v>
      </c>
      <c r="C19" s="228">
        <f>'Survey Template'!C150</f>
        <v>0</v>
      </c>
      <c r="D19" s="228">
        <f>'Survey Template'!D150</f>
        <v>0</v>
      </c>
      <c r="E19" s="228">
        <f>'Survey Template'!E150</f>
        <v>0</v>
      </c>
      <c r="F19" s="228">
        <f>'Survey Template'!F150</f>
        <v>0</v>
      </c>
      <c r="G19" s="228">
        <f>'Survey Template'!G150</f>
        <v>10</v>
      </c>
      <c r="H19" s="228">
        <f>'Survey Template'!H150</f>
        <v>5</v>
      </c>
      <c r="I19" s="228">
        <f>'Survey Template'!I150</f>
        <v>5</v>
      </c>
      <c r="J19" s="228">
        <f>'Survey Template'!J150</f>
        <v>0</v>
      </c>
      <c r="K19" s="228">
        <f>'Survey Template'!K150</f>
        <v>0</v>
      </c>
      <c r="L19" s="228">
        <f>'Survey Template'!L150</f>
        <v>0</v>
      </c>
      <c r="M19" s="228">
        <f>'Survey Template'!M150</f>
        <v>10</v>
      </c>
      <c r="N19" s="228">
        <f>'Survey Template'!N150</f>
        <v>0</v>
      </c>
      <c r="O19" s="228">
        <f>'Survey Template'!O150</f>
        <v>0</v>
      </c>
      <c r="P19" s="228">
        <f>'Survey Template'!P150</f>
        <v>0</v>
      </c>
      <c r="Q19" s="228">
        <f>'Survey Template'!Q150</f>
        <v>0</v>
      </c>
      <c r="R19" s="228">
        <f t="array" ref="R19">AVERAGE(IF(C19:Q19&lt;&gt;0,C19:Q19,""))</f>
        <v>7.5</v>
      </c>
    </row>
    <row r="20" spans="1:21" x14ac:dyDescent="0.2">
      <c r="B20" s="193" t="s">
        <v>15</v>
      </c>
      <c r="C20" s="228">
        <f>'Survey Template'!C153</f>
        <v>0</v>
      </c>
      <c r="D20" s="228">
        <f>'Survey Template'!D153</f>
        <v>0</v>
      </c>
      <c r="E20" s="228">
        <f>'Survey Template'!E153</f>
        <v>0</v>
      </c>
      <c r="F20" s="228">
        <f>'Survey Template'!F153</f>
        <v>0</v>
      </c>
      <c r="G20" s="228">
        <f>'Survey Template'!G153</f>
        <v>0</v>
      </c>
      <c r="H20" s="228">
        <f>'Survey Template'!H153</f>
        <v>0</v>
      </c>
      <c r="I20" s="228">
        <f>'Survey Template'!I153</f>
        <v>0</v>
      </c>
      <c r="J20" s="228">
        <f>'Survey Template'!J153</f>
        <v>0</v>
      </c>
      <c r="K20" s="228">
        <f>'Survey Template'!K153</f>
        <v>0</v>
      </c>
      <c r="L20" s="228">
        <f>'Survey Template'!L153</f>
        <v>0</v>
      </c>
      <c r="M20" s="228">
        <f>'Survey Template'!M153</f>
        <v>93.69</v>
      </c>
      <c r="N20" s="228">
        <f>'Survey Template'!N153</f>
        <v>0</v>
      </c>
      <c r="O20" s="228">
        <f>'Survey Template'!O153</f>
        <v>0</v>
      </c>
      <c r="P20" s="228">
        <f>'Survey Template'!P153</f>
        <v>0</v>
      </c>
      <c r="Q20" s="228">
        <f>'Survey Template'!Q153</f>
        <v>0</v>
      </c>
      <c r="R20" s="228">
        <f t="array" ref="R20">AVERAGE(IF(C20:Q20&lt;&gt;0,C20:Q20,""))</f>
        <v>93.69</v>
      </c>
    </row>
    <row r="21" spans="1:21" x14ac:dyDescent="0.2">
      <c r="B21" s="203" t="s">
        <v>16</v>
      </c>
      <c r="C21" s="230">
        <f>'Survey Template'!C156</f>
        <v>0</v>
      </c>
      <c r="D21" s="230">
        <f>'Survey Template'!D156</f>
        <v>0</v>
      </c>
      <c r="E21" s="230">
        <f>'Survey Template'!E156</f>
        <v>0</v>
      </c>
      <c r="F21" s="230">
        <f>'Survey Template'!F156</f>
        <v>65</v>
      </c>
      <c r="G21" s="230">
        <f>'Survey Template'!G156</f>
        <v>0</v>
      </c>
      <c r="H21" s="230">
        <f>'Survey Template'!H156</f>
        <v>0</v>
      </c>
      <c r="I21" s="230">
        <f>'Survey Template'!I156</f>
        <v>0</v>
      </c>
      <c r="J21" s="230">
        <f>'Survey Template'!J156</f>
        <v>76.900000000000006</v>
      </c>
      <c r="K21" s="230">
        <f>'Survey Template'!K156</f>
        <v>0</v>
      </c>
      <c r="L21" s="230">
        <f>'Survey Template'!L156</f>
        <v>0</v>
      </c>
      <c r="M21" s="228">
        <f>'Survey Template'!M156</f>
        <v>89</v>
      </c>
      <c r="N21" s="228">
        <f>'Survey Template'!N156</f>
        <v>0</v>
      </c>
      <c r="O21" s="228">
        <f>'Survey Template'!O156</f>
        <v>0</v>
      </c>
      <c r="P21" s="228">
        <f>'Survey Template'!P156</f>
        <v>0</v>
      </c>
      <c r="Q21" s="228">
        <f>'Survey Template'!Q156</f>
        <v>0</v>
      </c>
      <c r="R21" s="228">
        <f t="array" ref="R21">AVERAGE(IF(C21:Q21&lt;&gt;0,C21:Q21,""))</f>
        <v>76.966666666666669</v>
      </c>
    </row>
    <row r="22" spans="1:21" ht="13.5" thickBot="1" x14ac:dyDescent="0.25">
      <c r="A22" s="192"/>
      <c r="B22" s="193" t="s">
        <v>271</v>
      </c>
      <c r="C22" s="231">
        <f>'Survey Template'!C203</f>
        <v>0</v>
      </c>
      <c r="D22" s="231">
        <f>'Survey Template'!D203</f>
        <v>0</v>
      </c>
      <c r="E22" s="231">
        <f>'Survey Template'!E205</f>
        <v>20</v>
      </c>
      <c r="F22" s="231">
        <f>'Survey Template'!F203</f>
        <v>0</v>
      </c>
      <c r="G22" s="231">
        <f>'Survey Template'!G205</f>
        <v>20</v>
      </c>
      <c r="H22" s="231">
        <f>'Survey Template'!H203</f>
        <v>0</v>
      </c>
      <c r="I22" s="231">
        <f>'Survey Template'!I203</f>
        <v>0</v>
      </c>
      <c r="J22" s="231">
        <f>'Survey Template'!J203</f>
        <v>0</v>
      </c>
      <c r="K22" s="231">
        <f>'Survey Template'!K203</f>
        <v>0</v>
      </c>
      <c r="L22" s="231">
        <f>'Survey Template'!L203</f>
        <v>0</v>
      </c>
      <c r="M22" s="231">
        <f>'Survey Template'!M203</f>
        <v>0</v>
      </c>
      <c r="N22" s="231">
        <f>'Survey Template'!N203</f>
        <v>0</v>
      </c>
      <c r="O22" s="231">
        <f>'Survey Template'!O203</f>
        <v>0</v>
      </c>
      <c r="P22" s="231">
        <f>'Survey Template'!P203</f>
        <v>0</v>
      </c>
      <c r="Q22" s="231">
        <f>'Survey Template'!Q203</f>
        <v>0</v>
      </c>
      <c r="R22" s="228"/>
    </row>
    <row r="23" spans="1:21" x14ac:dyDescent="0.2">
      <c r="B23" s="210" t="s">
        <v>17</v>
      </c>
      <c r="C23" s="228">
        <f>SUM(C18:C22)</f>
        <v>0</v>
      </c>
      <c r="D23" s="228">
        <f>SUM(D18:D22)</f>
        <v>0</v>
      </c>
      <c r="E23" s="228">
        <f>SUM(E18:E22)</f>
        <v>20</v>
      </c>
      <c r="F23" s="228">
        <f>SUM(F18:F22)</f>
        <v>65</v>
      </c>
      <c r="G23" s="228">
        <f>SUM(G18:G22)</f>
        <v>37</v>
      </c>
      <c r="H23" s="228">
        <f t="shared" ref="H23:I23" si="2">SUM(H18:H22)</f>
        <v>5</v>
      </c>
      <c r="I23" s="228">
        <f t="shared" si="2"/>
        <v>5</v>
      </c>
      <c r="J23" s="228">
        <f>SUM(J18:J22)</f>
        <v>76.900000000000006</v>
      </c>
      <c r="K23" s="228">
        <f t="shared" ref="K23:L23" si="3">SUM(K18:K22)</f>
        <v>0</v>
      </c>
      <c r="L23" s="228">
        <f t="shared" si="3"/>
        <v>0</v>
      </c>
      <c r="M23" s="228">
        <f>SUM(M18:M22)</f>
        <v>192.69</v>
      </c>
      <c r="N23" s="228">
        <f t="shared" ref="N23:Q23" si="4">SUM(N18:N22)</f>
        <v>0</v>
      </c>
      <c r="O23" s="228">
        <f t="shared" si="4"/>
        <v>0</v>
      </c>
      <c r="P23" s="228">
        <f t="shared" si="4"/>
        <v>0</v>
      </c>
      <c r="Q23" s="228">
        <f t="shared" si="4"/>
        <v>0</v>
      </c>
      <c r="R23" s="228">
        <f t="array" ref="R23">AVERAGE(IF(C23:Q23&lt;&gt;0,C23:Q23,""))</f>
        <v>57.370000000000005</v>
      </c>
    </row>
    <row r="24" spans="1:21" ht="8.4499999999999993" customHeight="1" x14ac:dyDescent="0.2">
      <c r="B24" s="203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28"/>
    </row>
    <row r="25" spans="1:21" x14ac:dyDescent="0.2">
      <c r="A25" s="192" t="s">
        <v>275</v>
      </c>
      <c r="B25" s="193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</row>
    <row r="26" spans="1:21" x14ac:dyDescent="0.2">
      <c r="B26" s="193" t="s">
        <v>22</v>
      </c>
      <c r="C26" s="228">
        <f>'Survey Template'!C122</f>
        <v>6.76</v>
      </c>
      <c r="D26" s="228">
        <f>'Survey Template'!D122</f>
        <v>6.76</v>
      </c>
      <c r="E26" s="228">
        <f>'Survey Template'!E122</f>
        <v>4.76</v>
      </c>
      <c r="F26" s="228">
        <f>'Survey Template'!F122</f>
        <v>6.76</v>
      </c>
      <c r="G26" s="228">
        <f>'Survey Template'!G122</f>
        <v>6.76</v>
      </c>
      <c r="H26" s="228">
        <f>'Survey Template'!H122</f>
        <v>6.76</v>
      </c>
      <c r="I26" s="228">
        <f>'Survey Template'!I122</f>
        <v>6.76</v>
      </c>
      <c r="J26" s="228">
        <f>'Survey Template'!J122</f>
        <v>6.76</v>
      </c>
      <c r="K26" s="228">
        <f>'Survey Template'!K122</f>
        <v>6.76</v>
      </c>
      <c r="L26" s="228">
        <f>'Survey Template'!L122</f>
        <v>6.76</v>
      </c>
      <c r="M26" s="228">
        <f>'Survey Template'!M122</f>
        <v>6.76</v>
      </c>
      <c r="N26" s="228">
        <f>'Survey Template'!N122</f>
        <v>6.76</v>
      </c>
      <c r="O26" s="228">
        <f>'Survey Template'!O122</f>
        <v>6.76</v>
      </c>
      <c r="P26" s="228">
        <f>'Survey Template'!P122</f>
        <v>6.14</v>
      </c>
      <c r="Q26" s="228">
        <f>'Survey Template'!Q122</f>
        <v>4.76</v>
      </c>
      <c r="R26" s="228">
        <f t="array" ref="R26">AVERAGE(IF(C26:Q26&lt;&gt;0,C26:Q26,""))</f>
        <v>6.4520000000000008</v>
      </c>
    </row>
    <row r="27" spans="1:21" s="235" customFormat="1" ht="6.6" customHeight="1" x14ac:dyDescent="0.2">
      <c r="B27" s="191"/>
      <c r="R27" s="228"/>
      <c r="S27" s="175"/>
      <c r="U27" s="176"/>
    </row>
    <row r="28" spans="1:21" x14ac:dyDescent="0.2">
      <c r="A28" s="192" t="s">
        <v>24</v>
      </c>
      <c r="R28" s="228"/>
    </row>
    <row r="29" spans="1:21" x14ac:dyDescent="0.2">
      <c r="B29" s="193" t="s">
        <v>30</v>
      </c>
      <c r="C29" s="228">
        <f>'Survey Template'!C12</f>
        <v>105.07</v>
      </c>
      <c r="D29" s="228">
        <f>'Survey Template'!D12</f>
        <v>78.8</v>
      </c>
      <c r="E29" s="228">
        <f>'Survey Template'!E12</f>
        <v>105.07</v>
      </c>
      <c r="F29" s="228">
        <f>'Survey Template'!F12</f>
        <v>105.07</v>
      </c>
      <c r="G29" s="228">
        <f>'Survey Template'!G12</f>
        <v>105.07</v>
      </c>
      <c r="H29" s="228">
        <f>'Survey Template'!H12</f>
        <v>105.07</v>
      </c>
      <c r="I29" s="228">
        <f>'Survey Template'!I12</f>
        <v>105.07</v>
      </c>
      <c r="J29" s="228">
        <f>'Survey Template'!J12</f>
        <v>105.07</v>
      </c>
      <c r="K29" s="228">
        <f>'Survey Template'!K12</f>
        <v>105.07</v>
      </c>
      <c r="L29" s="228">
        <f>'Survey Template'!L12</f>
        <v>105.07</v>
      </c>
      <c r="M29" s="228">
        <f>'Survey Template'!M12</f>
        <v>105.07</v>
      </c>
      <c r="N29" s="228">
        <f>'Survey Template'!N12</f>
        <v>105.07</v>
      </c>
      <c r="O29" s="228">
        <f>'Survey Template'!O12</f>
        <v>105.07</v>
      </c>
      <c r="P29" s="228">
        <f>'Survey Template'!P12</f>
        <v>105.07</v>
      </c>
      <c r="Q29" s="228">
        <f>'Survey Template'!Q12</f>
        <v>105.07</v>
      </c>
      <c r="R29" s="228">
        <f t="array" ref="R29">AVERAGE(IF(C29:Q29&lt;&gt;0,C29:Q29,""))</f>
        <v>103.31866666666663</v>
      </c>
      <c r="S29" s="229" t="e">
        <f>SUMPRODUCT(C29:P29,#REF!)/SUM(#REF!)</f>
        <v>#REF!</v>
      </c>
    </row>
    <row r="30" spans="1:21" x14ac:dyDescent="0.2">
      <c r="B30" s="203" t="s">
        <v>269</v>
      </c>
      <c r="C30" s="230">
        <f>'Survey Template'!C14</f>
        <v>44.17</v>
      </c>
      <c r="D30" s="230">
        <f>'Survey Template'!D14</f>
        <v>33.119999999999997</v>
      </c>
      <c r="E30" s="230">
        <f>'Survey Template'!E14</f>
        <v>49.59</v>
      </c>
      <c r="F30" s="230">
        <f>'Survey Template'!F14</f>
        <v>36.380000000000003</v>
      </c>
      <c r="G30" s="230">
        <f>'Survey Template'!G14</f>
        <v>46.88</v>
      </c>
      <c r="H30" s="230">
        <f>'Survey Template'!H14</f>
        <v>35.14</v>
      </c>
      <c r="I30" s="230">
        <f>'Survey Template'!I14</f>
        <v>35.14</v>
      </c>
      <c r="J30" s="230">
        <f>'Survey Template'!J14</f>
        <v>40.130000000000003</v>
      </c>
      <c r="K30" s="230">
        <f>'Survey Template'!K14</f>
        <v>38.880000000000003</v>
      </c>
      <c r="L30" s="230">
        <f>'Survey Template'!L14</f>
        <v>44.2</v>
      </c>
      <c r="M30" s="230">
        <f>'Survey Template'!M14</f>
        <v>52.29</v>
      </c>
      <c r="N30" s="230">
        <f>'Survey Template'!N14</f>
        <v>37.630000000000003</v>
      </c>
      <c r="O30" s="230">
        <f>'Survey Template'!O14</f>
        <v>36.380000000000003</v>
      </c>
      <c r="P30" s="230">
        <f>'Survey Template'!P14</f>
        <v>40.130000000000003</v>
      </c>
      <c r="Q30" s="230">
        <f>'Survey Template'!Q14</f>
        <v>0</v>
      </c>
      <c r="R30" s="228">
        <f t="array" ref="R30">AVERAGE(IF(C30:Q30&lt;&gt;0,C30:Q30,""))</f>
        <v>40.718571428571423</v>
      </c>
    </row>
    <row r="31" spans="1:21" ht="13.5" thickBot="1" x14ac:dyDescent="0.25">
      <c r="B31" s="193" t="s">
        <v>25</v>
      </c>
      <c r="C31" s="231">
        <f>'Survey Template'!C35</f>
        <v>5.25</v>
      </c>
      <c r="D31" s="231">
        <f>'Survey Template'!D35</f>
        <v>5.25</v>
      </c>
      <c r="E31" s="231">
        <f>'Survey Template'!E35</f>
        <v>5.25</v>
      </c>
      <c r="F31" s="231">
        <f>'Survey Template'!F35</f>
        <v>5.16</v>
      </c>
      <c r="G31" s="231">
        <f>'Survey Template'!G35</f>
        <v>5.25</v>
      </c>
      <c r="H31" s="231">
        <f>'Survey Template'!H35</f>
        <v>5.25</v>
      </c>
      <c r="I31" s="231">
        <f>'Survey Template'!I35</f>
        <v>5.25</v>
      </c>
      <c r="J31" s="231">
        <f>'Survey Template'!J35</f>
        <v>5.16</v>
      </c>
      <c r="K31" s="231">
        <f>'Survey Template'!K35</f>
        <v>5.25</v>
      </c>
      <c r="L31" s="231">
        <f>'Survey Template'!L35</f>
        <v>5.16</v>
      </c>
      <c r="M31" s="231">
        <f>'Survey Template'!M35</f>
        <v>5.25</v>
      </c>
      <c r="N31" s="231">
        <f>'Survey Template'!N35</f>
        <v>5.25</v>
      </c>
      <c r="O31" s="231">
        <f>'Survey Template'!O35</f>
        <v>5.25</v>
      </c>
      <c r="P31" s="231">
        <f>'Survey Template'!P35</f>
        <v>5.25</v>
      </c>
      <c r="Q31" s="231">
        <f>'Survey Template'!Q35</f>
        <v>5.25</v>
      </c>
      <c r="R31" s="228">
        <f t="array" ref="R31">AVERAGE(IF(C31:Q31&lt;&gt;0,C31:Q31,""))</f>
        <v>5.2319999999999993</v>
      </c>
      <c r="S31" s="229" t="e">
        <f>SUMPRODUCT(C31:P31,#REF!)/SUM(#REF!)</f>
        <v>#REF!</v>
      </c>
    </row>
    <row r="32" spans="1:21" x14ac:dyDescent="0.2">
      <c r="B32" s="210" t="s">
        <v>17</v>
      </c>
      <c r="C32" s="228">
        <f t="shared" ref="C32:P32" si="5">SUM(C29:C31)</f>
        <v>154.49</v>
      </c>
      <c r="D32" s="228">
        <f t="shared" si="5"/>
        <v>117.16999999999999</v>
      </c>
      <c r="E32" s="228">
        <f t="shared" si="5"/>
        <v>159.91</v>
      </c>
      <c r="F32" s="228">
        <f t="shared" si="5"/>
        <v>146.60999999999999</v>
      </c>
      <c r="G32" s="228">
        <f t="shared" si="5"/>
        <v>157.19999999999999</v>
      </c>
      <c r="H32" s="228">
        <f t="shared" ref="H32:I32" si="6">SUM(H29:H31)</f>
        <v>145.45999999999998</v>
      </c>
      <c r="I32" s="228">
        <f t="shared" si="6"/>
        <v>145.45999999999998</v>
      </c>
      <c r="J32" s="228">
        <f t="shared" si="5"/>
        <v>150.35999999999999</v>
      </c>
      <c r="K32" s="228">
        <f t="shared" si="5"/>
        <v>149.19999999999999</v>
      </c>
      <c r="L32" s="228">
        <f t="shared" si="5"/>
        <v>154.42999999999998</v>
      </c>
      <c r="M32" s="228">
        <f t="shared" si="5"/>
        <v>162.60999999999999</v>
      </c>
      <c r="N32" s="228">
        <f t="shared" si="5"/>
        <v>147.94999999999999</v>
      </c>
      <c r="O32" s="228">
        <f t="shared" si="5"/>
        <v>146.69999999999999</v>
      </c>
      <c r="P32" s="228">
        <f t="shared" si="5"/>
        <v>150.44999999999999</v>
      </c>
      <c r="Q32" s="228">
        <f t="shared" ref="Q32" si="7">SUM(Q29:Q31)</f>
        <v>110.32</v>
      </c>
      <c r="R32" s="228">
        <f t="array" ref="R32">AVERAGE(IF(C32:Q32&lt;&gt;0,C32:Q32,""))</f>
        <v>146.55466666666669</v>
      </c>
      <c r="S32" s="229" t="e">
        <f>SUMPRODUCT(C32:P32,#REF!)/SUM(#REF!)</f>
        <v>#REF!</v>
      </c>
    </row>
    <row r="33" spans="1:19" ht="7.5" customHeight="1" x14ac:dyDescent="0.2"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</row>
    <row r="34" spans="1:19" x14ac:dyDescent="0.2">
      <c r="A34" s="192" t="s">
        <v>26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</row>
    <row r="35" spans="1:19" x14ac:dyDescent="0.2">
      <c r="B35" s="203" t="s">
        <v>27</v>
      </c>
      <c r="C35" s="228">
        <f t="shared" ref="C35:P35" si="8">30*(C13+C15+C26+C32)+2*(C23)</f>
        <v>6312.9000000000005</v>
      </c>
      <c r="D35" s="228">
        <f t="shared" ref="D35" si="9">30*(D13+D15+D26+D32)+2*(D23)</f>
        <v>3875.3999999999992</v>
      </c>
      <c r="E35" s="228">
        <f t="shared" si="8"/>
        <v>6506.4999999999991</v>
      </c>
      <c r="F35" s="228">
        <f t="shared" si="8"/>
        <v>5827.2999999999993</v>
      </c>
      <c r="G35" s="228">
        <f t="shared" si="8"/>
        <v>6409.7</v>
      </c>
      <c r="H35" s="228">
        <f t="shared" ref="H35:I35" si="10">30*(H13+H15+H26+H32)+2*(H23)</f>
        <v>5821</v>
      </c>
      <c r="I35" s="228">
        <f t="shared" si="10"/>
        <v>5587.5999999999995</v>
      </c>
      <c r="J35" s="228">
        <f>30*(J13+J15+J26+J32)+2*(J23)</f>
        <v>6192.5</v>
      </c>
      <c r="K35" s="228">
        <f t="shared" si="8"/>
        <v>6359.4</v>
      </c>
      <c r="L35" s="228">
        <f t="shared" si="8"/>
        <v>6368.4</v>
      </c>
      <c r="M35" s="228">
        <f t="shared" si="8"/>
        <v>6493.079999999999</v>
      </c>
      <c r="N35" s="228">
        <f t="shared" si="8"/>
        <v>6385.1999999999989</v>
      </c>
      <c r="O35" s="228">
        <f t="shared" si="8"/>
        <v>6170.7</v>
      </c>
      <c r="P35" s="228">
        <f t="shared" si="8"/>
        <v>5763</v>
      </c>
      <c r="Q35" s="228">
        <f t="shared" ref="Q35" si="11">30*(Q13+Q15+Q26+Q32)+2*(Q23)</f>
        <v>4939.4999999999991</v>
      </c>
      <c r="R35" s="228">
        <f t="array" ref="R35">AVERAGE(IF(C35:Q35&lt;&gt;0,C35:Q35,""))</f>
        <v>5934.1453333333329</v>
      </c>
      <c r="S35" s="229" t="e">
        <f>SUMPRODUCT(C35:P35,#REF!)/SUM(#REF!)</f>
        <v>#REF!</v>
      </c>
    </row>
    <row r="36" spans="1:19" x14ac:dyDescent="0.2">
      <c r="B36" s="203" t="s">
        <v>28</v>
      </c>
      <c r="C36" s="228">
        <f>TRUNC(+C35/30,2)</f>
        <v>210.43</v>
      </c>
      <c r="D36" s="228">
        <f>TRUNC(+D35/30,2)</f>
        <v>129.18</v>
      </c>
      <c r="E36" s="228">
        <f t="shared" ref="E36:P36" si="12">TRUNC(+E35/30,2)</f>
        <v>216.88</v>
      </c>
      <c r="F36" s="228">
        <f t="shared" si="12"/>
        <v>194.24</v>
      </c>
      <c r="G36" s="228">
        <f t="shared" si="12"/>
        <v>213.65</v>
      </c>
      <c r="H36" s="228">
        <f t="shared" ref="H36:I36" si="13">TRUNC(+H35/30,2)</f>
        <v>194.03</v>
      </c>
      <c r="I36" s="228">
        <f t="shared" si="13"/>
        <v>186.25</v>
      </c>
      <c r="J36" s="228">
        <f>TRUNC(+J35/30,2)</f>
        <v>206.41</v>
      </c>
      <c r="K36" s="228">
        <f t="shared" si="12"/>
        <v>211.98</v>
      </c>
      <c r="L36" s="228">
        <f t="shared" si="12"/>
        <v>212.28</v>
      </c>
      <c r="M36" s="228">
        <f t="shared" si="12"/>
        <v>216.43</v>
      </c>
      <c r="N36" s="228">
        <f t="shared" si="12"/>
        <v>212.84</v>
      </c>
      <c r="O36" s="228">
        <f t="shared" si="12"/>
        <v>205.69</v>
      </c>
      <c r="P36" s="228">
        <f t="shared" si="12"/>
        <v>192.1</v>
      </c>
      <c r="Q36" s="228">
        <f t="shared" ref="Q36" si="14">TRUNC(+Q35/30,2)</f>
        <v>164.65</v>
      </c>
      <c r="R36" s="228">
        <f t="array" ref="R36">AVERAGE(IF(C36:Q36&lt;&gt;0,C36:Q36,""))</f>
        <v>197.80266666666668</v>
      </c>
      <c r="S36" s="229" t="e">
        <f>SUMPRODUCT(C36:P36,#REF!)/SUM(#REF!)</f>
        <v>#REF!</v>
      </c>
    </row>
    <row r="37" spans="1:19" ht="8.4499999999999993" customHeight="1" x14ac:dyDescent="0.2">
      <c r="B37" s="193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9"/>
    </row>
    <row r="38" spans="1:19" x14ac:dyDescent="0.2">
      <c r="A38" s="192" t="s">
        <v>29</v>
      </c>
      <c r="B38" s="193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9"/>
    </row>
    <row r="39" spans="1:19" x14ac:dyDescent="0.2">
      <c r="B39" s="193" t="s">
        <v>83</v>
      </c>
      <c r="C39" s="228">
        <f>'Survey Template'!C77</f>
        <v>812.28</v>
      </c>
      <c r="D39" s="228">
        <f>'Survey Template'!D77</f>
        <v>466.88</v>
      </c>
      <c r="E39" s="228">
        <f>'Survey Template'!E77</f>
        <v>586.54999999999995</v>
      </c>
      <c r="F39" s="228">
        <f>'Survey Template'!F77</f>
        <v>482.39</v>
      </c>
      <c r="G39" s="228">
        <f>'Survey Template'!G77</f>
        <v>451.57</v>
      </c>
      <c r="H39" s="228">
        <f>'Survey Template'!H77</f>
        <v>451.57</v>
      </c>
      <c r="I39" s="228">
        <f>'Survey Template'!I77</f>
        <v>451.57</v>
      </c>
      <c r="J39" s="228">
        <f>'Survey Template'!J77</f>
        <v>598.92999999999995</v>
      </c>
      <c r="K39" s="228">
        <f>'Survey Template'!K77</f>
        <v>514.01</v>
      </c>
      <c r="L39" s="228">
        <f>'Survey Template'!L77</f>
        <v>616.13</v>
      </c>
      <c r="M39" s="228">
        <f>'Survey Template'!M77</f>
        <v>498.69</v>
      </c>
      <c r="N39" s="228">
        <f>'Survey Template'!N77</f>
        <v>562.34</v>
      </c>
      <c r="O39" s="228">
        <f>'Survey Template'!O77</f>
        <v>707.9</v>
      </c>
      <c r="P39" s="228">
        <f>'Survey Template'!P77</f>
        <v>714.3</v>
      </c>
      <c r="Q39" s="228">
        <f>'Survey Template'!Q77</f>
        <v>615.07000000000005</v>
      </c>
      <c r="R39" s="228">
        <f t="array" ref="R39">AVERAGE(IF(C39:Q39&lt;&gt;0,C39:Q39,""))</f>
        <v>568.67866666666669</v>
      </c>
      <c r="S39" s="229"/>
    </row>
    <row r="40" spans="1:19" x14ac:dyDescent="0.2">
      <c r="B40" s="193" t="s">
        <v>269</v>
      </c>
      <c r="C40" s="228">
        <f>'Survey Template'!C78</f>
        <v>44.17</v>
      </c>
      <c r="D40" s="228">
        <f>'Survey Template'!D78</f>
        <v>33.119999999999997</v>
      </c>
      <c r="E40" s="228">
        <f>'Survey Template'!E78</f>
        <v>49.59</v>
      </c>
      <c r="F40" s="228">
        <f>'Survey Template'!F78</f>
        <v>36.380000000000003</v>
      </c>
      <c r="G40" s="228">
        <f>'Survey Template'!G78</f>
        <v>46.88</v>
      </c>
      <c r="H40" s="228">
        <f>'Survey Template'!H78</f>
        <v>35.14</v>
      </c>
      <c r="I40" s="228">
        <f>'Survey Template'!I78</f>
        <v>35.14</v>
      </c>
      <c r="J40" s="228">
        <f>'Survey Template'!J78</f>
        <v>40.130000000000003</v>
      </c>
      <c r="K40" s="228">
        <f>'Survey Template'!K78</f>
        <v>38.880000000000003</v>
      </c>
      <c r="L40" s="228">
        <f>'Survey Template'!L78</f>
        <v>44.2</v>
      </c>
      <c r="M40" s="228">
        <f>'Survey Template'!M78</f>
        <v>52.29</v>
      </c>
      <c r="N40" s="228">
        <f>'Survey Template'!N78</f>
        <v>37.630000000000003</v>
      </c>
      <c r="O40" s="228">
        <f>'Survey Template'!O78</f>
        <v>36.380000000000003</v>
      </c>
      <c r="P40" s="228">
        <f>'Survey Template'!P78</f>
        <v>40.130000000000003</v>
      </c>
      <c r="Q40" s="228">
        <f>'Survey Template'!Q78</f>
        <v>0</v>
      </c>
      <c r="R40" s="228">
        <f t="array" ref="R40">AVERAGE(IF(C40:Q40&lt;&gt;0,C40:Q40,""))</f>
        <v>40.718571428571423</v>
      </c>
      <c r="S40" s="229"/>
    </row>
    <row r="41" spans="1:19" ht="13.5" thickBot="1" x14ac:dyDescent="0.25">
      <c r="B41" s="193" t="s">
        <v>25</v>
      </c>
      <c r="C41" s="231">
        <f>'Survey Template'!C100</f>
        <v>40.61</v>
      </c>
      <c r="D41" s="231">
        <f>'Survey Template'!D100</f>
        <v>40.61</v>
      </c>
      <c r="E41" s="231">
        <f>'Survey Template'!E100</f>
        <v>29.32</v>
      </c>
      <c r="F41" s="231">
        <f>'Survey Template'!F100</f>
        <v>24.11</v>
      </c>
      <c r="G41" s="231">
        <f>'Survey Template'!G100</f>
        <v>22.57</v>
      </c>
      <c r="H41" s="231">
        <f>'Survey Template'!H100</f>
        <v>22.57</v>
      </c>
      <c r="I41" s="231">
        <f>'Survey Template'!I100</f>
        <v>22.57</v>
      </c>
      <c r="J41" s="231">
        <f>'Survey Template'!J100</f>
        <v>29.85</v>
      </c>
      <c r="K41" s="231">
        <f>'Survey Template'!K100</f>
        <v>25.7</v>
      </c>
      <c r="L41" s="231">
        <f>'Survey Template'!L100</f>
        <v>30.71</v>
      </c>
      <c r="M41" s="231">
        <f>'Survey Template'!M100</f>
        <v>24.93</v>
      </c>
      <c r="N41" s="231">
        <f>'Survey Template'!N100</f>
        <v>28.11</v>
      </c>
      <c r="O41" s="231">
        <f>'Survey Template'!O100</f>
        <v>35.46</v>
      </c>
      <c r="P41" s="231">
        <f>'Survey Template'!P100</f>
        <v>35.71</v>
      </c>
      <c r="Q41" s="231">
        <f>'Survey Template'!Q100</f>
        <v>30.75</v>
      </c>
      <c r="R41" s="228">
        <f t="array" ref="R41">AVERAGE(IF(C41:Q41&lt;&gt;0,C41:Q41,""))</f>
        <v>29.571999999999996</v>
      </c>
      <c r="S41" s="229"/>
    </row>
    <row r="42" spans="1:19" x14ac:dyDescent="0.2">
      <c r="B42" s="210" t="s">
        <v>17</v>
      </c>
      <c r="C42" s="228">
        <f>SUM(C39:C41)</f>
        <v>897.06</v>
      </c>
      <c r="D42" s="228">
        <f>SUM(D39:D41)</f>
        <v>540.61</v>
      </c>
      <c r="E42" s="228">
        <f t="shared" ref="E42:O42" si="15">SUM(E39:E41)</f>
        <v>665.46</v>
      </c>
      <c r="F42" s="228">
        <f t="shared" si="15"/>
        <v>542.88</v>
      </c>
      <c r="G42" s="228">
        <f t="shared" si="15"/>
        <v>521.02</v>
      </c>
      <c r="H42" s="228">
        <f t="shared" ref="H42:I42" si="16">SUM(H39:H41)</f>
        <v>509.28</v>
      </c>
      <c r="I42" s="228">
        <f t="shared" si="16"/>
        <v>509.28</v>
      </c>
      <c r="J42" s="228">
        <f t="shared" si="15"/>
        <v>668.91</v>
      </c>
      <c r="K42" s="228">
        <f t="shared" si="15"/>
        <v>578.59</v>
      </c>
      <c r="L42" s="228">
        <f t="shared" si="15"/>
        <v>691.04000000000008</v>
      </c>
      <c r="M42" s="228">
        <f t="shared" si="15"/>
        <v>575.91</v>
      </c>
      <c r="N42" s="228">
        <f t="shared" si="15"/>
        <v>628.08000000000004</v>
      </c>
      <c r="O42" s="228">
        <f t="shared" si="15"/>
        <v>779.74</v>
      </c>
      <c r="P42" s="228">
        <f>SUM(P39:P41)</f>
        <v>790.14</v>
      </c>
      <c r="Q42" s="228">
        <f>SUM(Q39:Q41)</f>
        <v>645.82000000000005</v>
      </c>
      <c r="R42" s="228">
        <f t="array" ref="R42">AVERAGE(IF(C42:Q42&lt;&gt;0,C42:Q42,""))</f>
        <v>636.25466666666659</v>
      </c>
      <c r="S42" s="229"/>
    </row>
    <row r="43" spans="1:19" ht="8.4499999999999993" customHeight="1" x14ac:dyDescent="0.2">
      <c r="B43" s="193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9"/>
    </row>
    <row r="44" spans="1:19" x14ac:dyDescent="0.2">
      <c r="A44" s="192" t="s">
        <v>31</v>
      </c>
      <c r="B44" s="193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9"/>
    </row>
    <row r="45" spans="1:19" x14ac:dyDescent="0.2">
      <c r="B45" s="193" t="s">
        <v>27</v>
      </c>
      <c r="C45" s="228">
        <f t="shared" ref="C45:P45" si="17">30*(C13+C15+C26+C42)+2*(C23)</f>
        <v>28589.999999999996</v>
      </c>
      <c r="D45" s="228">
        <f t="shared" ref="D45" si="18">30*(D13+D15+D26+D42)+2*(D23)</f>
        <v>16578.599999999999</v>
      </c>
      <c r="E45" s="228">
        <f t="shared" si="17"/>
        <v>21673</v>
      </c>
      <c r="F45" s="228">
        <f t="shared" si="17"/>
        <v>17715.399999999998</v>
      </c>
      <c r="G45" s="228">
        <f>30*(G13+G15+G26+G42)+2*(G23)</f>
        <v>17324.3</v>
      </c>
      <c r="H45" s="228">
        <f t="shared" ref="H45:I45" si="19">30*(H13+H15+H26+H42)+2*(H23)</f>
        <v>16735.599999999999</v>
      </c>
      <c r="I45" s="228">
        <f t="shared" si="19"/>
        <v>16502.2</v>
      </c>
      <c r="J45" s="228">
        <f>30*(J13+J15+J26+J42)+2*(J23)</f>
        <v>21748.999999999996</v>
      </c>
      <c r="K45" s="228">
        <f t="shared" si="17"/>
        <v>19241.099999999999</v>
      </c>
      <c r="L45" s="228">
        <f t="shared" si="17"/>
        <v>22466.700000000004</v>
      </c>
      <c r="M45" s="228">
        <f>30*(M13+M15+M26+M42)+2*(M23)</f>
        <v>18892.080000000002</v>
      </c>
      <c r="N45" s="228">
        <f t="shared" si="17"/>
        <v>20789.100000000002</v>
      </c>
      <c r="O45" s="228">
        <f t="shared" si="17"/>
        <v>25161.9</v>
      </c>
      <c r="P45" s="228">
        <f t="shared" si="17"/>
        <v>24953.699999999997</v>
      </c>
      <c r="Q45" s="228">
        <f t="shared" ref="Q45" si="20">30*(Q13+Q15+Q26+Q42)+2*(Q23)</f>
        <v>21004.500000000004</v>
      </c>
      <c r="R45" s="228">
        <f t="array" ref="R45">AVERAGE(IF(C45:Q45&lt;&gt;0,C45:Q45,""))</f>
        <v>20625.145333333337</v>
      </c>
      <c r="S45" s="229"/>
    </row>
    <row r="46" spans="1:19" x14ac:dyDescent="0.2">
      <c r="B46" s="193" t="s">
        <v>28</v>
      </c>
      <c r="C46" s="228">
        <f>TRUNC(+C45/30,2)</f>
        <v>953</v>
      </c>
      <c r="D46" s="228">
        <f>TRUNC(+D45/30,2)</f>
        <v>552.62</v>
      </c>
      <c r="E46" s="228">
        <f t="shared" ref="E46:P46" si="21">TRUNC(+E45/30,2)</f>
        <v>722.43</v>
      </c>
      <c r="F46" s="228">
        <f t="shared" si="21"/>
        <v>590.51</v>
      </c>
      <c r="G46" s="228">
        <f t="shared" si="21"/>
        <v>577.47</v>
      </c>
      <c r="H46" s="228">
        <f t="shared" ref="H46:I46" si="22">TRUNC(+H45/30,2)</f>
        <v>557.85</v>
      </c>
      <c r="I46" s="228">
        <f t="shared" si="22"/>
        <v>550.07000000000005</v>
      </c>
      <c r="J46" s="228">
        <f t="shared" si="21"/>
        <v>724.96</v>
      </c>
      <c r="K46" s="228">
        <f t="shared" si="21"/>
        <v>641.37</v>
      </c>
      <c r="L46" s="228">
        <f t="shared" si="21"/>
        <v>748.89</v>
      </c>
      <c r="M46" s="228">
        <f t="shared" si="21"/>
        <v>629.73</v>
      </c>
      <c r="N46" s="228">
        <f t="shared" si="21"/>
        <v>692.97</v>
      </c>
      <c r="O46" s="228">
        <f t="shared" si="21"/>
        <v>838.73</v>
      </c>
      <c r="P46" s="228">
        <f t="shared" si="21"/>
        <v>831.79</v>
      </c>
      <c r="Q46" s="228">
        <f t="shared" ref="Q46" si="23">TRUNC(+Q45/30,2)</f>
        <v>700.15</v>
      </c>
      <c r="R46" s="228">
        <f t="array" ref="R46">AVERAGE(IF(C46:Q46&lt;&gt;0,C46:Q46,""))</f>
        <v>687.50266666666664</v>
      </c>
      <c r="S46" s="229"/>
    </row>
    <row r="47" spans="1:19" x14ac:dyDescent="0.2">
      <c r="A47" s="174"/>
      <c r="B47" s="193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9"/>
    </row>
    <row r="48" spans="1:19" x14ac:dyDescent="0.2">
      <c r="A48" s="206" t="s">
        <v>264</v>
      </c>
    </row>
    <row r="49" spans="1:1" x14ac:dyDescent="0.2">
      <c r="A49" s="206" t="s">
        <v>266</v>
      </c>
    </row>
    <row r="50" spans="1:1" x14ac:dyDescent="0.2">
      <c r="A50" s="206" t="s">
        <v>278</v>
      </c>
    </row>
  </sheetData>
  <mergeCells count="1">
    <mergeCell ref="A1:R1"/>
  </mergeCells>
  <printOptions horizontalCentered="1"/>
  <pageMargins left="0" right="0" top="0.5" bottom="0.5" header="0.25" footer="0.25"/>
  <pageSetup paperSize="5" scale="7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Zeros="0" zoomScaleNormal="100" zoomScaleSheetLayoutView="100" workbookViewId="0">
      <pane xSplit="19" ySplit="4" topLeftCell="T10" activePane="bottomRight" state="frozen"/>
      <selection pane="topRight" activeCell="R1" sqref="R1"/>
      <selection pane="bottomLeft" activeCell="A5" sqref="A5"/>
      <selection pane="bottomRight" activeCell="E44" sqref="E44"/>
    </sheetView>
  </sheetViews>
  <sheetFormatPr defaultColWidth="9.140625" defaultRowHeight="12.75" x14ac:dyDescent="0.2"/>
  <cols>
    <col min="1" max="1" width="12.7109375" style="194" customWidth="1"/>
    <col min="2" max="2" width="36" style="194" customWidth="1"/>
    <col min="3" max="3" width="11" style="194" bestFit="1" customWidth="1"/>
    <col min="4" max="4" width="10.7109375" style="194" customWidth="1"/>
    <col min="5" max="7" width="11" style="194" bestFit="1" customWidth="1"/>
    <col min="8" max="9" width="10.5703125" style="194" customWidth="1"/>
    <col min="10" max="12" width="11" style="194" bestFit="1" customWidth="1"/>
    <col min="13" max="13" width="12.140625" style="194" customWidth="1"/>
    <col min="14" max="14" width="10.7109375" style="194" customWidth="1"/>
    <col min="15" max="15" width="11.140625" style="194" bestFit="1" customWidth="1"/>
    <col min="16" max="16" width="7.28515625" style="194" bestFit="1" customWidth="1"/>
    <col min="17" max="17" width="11.140625" style="194" bestFit="1" customWidth="1"/>
    <col min="18" max="18" width="12.28515625" style="194" customWidth="1"/>
    <col min="19" max="19" width="7.85546875" style="194" hidden="1" customWidth="1"/>
    <col min="20" max="16384" width="9.140625" style="194"/>
  </cols>
  <sheetData>
    <row r="1" spans="1:19" ht="26.25" x14ac:dyDescent="0.4">
      <c r="A1" s="440" t="s">
        <v>310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21" customHeight="1" x14ac:dyDescent="0.4">
      <c r="A2" s="225" t="s">
        <v>272</v>
      </c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191" t="s">
        <v>130</v>
      </c>
    </row>
    <row r="3" spans="1:19" ht="21" customHeight="1" x14ac:dyDescent="0.4">
      <c r="A3" s="225"/>
      <c r="B3" s="226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91"/>
    </row>
    <row r="4" spans="1:19" x14ac:dyDescent="0.2">
      <c r="C4" s="423" t="s">
        <v>0</v>
      </c>
      <c r="D4" s="423" t="s">
        <v>309</v>
      </c>
      <c r="E4" s="423" t="s">
        <v>1</v>
      </c>
      <c r="F4" s="423" t="s">
        <v>2</v>
      </c>
      <c r="G4" s="423" t="s">
        <v>267</v>
      </c>
      <c r="H4" s="423" t="s">
        <v>276</v>
      </c>
      <c r="I4" s="423" t="s">
        <v>277</v>
      </c>
      <c r="J4" s="423" t="s">
        <v>4</v>
      </c>
      <c r="K4" s="423" t="s">
        <v>5</v>
      </c>
      <c r="L4" s="423" t="s">
        <v>6</v>
      </c>
      <c r="M4" s="423" t="s">
        <v>7</v>
      </c>
      <c r="N4" s="423" t="s">
        <v>8</v>
      </c>
      <c r="O4" s="423" t="s">
        <v>9</v>
      </c>
      <c r="P4" s="423" t="s">
        <v>10</v>
      </c>
      <c r="Q4" s="423" t="s">
        <v>308</v>
      </c>
      <c r="R4" s="423" t="s">
        <v>274</v>
      </c>
      <c r="S4" s="423" t="s">
        <v>11</v>
      </c>
    </row>
    <row r="5" spans="1:19" x14ac:dyDescent="0.2">
      <c r="A5" s="192" t="s">
        <v>12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19" x14ac:dyDescent="0.2">
      <c r="A6" s="192"/>
      <c r="B6" s="193" t="s">
        <v>13</v>
      </c>
      <c r="C6" s="228">
        <f>'Survey Template'!C144</f>
        <v>18.190000000000001</v>
      </c>
      <c r="D6" s="228">
        <f>'Survey Template'!D144</f>
        <v>0</v>
      </c>
      <c r="E6" s="228">
        <f>'Survey Template'!E144</f>
        <v>12.86</v>
      </c>
      <c r="F6" s="228">
        <f>'Survey Template'!F144</f>
        <v>10.5</v>
      </c>
      <c r="G6" s="228">
        <f>'Survey Template'!G144</f>
        <v>12.08</v>
      </c>
      <c r="H6" s="228">
        <f>'Survey Template'!H144</f>
        <v>25.63</v>
      </c>
      <c r="I6" s="228">
        <f>'Survey Template'!I144</f>
        <v>20.190000000000001</v>
      </c>
      <c r="J6" s="228">
        <f>'Survey Template'!J144</f>
        <v>12.32</v>
      </c>
      <c r="K6" s="228">
        <f>'Survey Template'!K144</f>
        <v>13.57</v>
      </c>
      <c r="L6" s="228">
        <f>'Survey Template'!L144</f>
        <v>11.67</v>
      </c>
      <c r="M6" s="228">
        <f>'Survey Template'!M144</f>
        <v>12.87</v>
      </c>
      <c r="N6" s="228">
        <f>'Survey Template'!N144</f>
        <v>14.47</v>
      </c>
      <c r="O6" s="228">
        <f>'Survey Template'!O144</f>
        <v>11.5</v>
      </c>
      <c r="P6" s="228">
        <f>'Survey Template'!P144</f>
        <v>16.84</v>
      </c>
      <c r="Q6" s="228">
        <f>'Survey Template'!Q144</f>
        <v>17.62</v>
      </c>
      <c r="R6" s="228">
        <f t="array" ref="R6">AVERAGE(IF(C6:Q6&lt;&gt;0,C6:Q6,""))</f>
        <v>15.022142857142855</v>
      </c>
      <c r="S6" s="229"/>
    </row>
    <row r="7" spans="1:19" x14ac:dyDescent="0.2">
      <c r="A7" s="192"/>
      <c r="B7" s="193" t="s">
        <v>14</v>
      </c>
      <c r="C7" s="228">
        <f>'Survey Template'!C147</f>
        <v>1.9</v>
      </c>
      <c r="D7" s="228">
        <f>'Survey Template'!D147</f>
        <v>0</v>
      </c>
      <c r="E7" s="228">
        <f>'Survey Template'!E147</f>
        <v>7.9</v>
      </c>
      <c r="F7" s="228">
        <f>'Survey Template'!F147</f>
        <v>13.969999999999999</v>
      </c>
      <c r="G7" s="228">
        <f>'Survey Template'!G147</f>
        <v>14.46</v>
      </c>
      <c r="H7" s="228">
        <f>'Survey Template'!H147</f>
        <v>2.4500000000000002</v>
      </c>
      <c r="I7" s="228">
        <f>'Survey Template'!I147</f>
        <v>4.2300000000000004</v>
      </c>
      <c r="J7" s="228">
        <f>'Survey Template'!J147</f>
        <v>17.27</v>
      </c>
      <c r="K7" s="228">
        <f>'Survey Template'!K147</f>
        <v>20.93</v>
      </c>
      <c r="L7" s="228">
        <f>'Survey Template'!L147</f>
        <v>14.32</v>
      </c>
      <c r="M7" s="228">
        <f>'Survey Template'!M147</f>
        <v>14.1</v>
      </c>
      <c r="N7" s="228">
        <f>'Survey Template'!N147</f>
        <v>16.829999999999998</v>
      </c>
      <c r="O7" s="228">
        <f>'Survey Template'!O147</f>
        <v>13.54</v>
      </c>
      <c r="P7" s="228">
        <f>'Survey Template'!P147</f>
        <v>6.81</v>
      </c>
      <c r="Q7" s="228">
        <f>'Survey Template'!Q147</f>
        <v>14.12</v>
      </c>
      <c r="R7" s="228">
        <f t="array" ref="R7">AVERAGE(IF(C7:Q7&lt;&gt;0,C7:Q7,""))</f>
        <v>11.630714285714287</v>
      </c>
      <c r="S7" s="229"/>
    </row>
    <row r="8" spans="1:19" x14ac:dyDescent="0.2">
      <c r="A8" s="192"/>
      <c r="B8" s="193" t="s">
        <v>113</v>
      </c>
      <c r="C8" s="228">
        <f>'Survey Template'!C148</f>
        <v>0</v>
      </c>
      <c r="D8" s="228">
        <f>'Survey Template'!D148</f>
        <v>0</v>
      </c>
      <c r="E8" s="228">
        <f>'Survey Template'!E148</f>
        <v>0</v>
      </c>
      <c r="F8" s="228">
        <f>'Survey Template'!F148</f>
        <v>0</v>
      </c>
      <c r="G8" s="228">
        <f>'Survey Template'!G148</f>
        <v>0</v>
      </c>
      <c r="H8" s="228">
        <f>'Survey Template'!H148</f>
        <v>0</v>
      </c>
      <c r="I8" s="228">
        <f>'Survey Template'!I148</f>
        <v>0</v>
      </c>
      <c r="J8" s="228">
        <f>'Survey Template'!J148</f>
        <v>0</v>
      </c>
      <c r="K8" s="228">
        <f>'Survey Template'!K148</f>
        <v>0</v>
      </c>
      <c r="L8" s="228">
        <f>'Survey Template'!L148</f>
        <v>0</v>
      </c>
      <c r="M8" s="228">
        <f>'Survey Template'!M148</f>
        <v>2</v>
      </c>
      <c r="N8" s="228">
        <f>'Survey Template'!N148</f>
        <v>2</v>
      </c>
      <c r="O8" s="228">
        <f>'Survey Template'!O148</f>
        <v>4</v>
      </c>
      <c r="P8" s="228">
        <f>'Survey Template'!P148</f>
        <v>0</v>
      </c>
      <c r="Q8" s="228">
        <f>'Survey Template'!Q148</f>
        <v>0</v>
      </c>
      <c r="R8" s="228">
        <f t="array" ref="R8">AVERAGE(IF(C8:Q8&lt;&gt;0,C8:Q8,""))</f>
        <v>2.6666666666666665</v>
      </c>
    </row>
    <row r="9" spans="1:19" x14ac:dyDescent="0.2">
      <c r="A9" s="192"/>
      <c r="B9" s="193" t="s">
        <v>15</v>
      </c>
      <c r="C9" s="228">
        <f>'Survey Template'!C152</f>
        <v>14.93</v>
      </c>
      <c r="D9" s="228">
        <f>'Survey Template'!D152</f>
        <v>0</v>
      </c>
      <c r="E9" s="228">
        <f>'Survey Template'!E152</f>
        <v>13.97</v>
      </c>
      <c r="F9" s="228">
        <f>'Survey Template'!F152</f>
        <v>6.91</v>
      </c>
      <c r="G9" s="228">
        <f>'Survey Template'!G152</f>
        <v>9.94</v>
      </c>
      <c r="H9" s="228">
        <f>'Survey Template'!H152</f>
        <v>4.9000000000000004</v>
      </c>
      <c r="I9" s="228">
        <f>'Survey Template'!I152</f>
        <v>4.03</v>
      </c>
      <c r="J9" s="228">
        <f>'Survey Template'!J152</f>
        <v>9.42</v>
      </c>
      <c r="K9" s="228">
        <f>'Survey Template'!K152</f>
        <v>7.52</v>
      </c>
      <c r="L9" s="228">
        <f>'Survey Template'!L152</f>
        <v>10.84</v>
      </c>
      <c r="M9" s="228">
        <f>'Survey Template'!M152</f>
        <v>0</v>
      </c>
      <c r="N9" s="228">
        <f>'Survey Template'!N152</f>
        <v>10.25</v>
      </c>
      <c r="O9" s="228">
        <f>'Survey Template'!O152</f>
        <v>9.24</v>
      </c>
      <c r="P9" s="228">
        <f>'Survey Template'!P152</f>
        <v>5.61</v>
      </c>
      <c r="Q9" s="228">
        <f>'Survey Template'!Q152</f>
        <v>9.58</v>
      </c>
      <c r="R9" s="228">
        <f t="array" ref="R9">AVERAGE(IF(C9:Q9&lt;&gt;0,C9:Q9,""))</f>
        <v>9.0107692307692293</v>
      </c>
    </row>
    <row r="10" spans="1:19" x14ac:dyDescent="0.2">
      <c r="B10" s="203" t="s">
        <v>144</v>
      </c>
      <c r="C10" s="230">
        <f>'Survey Template'!C155</f>
        <v>8.91</v>
      </c>
      <c r="D10" s="230">
        <f>'Survey Template'!D155</f>
        <v>0</v>
      </c>
      <c r="E10" s="230">
        <f>'Survey Template'!E155</f>
        <v>8.9</v>
      </c>
      <c r="F10" s="230">
        <f>'Survey Template'!F155</f>
        <v>0</v>
      </c>
      <c r="G10" s="230">
        <f>'Survey Template'!G155</f>
        <v>3</v>
      </c>
      <c r="H10" s="230">
        <f>'Survey Template'!H155</f>
        <v>2.25</v>
      </c>
      <c r="I10" s="230">
        <f>'Survey Template'!I155</f>
        <v>0</v>
      </c>
      <c r="J10" s="230">
        <f>'Survey Template'!J155</f>
        <v>0</v>
      </c>
      <c r="K10" s="230">
        <f>'Survey Template'!K155</f>
        <v>8</v>
      </c>
      <c r="L10" s="230">
        <f>'Survey Template'!L155</f>
        <v>9.1</v>
      </c>
      <c r="M10" s="230">
        <f>'Survey Template'!M155</f>
        <v>0</v>
      </c>
      <c r="N10" s="230">
        <f>'Survey Template'!N155</f>
        <v>4.08</v>
      </c>
      <c r="O10" s="230">
        <f>'Survey Template'!O155</f>
        <v>8.6999999999999993</v>
      </c>
      <c r="P10" s="230">
        <f>'Survey Template'!P155</f>
        <v>0</v>
      </c>
      <c r="Q10" s="230">
        <f>'Survey Template'!Q155</f>
        <v>3</v>
      </c>
      <c r="R10" s="228">
        <f t="array" ref="R10">AVERAGE(IF(C10:Q10&lt;&gt;0,C10:Q10,""))</f>
        <v>6.2155555555555555</v>
      </c>
    </row>
    <row r="11" spans="1:19" x14ac:dyDescent="0.2">
      <c r="B11" s="203" t="s">
        <v>227</v>
      </c>
      <c r="C11" s="230">
        <f>'Survey Template'!C159</f>
        <v>0</v>
      </c>
      <c r="D11" s="230">
        <f>'Survey Template'!D159</f>
        <v>0</v>
      </c>
      <c r="E11" s="230">
        <f>'Survey Template'!E159</f>
        <v>0</v>
      </c>
      <c r="F11" s="230">
        <f>'Survey Template'!F159</f>
        <v>0</v>
      </c>
      <c r="G11" s="230">
        <f>'Survey Template'!G159</f>
        <v>1</v>
      </c>
      <c r="H11" s="230">
        <f>'Survey Template'!H159</f>
        <v>1</v>
      </c>
      <c r="I11" s="230">
        <f>'Survey Template'!I159</f>
        <v>0</v>
      </c>
      <c r="J11" s="230">
        <f>'Survey Template'!J159</f>
        <v>0</v>
      </c>
      <c r="K11" s="230">
        <f>'Survey Template'!K159</f>
        <v>0.75</v>
      </c>
      <c r="L11" s="230">
        <f>'Survey Template'!L159</f>
        <v>0</v>
      </c>
      <c r="M11" s="230">
        <f>'Survey Template'!M159</f>
        <v>0</v>
      </c>
      <c r="N11" s="230">
        <f>'Survey Template'!N159</f>
        <v>0</v>
      </c>
      <c r="O11" s="230">
        <f>'Survey Template'!O159</f>
        <v>0</v>
      </c>
      <c r="P11" s="230">
        <f>'Survey Template'!P159</f>
        <v>1</v>
      </c>
      <c r="Q11" s="230">
        <f>'Survey Template'!Q159</f>
        <v>0</v>
      </c>
      <c r="R11" s="228">
        <f t="array" ref="R11">AVERAGE(IF(C11:Q11&lt;&gt;0,C11:Q11,""))</f>
        <v>0.9375</v>
      </c>
    </row>
    <row r="12" spans="1:19" ht="41.45" customHeight="1" thickBot="1" x14ac:dyDescent="0.25">
      <c r="A12" s="192"/>
      <c r="B12" s="212" t="s">
        <v>298</v>
      </c>
      <c r="C12" s="231">
        <f>'Survey Template'!C204</f>
        <v>0</v>
      </c>
      <c r="D12" s="231">
        <f>'Survey Template'!D204</f>
        <v>0</v>
      </c>
      <c r="E12" s="231">
        <f>'Survey Template'!E206</f>
        <v>2</v>
      </c>
      <c r="F12" s="231">
        <f>'Survey Template'!F204</f>
        <v>0</v>
      </c>
      <c r="G12" s="231">
        <f>'Survey Template'!G206</f>
        <v>1.5</v>
      </c>
      <c r="H12" s="231">
        <f>'Survey Template'!H204</f>
        <v>0</v>
      </c>
      <c r="I12" s="231">
        <f>'Survey Template'!I204</f>
        <v>0</v>
      </c>
      <c r="J12" s="231">
        <f>'Survey Template'!J204</f>
        <v>0</v>
      </c>
      <c r="K12" s="231">
        <f>'Survey Template'!K204</f>
        <v>0</v>
      </c>
      <c r="L12" s="231">
        <f>'Survey Template'!L204</f>
        <v>0</v>
      </c>
      <c r="M12" s="231">
        <f>'Survey Template'!M204</f>
        <v>0</v>
      </c>
      <c r="N12" s="231">
        <f>'Survey Template'!N204+'Survey Template'!N160</f>
        <v>5.25</v>
      </c>
      <c r="O12" s="231">
        <f>'Survey Template'!O204</f>
        <v>0</v>
      </c>
      <c r="P12" s="231"/>
      <c r="Q12" s="231"/>
      <c r="R12" s="228">
        <f t="array" ref="R12">AVERAGE(IF(C12:Q12&lt;&gt;0,C12:Q12,""))</f>
        <v>2.9166666666666665</v>
      </c>
    </row>
    <row r="13" spans="1:19" x14ac:dyDescent="0.2">
      <c r="B13" s="210" t="s">
        <v>17</v>
      </c>
      <c r="C13" s="228">
        <f>SUM(C6:C12)</f>
        <v>43.929999999999993</v>
      </c>
      <c r="D13" s="228">
        <f>SUM(D6:D12)</f>
        <v>0</v>
      </c>
      <c r="E13" s="228">
        <f>SUM(E6:E12)</f>
        <v>45.629999999999995</v>
      </c>
      <c r="F13" s="228">
        <f t="shared" ref="F13:O13" si="0">SUM(F6:F12)</f>
        <v>31.38</v>
      </c>
      <c r="G13" s="228">
        <f>SUM(G6:G12)</f>
        <v>41.98</v>
      </c>
      <c r="H13" s="228">
        <f t="shared" ref="H13:I13" si="1">SUM(H6:H12)</f>
        <v>36.229999999999997</v>
      </c>
      <c r="I13" s="228">
        <f t="shared" si="1"/>
        <v>28.450000000000003</v>
      </c>
      <c r="J13" s="228">
        <f>SUM(J6:J12)</f>
        <v>39.01</v>
      </c>
      <c r="K13" s="228">
        <f>SUM(K6:K12)</f>
        <v>50.769999999999996</v>
      </c>
      <c r="L13" s="228">
        <f t="shared" si="0"/>
        <v>45.93</v>
      </c>
      <c r="M13" s="228">
        <f t="shared" si="0"/>
        <v>28.97</v>
      </c>
      <c r="N13" s="228">
        <f>SUM(N6:N12)</f>
        <v>52.879999999999995</v>
      </c>
      <c r="O13" s="228">
        <f t="shared" si="0"/>
        <v>46.980000000000004</v>
      </c>
      <c r="P13" s="228">
        <f>SUM(P6:P12)</f>
        <v>30.259999999999998</v>
      </c>
      <c r="Q13" s="228">
        <f>SUM(Q6:Q12)</f>
        <v>44.32</v>
      </c>
      <c r="R13" s="228">
        <f t="array" ref="R13">AVERAGE(IF(C13:Q13&lt;&gt;0,C13:Q13,""))</f>
        <v>40.480000000000004</v>
      </c>
    </row>
    <row r="14" spans="1:19" x14ac:dyDescent="0.2">
      <c r="B14" s="210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</row>
    <row r="15" spans="1:19" x14ac:dyDescent="0.2">
      <c r="B15" s="203" t="s">
        <v>180</v>
      </c>
      <c r="C15" s="230">
        <f>'Survey Template'!C168</f>
        <v>6.56</v>
      </c>
      <c r="D15" s="230">
        <f>'Survey Template'!D168</f>
        <v>0</v>
      </c>
      <c r="E15" s="230">
        <f>'Survey Template'!E168</f>
        <v>5.25</v>
      </c>
      <c r="F15" s="230">
        <f>'Survey Template'!F168</f>
        <v>16.7</v>
      </c>
      <c r="G15" s="230">
        <f>'Survey Template'!G168</f>
        <v>17.39</v>
      </c>
      <c r="H15" s="230">
        <f>'Survey Template'!H168</f>
        <v>17.39</v>
      </c>
      <c r="I15" s="230">
        <f>'Survey Template'!I168</f>
        <v>17.39</v>
      </c>
      <c r="J15" s="230">
        <f>'Survey Template'!J168</f>
        <v>5.16</v>
      </c>
      <c r="K15" s="230">
        <f>'Survey Template'!K168</f>
        <v>9.9700000000000006</v>
      </c>
      <c r="L15" s="230">
        <f>'Survey Template'!L168</f>
        <v>14.4</v>
      </c>
      <c r="M15" s="230">
        <f>'Survey Template'!M168</f>
        <v>18.989999999999998</v>
      </c>
      <c r="N15" s="230">
        <f>'Survey Template'!N168</f>
        <v>5.25</v>
      </c>
      <c r="O15" s="230">
        <f>'Survey Template'!O168</f>
        <v>14.52</v>
      </c>
      <c r="P15" s="230">
        <f>'Survey Template'!P168</f>
        <v>0</v>
      </c>
      <c r="Q15" s="230">
        <f>'Survey Template'!Q168</f>
        <v>19.25</v>
      </c>
      <c r="R15" s="228">
        <f t="array" ref="R15">AVERAGE(IF(C15:Q15&lt;&gt;0,C15:Q15,""))</f>
        <v>12.940000000000001</v>
      </c>
    </row>
    <row r="16" spans="1:19" x14ac:dyDescent="0.2">
      <c r="B16" s="203" t="s">
        <v>181</v>
      </c>
      <c r="C16" s="230">
        <f>'Survey Template'!C169</f>
        <v>6.56</v>
      </c>
      <c r="D16" s="230">
        <f>'Survey Template'!D169</f>
        <v>0</v>
      </c>
      <c r="E16" s="230">
        <f>'Survey Template'!E169</f>
        <v>5.25</v>
      </c>
      <c r="F16" s="230">
        <f>'Survey Template'!F169</f>
        <v>16.7</v>
      </c>
      <c r="G16" s="230">
        <f>'Survey Template'!G169</f>
        <v>17.39</v>
      </c>
      <c r="H16" s="230">
        <f>'Survey Template'!H169</f>
        <v>17.39</v>
      </c>
      <c r="I16" s="230">
        <f>'Survey Template'!I169</f>
        <v>17.39</v>
      </c>
      <c r="J16" s="230">
        <f>'Survey Template'!J169</f>
        <v>5.16</v>
      </c>
      <c r="K16" s="230">
        <f>'Survey Template'!K169</f>
        <v>9.9700000000000006</v>
      </c>
      <c r="L16" s="230">
        <f>'Survey Template'!L169</f>
        <v>14.4</v>
      </c>
      <c r="M16" s="230">
        <f>'Survey Template'!M169</f>
        <v>18.989999999999998</v>
      </c>
      <c r="N16" s="230">
        <f>'Survey Template'!N169</f>
        <v>5.25</v>
      </c>
      <c r="O16" s="230">
        <f>'Survey Template'!O169</f>
        <v>14.52</v>
      </c>
      <c r="P16" s="230">
        <f>'Survey Template'!P169</f>
        <v>0</v>
      </c>
      <c r="Q16" s="230">
        <f>'Survey Template'!Q169</f>
        <v>19.25</v>
      </c>
      <c r="R16" s="228">
        <f t="array" ref="R16">AVERAGE(IF(C16:Q16&lt;&gt;0,C16:Q16,""))</f>
        <v>12.940000000000001</v>
      </c>
    </row>
    <row r="17" spans="1:19" x14ac:dyDescent="0.2">
      <c r="B17" s="193"/>
      <c r="C17" s="228"/>
      <c r="D17" s="228"/>
      <c r="E17" s="228"/>
      <c r="F17" s="228"/>
      <c r="G17" s="230"/>
      <c r="H17" s="230"/>
      <c r="I17" s="230"/>
      <c r="J17" s="228"/>
      <c r="K17" s="228"/>
      <c r="L17" s="228"/>
      <c r="M17" s="228"/>
      <c r="N17" s="228"/>
      <c r="O17" s="228"/>
      <c r="P17" s="228"/>
      <c r="Q17" s="228"/>
      <c r="R17" s="228"/>
    </row>
    <row r="18" spans="1:19" x14ac:dyDescent="0.2">
      <c r="A18" s="192" t="s">
        <v>18</v>
      </c>
      <c r="B18" s="193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</row>
    <row r="19" spans="1:19" x14ac:dyDescent="0.2">
      <c r="B19" s="193" t="s">
        <v>13</v>
      </c>
      <c r="C19" s="228">
        <f>'Survey Template'!C145</f>
        <v>0</v>
      </c>
      <c r="D19" s="228"/>
      <c r="E19" s="228">
        <f>'Survey Template'!E145</f>
        <v>0</v>
      </c>
      <c r="F19" s="228">
        <f>'Survey Template'!F145</f>
        <v>0</v>
      </c>
      <c r="G19" s="228">
        <f>'Survey Template'!G145</f>
        <v>7</v>
      </c>
      <c r="H19" s="228">
        <f>'Survey Template'!H145</f>
        <v>0</v>
      </c>
      <c r="I19" s="228">
        <f>'Survey Template'!I145</f>
        <v>0</v>
      </c>
      <c r="J19" s="228">
        <f>'Survey Template'!J145</f>
        <v>0</v>
      </c>
      <c r="K19" s="228">
        <f>'Survey Template'!K145</f>
        <v>0</v>
      </c>
      <c r="L19" s="228">
        <f>'Survey Template'!L145</f>
        <v>0</v>
      </c>
      <c r="M19" s="228">
        <f>'Survey Template'!M145</f>
        <v>0</v>
      </c>
      <c r="N19" s="228">
        <f>'Survey Template'!N145</f>
        <v>0</v>
      </c>
      <c r="O19" s="228">
        <f>'Survey Template'!O145</f>
        <v>0</v>
      </c>
      <c r="P19" s="228">
        <f>'Survey Template'!P145</f>
        <v>0</v>
      </c>
      <c r="Q19" s="228">
        <f>'Survey Template'!Q145</f>
        <v>0</v>
      </c>
      <c r="R19" s="228">
        <f t="array" ref="R19">AVERAGE(IF(C19:Q19&lt;&gt;0,C19:Q19,""))</f>
        <v>7</v>
      </c>
    </row>
    <row r="20" spans="1:19" x14ac:dyDescent="0.2">
      <c r="B20" s="193" t="s">
        <v>14</v>
      </c>
      <c r="C20" s="228">
        <f>'Survey Template'!C150</f>
        <v>0</v>
      </c>
      <c r="D20" s="228"/>
      <c r="E20" s="228">
        <f>'Survey Template'!E150</f>
        <v>0</v>
      </c>
      <c r="F20" s="228">
        <f>'Survey Template'!F150</f>
        <v>0</v>
      </c>
      <c r="G20" s="228">
        <f>'Survey Template'!G150</f>
        <v>10</v>
      </c>
      <c r="H20" s="228">
        <f>'Survey Template'!H150</f>
        <v>5</v>
      </c>
      <c r="I20" s="228">
        <f>'Survey Template'!I150</f>
        <v>5</v>
      </c>
      <c r="J20" s="228">
        <f>'Survey Template'!J150</f>
        <v>0</v>
      </c>
      <c r="K20" s="228">
        <f>'Survey Template'!K150</f>
        <v>0</v>
      </c>
      <c r="L20" s="228">
        <f>'Survey Template'!L150</f>
        <v>0</v>
      </c>
      <c r="M20" s="228">
        <f>'Survey Template'!M150</f>
        <v>10</v>
      </c>
      <c r="N20" s="228">
        <f>'Survey Template'!N150</f>
        <v>0</v>
      </c>
      <c r="O20" s="228">
        <f>'Survey Template'!O150</f>
        <v>0</v>
      </c>
      <c r="P20" s="228">
        <f>'Survey Template'!P150</f>
        <v>0</v>
      </c>
      <c r="Q20" s="228">
        <f>'Survey Template'!Q150</f>
        <v>0</v>
      </c>
      <c r="R20" s="228">
        <f t="array" ref="R20">AVERAGE(IF(C20:Q20&lt;&gt;0,C20:Q20,""))</f>
        <v>7.5</v>
      </c>
    </row>
    <row r="21" spans="1:19" x14ac:dyDescent="0.2">
      <c r="B21" s="193" t="s">
        <v>15</v>
      </c>
      <c r="C21" s="228">
        <f>'Survey Template'!C153</f>
        <v>0</v>
      </c>
      <c r="D21" s="228"/>
      <c r="E21" s="228">
        <f>'Survey Template'!E153</f>
        <v>0</v>
      </c>
      <c r="F21" s="228">
        <f>'Survey Template'!F153</f>
        <v>0</v>
      </c>
      <c r="G21" s="228">
        <f>'Survey Template'!G153</f>
        <v>0</v>
      </c>
      <c r="H21" s="228">
        <f>'Survey Template'!H153</f>
        <v>0</v>
      </c>
      <c r="I21" s="228">
        <f>'Survey Template'!I153</f>
        <v>0</v>
      </c>
      <c r="J21" s="228">
        <f>'Survey Template'!J153</f>
        <v>0</v>
      </c>
      <c r="K21" s="228">
        <f>'Survey Template'!K153</f>
        <v>0</v>
      </c>
      <c r="L21" s="228">
        <f>'Survey Template'!L153</f>
        <v>0</v>
      </c>
      <c r="M21" s="228">
        <f>'Survey Template'!M153</f>
        <v>93.69</v>
      </c>
      <c r="N21" s="228">
        <f>'Survey Template'!N153</f>
        <v>0</v>
      </c>
      <c r="O21" s="228">
        <f>'Survey Template'!O153</f>
        <v>0</v>
      </c>
      <c r="P21" s="228">
        <f>'Survey Template'!P153</f>
        <v>0</v>
      </c>
      <c r="Q21" s="228">
        <f>'Survey Template'!Q153</f>
        <v>0</v>
      </c>
      <c r="R21" s="228">
        <f t="array" ref="R21">AVERAGE(IF(C21:Q21&lt;&gt;0,C21:Q21,""))</f>
        <v>93.69</v>
      </c>
    </row>
    <row r="22" spans="1:19" x14ac:dyDescent="0.2">
      <c r="B22" s="203" t="s">
        <v>16</v>
      </c>
      <c r="C22" s="230">
        <f>'Survey Template'!C156</f>
        <v>0</v>
      </c>
      <c r="D22" s="230"/>
      <c r="E22" s="230">
        <f>'Survey Template'!E156</f>
        <v>0</v>
      </c>
      <c r="F22" s="230">
        <f>'Survey Template'!F156</f>
        <v>65</v>
      </c>
      <c r="G22" s="230">
        <f>'Survey Template'!G156</f>
        <v>0</v>
      </c>
      <c r="H22" s="230">
        <f>'Survey Template'!H156</f>
        <v>0</v>
      </c>
      <c r="I22" s="230">
        <f>'Survey Template'!I156</f>
        <v>0</v>
      </c>
      <c r="J22" s="230">
        <f>'Survey Template'!J156</f>
        <v>76.900000000000006</v>
      </c>
      <c r="K22" s="230">
        <f>'Survey Template'!K156</f>
        <v>0</v>
      </c>
      <c r="L22" s="230">
        <f>'Survey Template'!L156</f>
        <v>0</v>
      </c>
      <c r="M22" s="228">
        <f>'Survey Template'!M156</f>
        <v>89</v>
      </c>
      <c r="N22" s="230">
        <f>'Survey Template'!N156</f>
        <v>0</v>
      </c>
      <c r="O22" s="230">
        <f>'Survey Template'!O156</f>
        <v>0</v>
      </c>
      <c r="P22" s="230">
        <f>'Survey Template'!P156</f>
        <v>0</v>
      </c>
      <c r="Q22" s="230">
        <f>'Survey Template'!Q156</f>
        <v>0</v>
      </c>
      <c r="R22" s="228">
        <f t="array" ref="R22">AVERAGE(IF(C22:Q22&lt;&gt;0,C22:Q22,""))</f>
        <v>76.966666666666669</v>
      </c>
    </row>
    <row r="23" spans="1:19" ht="13.5" thickBot="1" x14ac:dyDescent="0.25">
      <c r="A23" s="192"/>
      <c r="B23" s="193" t="s">
        <v>195</v>
      </c>
      <c r="C23" s="231">
        <f>'Survey Template'!C203</f>
        <v>0</v>
      </c>
      <c r="D23" s="231"/>
      <c r="E23" s="231">
        <f>'Survey Template'!E205</f>
        <v>20</v>
      </c>
      <c r="F23" s="231">
        <f>'Survey Template'!F203</f>
        <v>0</v>
      </c>
      <c r="G23" s="231">
        <f>'Survey Template'!G205</f>
        <v>20</v>
      </c>
      <c r="H23" s="231">
        <f>'Survey Template'!H203</f>
        <v>0</v>
      </c>
      <c r="I23" s="231">
        <f>'Survey Template'!I203</f>
        <v>0</v>
      </c>
      <c r="J23" s="231">
        <f>'Survey Template'!J203</f>
        <v>0</v>
      </c>
      <c r="K23" s="231">
        <f>'Survey Template'!K203</f>
        <v>0</v>
      </c>
      <c r="L23" s="231">
        <f>'Survey Template'!L203</f>
        <v>0</v>
      </c>
      <c r="M23" s="231">
        <f>'Survey Template'!M203</f>
        <v>0</v>
      </c>
      <c r="N23" s="231">
        <f>'Survey Template'!N203</f>
        <v>0</v>
      </c>
      <c r="O23" s="231">
        <f>'Survey Template'!O203</f>
        <v>0</v>
      </c>
      <c r="P23" s="231">
        <f>'Survey Template'!P203</f>
        <v>0</v>
      </c>
      <c r="Q23" s="231">
        <f>'Survey Template'!Q203</f>
        <v>0</v>
      </c>
      <c r="R23" s="228"/>
    </row>
    <row r="24" spans="1:19" x14ac:dyDescent="0.2">
      <c r="B24" s="210" t="s">
        <v>17</v>
      </c>
      <c r="C24" s="228">
        <f>SUM(C19:C23)</f>
        <v>0</v>
      </c>
      <c r="D24" s="228"/>
      <c r="E24" s="228">
        <f>SUM(E19:E23)</f>
        <v>20</v>
      </c>
      <c r="F24" s="228">
        <f>SUM(F19:F23)</f>
        <v>65</v>
      </c>
      <c r="G24" s="228">
        <f>SUM(G19:G23)</f>
        <v>37</v>
      </c>
      <c r="H24" s="228">
        <f t="shared" ref="H24:I24" si="2">SUM(H19:H23)</f>
        <v>5</v>
      </c>
      <c r="I24" s="228">
        <f t="shared" si="2"/>
        <v>5</v>
      </c>
      <c r="J24" s="228">
        <f>SUM(J19:J23)</f>
        <v>76.900000000000006</v>
      </c>
      <c r="K24" s="228">
        <f t="shared" ref="K24:L24" si="3">SUM(K19:K23)</f>
        <v>0</v>
      </c>
      <c r="L24" s="228">
        <f t="shared" si="3"/>
        <v>0</v>
      </c>
      <c r="M24" s="228">
        <f>SUM(M19:M23)</f>
        <v>192.69</v>
      </c>
      <c r="N24" s="228">
        <f t="shared" ref="N24:Q24" si="4">SUM(N19:N23)</f>
        <v>0</v>
      </c>
      <c r="O24" s="228">
        <f t="shared" si="4"/>
        <v>0</v>
      </c>
      <c r="P24" s="228">
        <f t="shared" si="4"/>
        <v>0</v>
      </c>
      <c r="Q24" s="228">
        <f t="shared" si="4"/>
        <v>0</v>
      </c>
      <c r="R24" s="228">
        <f t="array" ref="R24">AVERAGE(IF(C24:Q24&lt;&gt;0,C24:Q24,""))</f>
        <v>57.370000000000005</v>
      </c>
    </row>
    <row r="25" spans="1:19" x14ac:dyDescent="0.2">
      <c r="B25" s="203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28"/>
    </row>
    <row r="26" spans="1:19" x14ac:dyDescent="0.2">
      <c r="A26" s="192" t="s">
        <v>275</v>
      </c>
      <c r="B26" s="193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</row>
    <row r="27" spans="1:19" x14ac:dyDescent="0.2">
      <c r="B27" s="193" t="s">
        <v>22</v>
      </c>
      <c r="C27" s="228">
        <f>'Survey Template'!C123</f>
        <v>6.76</v>
      </c>
      <c r="D27" s="228">
        <f>'Survey Template'!D123</f>
        <v>0</v>
      </c>
      <c r="E27" s="228">
        <f>'Survey Template'!E123</f>
        <v>4.76</v>
      </c>
      <c r="F27" s="228">
        <f>'Survey Template'!F123</f>
        <v>6.76</v>
      </c>
      <c r="G27" s="228">
        <f>'Survey Template'!G123</f>
        <v>6.76</v>
      </c>
      <c r="H27" s="228">
        <f>'Survey Template'!H123</f>
        <v>6.76</v>
      </c>
      <c r="I27" s="228">
        <f>'Survey Template'!I123</f>
        <v>6.76</v>
      </c>
      <c r="J27" s="228">
        <f>'Survey Template'!J123</f>
        <v>6.76</v>
      </c>
      <c r="K27" s="228">
        <f>'Survey Template'!K123</f>
        <v>6.76</v>
      </c>
      <c r="L27" s="228">
        <f>'Survey Template'!L123</f>
        <v>6.76</v>
      </c>
      <c r="M27" s="228">
        <f>'Survey Template'!M123</f>
        <v>6.76</v>
      </c>
      <c r="N27" s="228">
        <f>'Survey Template'!N123</f>
        <v>6.76</v>
      </c>
      <c r="O27" s="228">
        <f>'Survey Template'!O123</f>
        <v>6.76</v>
      </c>
      <c r="P27" s="228">
        <f>'Survey Template'!P123</f>
        <v>0</v>
      </c>
      <c r="Q27" s="228">
        <f>'Survey Template'!Q123</f>
        <v>4.76</v>
      </c>
      <c r="R27" s="228">
        <f t="array" ref="R27">AVERAGE(IF(C27:Q27&lt;&gt;0,C27:Q27,""))</f>
        <v>6.4523076923076932</v>
      </c>
    </row>
    <row r="28" spans="1:19" x14ac:dyDescent="0.2">
      <c r="B28" s="193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</row>
    <row r="29" spans="1:19" x14ac:dyDescent="0.2">
      <c r="A29" s="192" t="s">
        <v>33</v>
      </c>
      <c r="R29" s="228"/>
    </row>
    <row r="30" spans="1:19" x14ac:dyDescent="0.2">
      <c r="B30" s="193" t="s">
        <v>30</v>
      </c>
      <c r="C30" s="228">
        <f>'Survey Template'!C15</f>
        <v>448.73</v>
      </c>
      <c r="D30" s="228">
        <f>'Survey Template'!D15</f>
        <v>0</v>
      </c>
      <c r="E30" s="228">
        <f>'Survey Template'!E15</f>
        <v>403.51</v>
      </c>
      <c r="F30" s="228">
        <f>'Survey Template'!F15</f>
        <v>334.13</v>
      </c>
      <c r="G30" s="228">
        <f>'Survey Template'!G15</f>
        <v>347.91</v>
      </c>
      <c r="H30" s="228">
        <f>'Survey Template'!H15</f>
        <v>347.91</v>
      </c>
      <c r="I30" s="228">
        <f>'Survey Template'!I15</f>
        <v>347.91</v>
      </c>
      <c r="J30" s="228">
        <f>'Survey Template'!J15</f>
        <v>303.70999999999998</v>
      </c>
      <c r="K30" s="228">
        <f>'Survey Template'!K15</f>
        <v>295.33999999999997</v>
      </c>
      <c r="L30" s="228">
        <f>'Survey Template'!L15</f>
        <v>288.16000000000003</v>
      </c>
      <c r="M30" s="228">
        <f>'Survey Template'!M15</f>
        <v>379.95</v>
      </c>
      <c r="N30" s="228">
        <f>'Survey Template'!N15</f>
        <v>408.1</v>
      </c>
      <c r="O30" s="228">
        <f>'Survey Template'!O15</f>
        <v>290.60000000000002</v>
      </c>
      <c r="P30" s="228">
        <f>'Survey Template'!P15</f>
        <v>0</v>
      </c>
      <c r="Q30" s="228">
        <f>'Survey Template'!Q15</f>
        <v>385</v>
      </c>
      <c r="R30" s="228">
        <f t="array" ref="R30">AVERAGE(IF(C30:Q30&lt;&gt;0,C30:Q30,""))</f>
        <v>352.38153846153847</v>
      </c>
      <c r="S30" s="229" t="e">
        <f>SUMPRODUCT(C30:O30,#REF!)/SUM(#REF!)</f>
        <v>#REF!</v>
      </c>
    </row>
    <row r="31" spans="1:19" ht="13.5" thickBot="1" x14ac:dyDescent="0.25">
      <c r="B31" s="193" t="s">
        <v>25</v>
      </c>
      <c r="C31" s="231">
        <f>'Survey Template'!C36</f>
        <v>22.43</v>
      </c>
      <c r="D31" s="231">
        <f>'Survey Template'!D36</f>
        <v>0</v>
      </c>
      <c r="E31" s="231">
        <f>'Survey Template'!E36</f>
        <v>20.170000000000002</v>
      </c>
      <c r="F31" s="231">
        <f>'Survey Template'!F36</f>
        <v>16.7</v>
      </c>
      <c r="G31" s="231">
        <f>'Survey Template'!G36</f>
        <v>17.39</v>
      </c>
      <c r="H31" s="231">
        <f>'Survey Template'!H36</f>
        <v>17.39</v>
      </c>
      <c r="I31" s="231">
        <f>'Survey Template'!I36</f>
        <v>17.39</v>
      </c>
      <c r="J31" s="231">
        <f>'Survey Template'!J36</f>
        <v>15.18</v>
      </c>
      <c r="K31" s="231">
        <f>'Survey Template'!K36</f>
        <v>14.76</v>
      </c>
      <c r="L31" s="231">
        <f>'Survey Template'!L36</f>
        <v>14.4</v>
      </c>
      <c r="M31" s="231">
        <f>'Survey Template'!M36</f>
        <v>18.989999999999998</v>
      </c>
      <c r="N31" s="231">
        <f>'Survey Template'!N36</f>
        <v>20.399999999999999</v>
      </c>
      <c r="O31" s="231">
        <f>'Survey Template'!O36</f>
        <v>14.52</v>
      </c>
      <c r="P31" s="231">
        <f>'Survey Template'!P36</f>
        <v>0</v>
      </c>
      <c r="Q31" s="231">
        <f>'Survey Template'!Q36</f>
        <v>19.25</v>
      </c>
      <c r="R31" s="228">
        <f t="array" ref="R31">AVERAGE(IF(C31:Q31&lt;&gt;0,C31:Q31,""))</f>
        <v>17.613076923076925</v>
      </c>
      <c r="S31" s="229" t="e">
        <f>SUMPRODUCT(C31:O31,#REF!)/SUM(#REF!)</f>
        <v>#REF!</v>
      </c>
    </row>
    <row r="32" spans="1:19" x14ac:dyDescent="0.2">
      <c r="B32" s="210" t="s">
        <v>17</v>
      </c>
      <c r="C32" s="228">
        <f>SUM(C30:C31)</f>
        <v>471.16</v>
      </c>
      <c r="D32" s="228">
        <f>SUM(D30:D31)</f>
        <v>0</v>
      </c>
      <c r="E32" s="228">
        <f t="shared" ref="E32:N32" si="5">SUM(E30:E31)</f>
        <v>423.68</v>
      </c>
      <c r="F32" s="228">
        <f t="shared" si="5"/>
        <v>350.83</v>
      </c>
      <c r="G32" s="228">
        <f t="shared" si="5"/>
        <v>365.3</v>
      </c>
      <c r="H32" s="228">
        <f t="shared" ref="H32:I32" si="6">SUM(H30:H31)</f>
        <v>365.3</v>
      </c>
      <c r="I32" s="228">
        <f t="shared" si="6"/>
        <v>365.3</v>
      </c>
      <c r="J32" s="228">
        <f t="shared" si="5"/>
        <v>318.89</v>
      </c>
      <c r="K32" s="228">
        <f t="shared" si="5"/>
        <v>310.09999999999997</v>
      </c>
      <c r="L32" s="228">
        <f t="shared" si="5"/>
        <v>302.56</v>
      </c>
      <c r="M32" s="228">
        <f t="shared" si="5"/>
        <v>398.94</v>
      </c>
      <c r="N32" s="228">
        <f t="shared" si="5"/>
        <v>428.5</v>
      </c>
      <c r="O32" s="228">
        <f>SUM(O30:O31)</f>
        <v>305.12</v>
      </c>
      <c r="P32" s="228">
        <f t="shared" ref="P32" si="7">SUM(P30:P31)</f>
        <v>0</v>
      </c>
      <c r="Q32" s="228">
        <f>SUM(Q30:Q31)</f>
        <v>404.25</v>
      </c>
      <c r="R32" s="228">
        <f t="array" ref="R32">AVERAGE(IF(C32:Q32&lt;&gt;0,C32:Q32,""))</f>
        <v>369.99461538461532</v>
      </c>
      <c r="S32" s="229" t="e">
        <f>SUMPRODUCT(C32:O32,#REF!)/SUM(#REF!)</f>
        <v>#REF!</v>
      </c>
    </row>
    <row r="33" spans="1:20" ht="8.1" customHeight="1" x14ac:dyDescent="0.2"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</row>
    <row r="34" spans="1:20" x14ac:dyDescent="0.2">
      <c r="A34" s="192" t="s">
        <v>34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</row>
    <row r="35" spans="1:20" x14ac:dyDescent="0.2">
      <c r="B35" s="193" t="s">
        <v>35</v>
      </c>
      <c r="C35" s="228">
        <f t="shared" ref="C35:L35" si="8">24*(C13+C15+C27+C32)+2*(C24)</f>
        <v>12681.84</v>
      </c>
      <c r="D35" s="228">
        <f t="shared" ref="D35" si="9">24*(D13+D15+D27+D32)+2*(D24)</f>
        <v>0</v>
      </c>
      <c r="E35" s="228">
        <f>24*(E13+E15+E27+E32)+2*E24</f>
        <v>11543.68</v>
      </c>
      <c r="F35" s="228">
        <f t="shared" si="8"/>
        <v>9866.0799999999981</v>
      </c>
      <c r="G35" s="228">
        <f>24*(G13+G15+G27+G32)+2*(G24)</f>
        <v>10428.32</v>
      </c>
      <c r="H35" s="228">
        <f t="shared" ref="H35:I35" si="10">24*(H13+H15+H27+H32)+2*(H24)</f>
        <v>10226.32</v>
      </c>
      <c r="I35" s="228">
        <f t="shared" si="10"/>
        <v>10039.6</v>
      </c>
      <c r="J35" s="228">
        <f t="shared" si="8"/>
        <v>9029.48</v>
      </c>
      <c r="K35" s="228">
        <f t="shared" si="8"/>
        <v>9062.4</v>
      </c>
      <c r="L35" s="228">
        <f t="shared" si="8"/>
        <v>8871.5999999999985</v>
      </c>
      <c r="M35" s="228">
        <f>24*(M13+M15+M27+M32)+2*(M24)</f>
        <v>11273.22</v>
      </c>
      <c r="N35" s="228">
        <f>24*(N13+N15+N27+N32)+2*(N24)</f>
        <v>11841.36</v>
      </c>
      <c r="O35" s="228">
        <f>24*(O13+O15+O27+O32)+2*(O24)</f>
        <v>8961.119999999999</v>
      </c>
      <c r="P35" s="228"/>
      <c r="Q35" s="228">
        <f>24*(Q13+Q15+Q27+Q32)+2*(Q24)</f>
        <v>11341.92</v>
      </c>
      <c r="R35" s="228">
        <f t="array" ref="R35">AVERAGE(IF(C35:Q35&lt;&gt;0,C35:Q35,""))</f>
        <v>10397.456923076921</v>
      </c>
      <c r="S35" s="229" t="e">
        <f>SUMPRODUCT(C35:O35,#REF!)/SUM(#REF!)</f>
        <v>#REF!</v>
      </c>
    </row>
    <row r="36" spans="1:20" x14ac:dyDescent="0.2">
      <c r="B36" s="193" t="s">
        <v>28</v>
      </c>
      <c r="C36" s="228">
        <f t="shared" ref="C36:O36" si="11">+C35/24</f>
        <v>528.41</v>
      </c>
      <c r="D36" s="228">
        <f t="shared" ref="D36" si="12">+D35/24</f>
        <v>0</v>
      </c>
      <c r="E36" s="228">
        <f>+E35/24</f>
        <v>480.98666666666668</v>
      </c>
      <c r="F36" s="228">
        <f t="shared" si="11"/>
        <v>411.08666666666659</v>
      </c>
      <c r="G36" s="228">
        <f t="shared" si="11"/>
        <v>434.51333333333332</v>
      </c>
      <c r="H36" s="228">
        <f t="shared" ref="H36:I36" si="13">+H35/24</f>
        <v>426.09666666666664</v>
      </c>
      <c r="I36" s="228">
        <f t="shared" si="13"/>
        <v>418.31666666666666</v>
      </c>
      <c r="J36" s="228">
        <f t="shared" si="11"/>
        <v>376.2283333333333</v>
      </c>
      <c r="K36" s="228">
        <f t="shared" si="11"/>
        <v>377.59999999999997</v>
      </c>
      <c r="L36" s="228">
        <f t="shared" si="11"/>
        <v>369.64999999999992</v>
      </c>
      <c r="M36" s="228">
        <f t="shared" si="11"/>
        <v>469.71749999999997</v>
      </c>
      <c r="N36" s="228">
        <f t="shared" si="11"/>
        <v>493.39000000000004</v>
      </c>
      <c r="O36" s="228">
        <f t="shared" si="11"/>
        <v>373.37999999999994</v>
      </c>
      <c r="P36" s="228"/>
      <c r="Q36" s="228">
        <f>+Q35/24</f>
        <v>472.58</v>
      </c>
      <c r="R36" s="228">
        <f t="array" ref="R36">AVERAGE(IF(C36:Q36&lt;&gt;0,C36:Q36,""))</f>
        <v>433.22737179487183</v>
      </c>
      <c r="S36" s="229" t="e">
        <f>SUMPRODUCT(C36:O36,#REF!)/SUM(#REF!)</f>
        <v>#REF!</v>
      </c>
    </row>
    <row r="37" spans="1:20" x14ac:dyDescent="0.2">
      <c r="B37" s="196"/>
      <c r="R37" s="228"/>
    </row>
    <row r="38" spans="1:20" x14ac:dyDescent="0.2">
      <c r="A38" s="192" t="s">
        <v>36</v>
      </c>
      <c r="R38" s="228"/>
    </row>
    <row r="39" spans="1:20" x14ac:dyDescent="0.2">
      <c r="B39" s="193" t="s">
        <v>83</v>
      </c>
      <c r="C39" s="228">
        <f>'Survey Template'!C79</f>
        <v>1138.94</v>
      </c>
      <c r="D39" s="228">
        <f>'Survey Template'!D79</f>
        <v>0</v>
      </c>
      <c r="E39" s="228">
        <f>'Survey Template'!E79</f>
        <v>1004.85</v>
      </c>
      <c r="F39" s="228">
        <f>'Survey Template'!F79</f>
        <v>921.15</v>
      </c>
      <c r="G39" s="228">
        <f>'Survey Template'!G79</f>
        <v>772.43</v>
      </c>
      <c r="H39" s="228">
        <f>'Survey Template'!H79</f>
        <v>772.43</v>
      </c>
      <c r="I39" s="228">
        <f>'Survey Template'!I79</f>
        <v>772.43</v>
      </c>
      <c r="J39" s="228">
        <f>'Survey Template'!J79</f>
        <v>927.51</v>
      </c>
      <c r="K39" s="228">
        <f>'Survey Template'!K79</f>
        <v>923.57</v>
      </c>
      <c r="L39" s="228">
        <f>'Survey Template'!L79</f>
        <v>1073.31</v>
      </c>
      <c r="M39" s="228">
        <f>'Survey Template'!M79</f>
        <v>900</v>
      </c>
      <c r="N39" s="228">
        <f>'Survey Template'!N79</f>
        <v>932.61</v>
      </c>
      <c r="O39" s="228">
        <f>'Survey Template'!O79</f>
        <v>1173.73</v>
      </c>
      <c r="P39" s="228">
        <f>'Survey Template'!P79</f>
        <v>0</v>
      </c>
      <c r="Q39" s="228">
        <f>'Survey Template'!Q79</f>
        <v>993</v>
      </c>
      <c r="R39" s="228">
        <f t="array" ref="R39">AVERAGE(IF(C39:Q39&lt;&gt;0,C39:Q39,""))</f>
        <v>946.61230769230781</v>
      </c>
      <c r="T39" s="228"/>
    </row>
    <row r="40" spans="1:20" ht="13.5" thickBot="1" x14ac:dyDescent="0.25">
      <c r="B40" s="193" t="s">
        <v>25</v>
      </c>
      <c r="C40" s="231">
        <f>'Survey Template'!C101</f>
        <v>56.94</v>
      </c>
      <c r="D40" s="231">
        <f>'Survey Template'!D101</f>
        <v>0</v>
      </c>
      <c r="E40" s="231">
        <f>'Survey Template'!E101</f>
        <v>50.230000000000004</v>
      </c>
      <c r="F40" s="231">
        <f>'Survey Template'!F101</f>
        <v>46.05</v>
      </c>
      <c r="G40" s="231">
        <f>'Survey Template'!G101</f>
        <v>38.61</v>
      </c>
      <c r="H40" s="231">
        <f>'Survey Template'!H101</f>
        <v>38.61</v>
      </c>
      <c r="I40" s="231">
        <f>'Survey Template'!I101</f>
        <v>38.61</v>
      </c>
      <c r="J40" s="231">
        <f>'Survey Template'!J101</f>
        <v>46.37</v>
      </c>
      <c r="K40" s="231">
        <f>'Survey Template'!K101</f>
        <v>46.17</v>
      </c>
      <c r="L40" s="231">
        <f>'Survey Template'!L101</f>
        <v>53.65</v>
      </c>
      <c r="M40" s="231">
        <f>'Survey Template'!M101</f>
        <v>44.99</v>
      </c>
      <c r="N40" s="231">
        <f>'Survey Template'!N101</f>
        <v>46.63</v>
      </c>
      <c r="O40" s="231">
        <f>'Survey Template'!O101</f>
        <v>58.67</v>
      </c>
      <c r="P40" s="231">
        <f>'Survey Template'!P101</f>
        <v>0</v>
      </c>
      <c r="Q40" s="231">
        <f>'Survey Template'!Q101</f>
        <v>49.65</v>
      </c>
      <c r="R40" s="228">
        <f t="array" ref="R40">AVERAGE(IF(C40:Q40&lt;&gt;0,C40:Q40,""))</f>
        <v>47.321538461538459</v>
      </c>
    </row>
    <row r="41" spans="1:20" x14ac:dyDescent="0.2">
      <c r="B41" s="210" t="s">
        <v>17</v>
      </c>
      <c r="C41" s="228">
        <f>SUM(C39:C40)</f>
        <v>1195.8800000000001</v>
      </c>
      <c r="D41" s="228">
        <f>SUM(D39:D40)</f>
        <v>0</v>
      </c>
      <c r="E41" s="228">
        <f>SUM(E39:E40)</f>
        <v>1055.08</v>
      </c>
      <c r="F41" s="228">
        <f t="shared" ref="F41:O41" si="14">SUM(F39:F40)</f>
        <v>967.19999999999993</v>
      </c>
      <c r="G41" s="228">
        <f t="shared" si="14"/>
        <v>811.04</v>
      </c>
      <c r="H41" s="228">
        <f t="shared" ref="H41:I41" si="15">SUM(H39:H40)</f>
        <v>811.04</v>
      </c>
      <c r="I41" s="228">
        <f t="shared" si="15"/>
        <v>811.04</v>
      </c>
      <c r="J41" s="228">
        <f t="shared" si="14"/>
        <v>973.88</v>
      </c>
      <c r="K41" s="228">
        <f t="shared" si="14"/>
        <v>969.74</v>
      </c>
      <c r="L41" s="228">
        <f t="shared" si="14"/>
        <v>1126.96</v>
      </c>
      <c r="M41" s="228">
        <f t="shared" si="14"/>
        <v>944.99</v>
      </c>
      <c r="N41" s="228">
        <f t="shared" si="14"/>
        <v>979.24</v>
      </c>
      <c r="O41" s="228">
        <f t="shared" si="14"/>
        <v>1232.4000000000001</v>
      </c>
      <c r="P41" s="228">
        <f>SUM(P39:P40)</f>
        <v>0</v>
      </c>
      <c r="Q41" s="228">
        <f>SUM(Q39:Q40)</f>
        <v>1042.6500000000001</v>
      </c>
      <c r="R41" s="228">
        <f t="array" ref="R41">AVERAGE(IF(C41:Q41&lt;&gt;0,C41:Q41,""))</f>
        <v>993.93384615384616</v>
      </c>
    </row>
    <row r="42" spans="1:20" x14ac:dyDescent="0.2"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</row>
    <row r="43" spans="1:20" x14ac:dyDescent="0.2">
      <c r="A43" s="192" t="s">
        <v>37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</row>
    <row r="44" spans="1:20" x14ac:dyDescent="0.2">
      <c r="B44" s="193" t="s">
        <v>35</v>
      </c>
      <c r="C44" s="228">
        <f t="shared" ref="C44:N44" si="16">24*(C13+C16+C27+C41)+2*C24</f>
        <v>30075.120000000003</v>
      </c>
      <c r="D44" s="228">
        <f t="shared" ref="D44" si="17">24*(D13+D16+D27+D41)+2*D24</f>
        <v>0</v>
      </c>
      <c r="E44" s="228">
        <f>24*(E13+E16+E27+E41)+2*E24</f>
        <v>26697.279999999999</v>
      </c>
      <c r="F44" s="228">
        <f t="shared" si="16"/>
        <v>24658.959999999999</v>
      </c>
      <c r="G44" s="228">
        <f t="shared" si="16"/>
        <v>21126.079999999998</v>
      </c>
      <c r="H44" s="228">
        <f t="shared" ref="H44:I44" si="18">24*(H13+H16+H27+H41)+2*H24</f>
        <v>20924.079999999998</v>
      </c>
      <c r="I44" s="228">
        <f t="shared" si="18"/>
        <v>20737.36</v>
      </c>
      <c r="J44" s="228">
        <f t="shared" si="16"/>
        <v>24749.239999999998</v>
      </c>
      <c r="K44" s="228">
        <f t="shared" si="16"/>
        <v>24893.760000000002</v>
      </c>
      <c r="L44" s="228">
        <f t="shared" si="16"/>
        <v>28657.199999999997</v>
      </c>
      <c r="M44" s="228">
        <f t="shared" si="16"/>
        <v>24378.420000000002</v>
      </c>
      <c r="N44" s="228">
        <f t="shared" si="16"/>
        <v>25059.120000000003</v>
      </c>
      <c r="O44" s="228">
        <f>24*(O13+O16+O27+O41)+2*O24</f>
        <v>31215.840000000004</v>
      </c>
      <c r="P44" s="228"/>
      <c r="Q44" s="228">
        <f>24*(Q13+Q16+Q27+Q41)+2*Q24</f>
        <v>26663.52</v>
      </c>
      <c r="R44" s="228">
        <f t="array" ref="R44">AVERAGE(IF(C44:Q44&lt;&gt;0,C44:Q44,""))</f>
        <v>25371.998461538467</v>
      </c>
    </row>
    <row r="45" spans="1:20" x14ac:dyDescent="0.2">
      <c r="B45" s="193" t="s">
        <v>28</v>
      </c>
      <c r="C45" s="228">
        <f>+C44/24</f>
        <v>1253.1300000000001</v>
      </c>
      <c r="D45" s="228">
        <f>+D44/24</f>
        <v>0</v>
      </c>
      <c r="E45" s="228">
        <f t="shared" ref="E45:N45" si="19">+E44/24</f>
        <v>1112.3866666666665</v>
      </c>
      <c r="F45" s="228">
        <f t="shared" si="19"/>
        <v>1027.4566666666667</v>
      </c>
      <c r="G45" s="228">
        <f t="shared" si="19"/>
        <v>880.25333333333322</v>
      </c>
      <c r="H45" s="228">
        <f t="shared" ref="H45:I45" si="20">+H44/24</f>
        <v>871.83666666666659</v>
      </c>
      <c r="I45" s="228">
        <f t="shared" si="20"/>
        <v>864.05666666666673</v>
      </c>
      <c r="J45" s="228">
        <f t="shared" si="19"/>
        <v>1031.2183333333332</v>
      </c>
      <c r="K45" s="228">
        <f t="shared" si="19"/>
        <v>1037.24</v>
      </c>
      <c r="L45" s="228">
        <f t="shared" si="19"/>
        <v>1194.05</v>
      </c>
      <c r="M45" s="228">
        <f t="shared" si="19"/>
        <v>1015.7675</v>
      </c>
      <c r="N45" s="228">
        <f t="shared" si="19"/>
        <v>1044.1300000000001</v>
      </c>
      <c r="O45" s="228">
        <f>+O44/24</f>
        <v>1300.6600000000001</v>
      </c>
      <c r="P45" s="228"/>
      <c r="Q45" s="228">
        <f t="shared" ref="Q45" si="21">+Q44/24</f>
        <v>1110.98</v>
      </c>
      <c r="R45" s="228">
        <f t="array" ref="R45">AVERAGE(IF(C45:Q45&lt;&gt;0,C45:Q45,""))</f>
        <v>1057.1666025641025</v>
      </c>
    </row>
    <row r="46" spans="1:20" x14ac:dyDescent="0.2">
      <c r="A46" s="174"/>
      <c r="B46" s="193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</row>
    <row r="47" spans="1:20" x14ac:dyDescent="0.2">
      <c r="A47" s="206" t="s">
        <v>264</v>
      </c>
    </row>
    <row r="48" spans="1:20" x14ac:dyDescent="0.2">
      <c r="A48" s="206" t="s">
        <v>266</v>
      </c>
    </row>
    <row r="49" spans="1:1" x14ac:dyDescent="0.2">
      <c r="A49" s="206" t="s">
        <v>278</v>
      </c>
    </row>
  </sheetData>
  <mergeCells count="1">
    <mergeCell ref="A1:S1"/>
  </mergeCells>
  <printOptions horizontalCentered="1"/>
  <pageMargins left="0" right="0" top="0.5" bottom="0.5" header="0.25" footer="0.25"/>
  <pageSetup paperSize="5" scale="72" orientation="landscape" r:id="rId1"/>
  <headerFooter alignWithMargins="0"/>
  <colBreaks count="1" manualBreakCount="1">
    <brk id="18" max="22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83"/>
  <sheetViews>
    <sheetView showZeros="0" zoomScaleNormal="100" zoomScaleSheetLayoutView="100" workbookViewId="0">
      <pane xSplit="19" ySplit="4" topLeftCell="T69" activePane="bottomRight" state="frozen"/>
      <selection pane="topRight" activeCell="R1" sqref="R1"/>
      <selection pane="bottomLeft" activeCell="A5" sqref="A5"/>
      <selection pane="bottomRight" activeCell="C71" sqref="C71"/>
    </sheetView>
  </sheetViews>
  <sheetFormatPr defaultColWidth="9.140625" defaultRowHeight="12.75" x14ac:dyDescent="0.2"/>
  <cols>
    <col min="1" max="1" width="12.7109375" style="194" customWidth="1"/>
    <col min="2" max="2" width="72.28515625" style="194" customWidth="1"/>
    <col min="3" max="3" width="11.140625" style="194" bestFit="1" customWidth="1"/>
    <col min="4" max="4" width="10.5703125" style="194" customWidth="1"/>
    <col min="5" max="7" width="11" style="194" bestFit="1" customWidth="1"/>
    <col min="8" max="9" width="10.5703125" style="194" customWidth="1"/>
    <col min="10" max="10" width="11" style="194" bestFit="1" customWidth="1"/>
    <col min="11" max="11" width="7.28515625" style="194" bestFit="1" customWidth="1"/>
    <col min="12" max="14" width="11" style="194" bestFit="1" customWidth="1"/>
    <col min="15" max="16" width="7.28515625" style="194" bestFit="1" customWidth="1"/>
    <col min="17" max="17" width="7" style="194" customWidth="1"/>
    <col min="18" max="18" width="11.140625" style="194" bestFit="1" customWidth="1"/>
    <col min="19" max="19" width="4.5703125" style="194" hidden="1" customWidth="1"/>
    <col min="20" max="20" width="9.140625" style="194"/>
    <col min="21" max="21" width="9.7109375" style="194" bestFit="1" customWidth="1"/>
    <col min="22" max="16384" width="9.140625" style="194"/>
  </cols>
  <sheetData>
    <row r="1" spans="1:23" ht="26.25" x14ac:dyDescent="0.4">
      <c r="A1" s="440" t="s">
        <v>310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</row>
    <row r="2" spans="1:23" ht="21" customHeight="1" x14ac:dyDescent="0.4">
      <c r="A2" s="225" t="s">
        <v>273</v>
      </c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191" t="s">
        <v>130</v>
      </c>
    </row>
    <row r="3" spans="1:23" ht="8.4499999999999993" customHeight="1" x14ac:dyDescent="0.4">
      <c r="A3" s="225"/>
      <c r="B3" s="226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91"/>
    </row>
    <row r="4" spans="1:23" x14ac:dyDescent="0.2">
      <c r="C4" s="423" t="s">
        <v>0</v>
      </c>
      <c r="D4" s="423" t="s">
        <v>309</v>
      </c>
      <c r="E4" s="423" t="s">
        <v>1</v>
      </c>
      <c r="F4" s="423" t="s">
        <v>2</v>
      </c>
      <c r="G4" s="423" t="s">
        <v>267</v>
      </c>
      <c r="H4" s="423" t="s">
        <v>276</v>
      </c>
      <c r="I4" s="423" t="s">
        <v>277</v>
      </c>
      <c r="J4" s="423" t="s">
        <v>4</v>
      </c>
      <c r="K4" s="423" t="s">
        <v>5</v>
      </c>
      <c r="L4" s="423" t="s">
        <v>6</v>
      </c>
      <c r="M4" s="423" t="s">
        <v>7</v>
      </c>
      <c r="N4" s="423" t="s">
        <v>8</v>
      </c>
      <c r="O4" s="423" t="s">
        <v>9</v>
      </c>
      <c r="P4" s="423" t="s">
        <v>10</v>
      </c>
      <c r="Q4" s="423" t="s">
        <v>308</v>
      </c>
      <c r="R4" s="423" t="s">
        <v>274</v>
      </c>
      <c r="S4" s="423" t="s">
        <v>11</v>
      </c>
    </row>
    <row r="5" spans="1:23" x14ac:dyDescent="0.2">
      <c r="A5" s="192" t="s">
        <v>12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</row>
    <row r="6" spans="1:23" x14ac:dyDescent="0.2">
      <c r="A6" s="192"/>
      <c r="B6" s="193" t="s">
        <v>13</v>
      </c>
      <c r="C6" s="228">
        <f>'Survey Template'!C144</f>
        <v>18.190000000000001</v>
      </c>
      <c r="D6" s="228">
        <f>'Survey Template'!D144</f>
        <v>0</v>
      </c>
      <c r="E6" s="228">
        <f>'Survey Template'!E144</f>
        <v>12.86</v>
      </c>
      <c r="F6" s="228">
        <f>'Survey Template'!F144</f>
        <v>10.5</v>
      </c>
      <c r="G6" s="228">
        <f>'Survey Template'!G144</f>
        <v>12.08</v>
      </c>
      <c r="H6" s="228">
        <f>'Survey Template'!H144</f>
        <v>25.63</v>
      </c>
      <c r="I6" s="228">
        <f>'Survey Template'!I144</f>
        <v>20.190000000000001</v>
      </c>
      <c r="J6" s="228">
        <f>'Survey Template'!J144</f>
        <v>12.32</v>
      </c>
      <c r="K6" s="228">
        <f>'Survey Template'!K144</f>
        <v>13.57</v>
      </c>
      <c r="L6" s="228">
        <f>'Survey Template'!L144</f>
        <v>11.67</v>
      </c>
      <c r="M6" s="228">
        <f>'Survey Template'!M144</f>
        <v>12.87</v>
      </c>
      <c r="N6" s="228">
        <f>'Survey Template'!N144</f>
        <v>14.47</v>
      </c>
      <c r="O6" s="228">
        <f>'Survey Template'!O144</f>
        <v>11.5</v>
      </c>
      <c r="P6" s="228">
        <f>'Survey Template'!P144</f>
        <v>16.84</v>
      </c>
      <c r="Q6" s="228">
        <f>'Survey Template'!Q144</f>
        <v>17.62</v>
      </c>
      <c r="R6" s="228">
        <f t="array" ref="R6">AVERAGE(IF(C6:Q6&lt;&gt;0,C6:Q6,""))</f>
        <v>15.022142857142855</v>
      </c>
      <c r="S6" s="229"/>
      <c r="W6" s="193"/>
    </row>
    <row r="7" spans="1:23" x14ac:dyDescent="0.2">
      <c r="A7" s="192"/>
      <c r="B7" s="193" t="s">
        <v>14</v>
      </c>
      <c r="C7" s="228">
        <f>'Survey Template'!C147</f>
        <v>1.9</v>
      </c>
      <c r="D7" s="228">
        <f>'Survey Template'!D147</f>
        <v>0</v>
      </c>
      <c r="E7" s="228">
        <f>'Survey Template'!E147</f>
        <v>7.9</v>
      </c>
      <c r="F7" s="228">
        <f>'Survey Template'!F147</f>
        <v>13.969999999999999</v>
      </c>
      <c r="G7" s="228">
        <f>'Survey Template'!G147</f>
        <v>14.46</v>
      </c>
      <c r="H7" s="228">
        <f>'Survey Template'!H147</f>
        <v>2.4500000000000002</v>
      </c>
      <c r="I7" s="228">
        <f>'Survey Template'!I147</f>
        <v>4.2300000000000004</v>
      </c>
      <c r="J7" s="228">
        <f>'Survey Template'!J147</f>
        <v>17.27</v>
      </c>
      <c r="K7" s="228">
        <f>'Survey Template'!K147</f>
        <v>20.93</v>
      </c>
      <c r="L7" s="228">
        <f>'Survey Template'!L147</f>
        <v>14.32</v>
      </c>
      <c r="M7" s="228">
        <f>'Survey Template'!M147</f>
        <v>14.1</v>
      </c>
      <c r="N7" s="228">
        <f>'Survey Template'!N147</f>
        <v>16.829999999999998</v>
      </c>
      <c r="O7" s="228">
        <f>'Survey Template'!O147</f>
        <v>13.54</v>
      </c>
      <c r="P7" s="228">
        <f>'Survey Template'!P147</f>
        <v>6.81</v>
      </c>
      <c r="Q7" s="228">
        <f>'Survey Template'!Q147</f>
        <v>14.12</v>
      </c>
      <c r="R7" s="228">
        <f t="array" ref="R7">AVERAGE(IF(C7:Q7&lt;&gt;0,C7:Q7,""))</f>
        <v>11.630714285714287</v>
      </c>
      <c r="S7" s="229"/>
      <c r="W7" s="193"/>
    </row>
    <row r="8" spans="1:23" x14ac:dyDescent="0.2">
      <c r="A8" s="192"/>
      <c r="B8" s="193" t="s">
        <v>113</v>
      </c>
      <c r="C8" s="228">
        <f>'Survey Template'!C148</f>
        <v>0</v>
      </c>
      <c r="D8" s="228">
        <f>'Survey Template'!D148</f>
        <v>0</v>
      </c>
      <c r="E8" s="228">
        <f>'Survey Template'!E148</f>
        <v>0</v>
      </c>
      <c r="F8" s="228">
        <f>'Survey Template'!F148</f>
        <v>0</v>
      </c>
      <c r="G8" s="228">
        <f>'Survey Template'!G148</f>
        <v>0</v>
      </c>
      <c r="H8" s="228">
        <f>'Survey Template'!H148</f>
        <v>0</v>
      </c>
      <c r="I8" s="228">
        <f>'Survey Template'!I148</f>
        <v>0</v>
      </c>
      <c r="J8" s="228">
        <f>'Survey Template'!J148</f>
        <v>0</v>
      </c>
      <c r="K8" s="228">
        <f>'Survey Template'!K148</f>
        <v>0</v>
      </c>
      <c r="L8" s="228">
        <f>'Survey Template'!L148</f>
        <v>0</v>
      </c>
      <c r="M8" s="228">
        <f>'Survey Template'!M148</f>
        <v>2</v>
      </c>
      <c r="N8" s="228">
        <f>'Survey Template'!N148</f>
        <v>2</v>
      </c>
      <c r="O8" s="228">
        <f>'Survey Template'!O148</f>
        <v>4</v>
      </c>
      <c r="P8" s="228">
        <f>'Survey Template'!P148</f>
        <v>0</v>
      </c>
      <c r="Q8" s="228"/>
      <c r="R8" s="228">
        <f t="array" ref="R8">AVERAGE(IF(C8:Q8&lt;&gt;0,C8:Q8,""))</f>
        <v>2.6666666666666665</v>
      </c>
      <c r="W8" s="193"/>
    </row>
    <row r="9" spans="1:23" x14ac:dyDescent="0.2">
      <c r="A9" s="192"/>
      <c r="B9" s="193" t="s">
        <v>15</v>
      </c>
      <c r="C9" s="228">
        <f>'Survey Template'!C152</f>
        <v>14.93</v>
      </c>
      <c r="D9" s="228">
        <f>'Survey Template'!D152</f>
        <v>0</v>
      </c>
      <c r="E9" s="228">
        <f>'Survey Template'!E152</f>
        <v>13.97</v>
      </c>
      <c r="F9" s="228">
        <f>'Survey Template'!F152</f>
        <v>6.91</v>
      </c>
      <c r="G9" s="228">
        <f>'Survey Template'!G152</f>
        <v>9.94</v>
      </c>
      <c r="H9" s="228">
        <f>'Survey Template'!H152</f>
        <v>4.9000000000000004</v>
      </c>
      <c r="I9" s="228">
        <f>'Survey Template'!I152</f>
        <v>4.03</v>
      </c>
      <c r="J9" s="228">
        <f>'Survey Template'!J152</f>
        <v>9.42</v>
      </c>
      <c r="K9" s="228">
        <f>'Survey Template'!K152</f>
        <v>7.52</v>
      </c>
      <c r="L9" s="228">
        <f>'Survey Template'!L152</f>
        <v>10.84</v>
      </c>
      <c r="M9" s="228">
        <f>'Survey Template'!M152</f>
        <v>0</v>
      </c>
      <c r="N9" s="228">
        <f>'Survey Template'!N152</f>
        <v>10.25</v>
      </c>
      <c r="O9" s="228">
        <f>'Survey Template'!O152</f>
        <v>9.24</v>
      </c>
      <c r="P9" s="228">
        <f>'Survey Template'!P152</f>
        <v>5.61</v>
      </c>
      <c r="Q9" s="228">
        <f>'Survey Template'!Q152</f>
        <v>9.58</v>
      </c>
      <c r="R9" s="228">
        <f t="array" ref="R9">AVERAGE(IF(C9:Q9&lt;&gt;0,C9:Q9,""))</f>
        <v>9.0107692307692293</v>
      </c>
      <c r="W9" s="193"/>
    </row>
    <row r="10" spans="1:23" x14ac:dyDescent="0.2">
      <c r="B10" s="203" t="s">
        <v>144</v>
      </c>
      <c r="C10" s="230">
        <f>'Survey Template'!C155</f>
        <v>8.91</v>
      </c>
      <c r="D10" s="230">
        <f>'Survey Template'!D155</f>
        <v>0</v>
      </c>
      <c r="E10" s="230">
        <f>'Survey Template'!E155</f>
        <v>8.9</v>
      </c>
      <c r="F10" s="230">
        <f>'Survey Template'!F155</f>
        <v>0</v>
      </c>
      <c r="G10" s="230">
        <f>'Survey Template'!G155</f>
        <v>3</v>
      </c>
      <c r="H10" s="230">
        <f>'Survey Template'!H155</f>
        <v>2.25</v>
      </c>
      <c r="I10" s="230">
        <f>'Survey Template'!I155</f>
        <v>0</v>
      </c>
      <c r="J10" s="230">
        <f>'Survey Template'!J155</f>
        <v>0</v>
      </c>
      <c r="K10" s="230">
        <f>'Survey Template'!K155</f>
        <v>8</v>
      </c>
      <c r="L10" s="230">
        <f>'Survey Template'!L155</f>
        <v>9.1</v>
      </c>
      <c r="M10" s="230">
        <f>'Survey Template'!M155</f>
        <v>0</v>
      </c>
      <c r="N10" s="230">
        <f>'Survey Template'!N155</f>
        <v>4.08</v>
      </c>
      <c r="O10" s="230">
        <f>'Survey Template'!O155</f>
        <v>8.6999999999999993</v>
      </c>
      <c r="P10" s="230">
        <f>'Survey Template'!P155</f>
        <v>0</v>
      </c>
      <c r="Q10" s="230">
        <f>'Survey Template'!Q155</f>
        <v>3</v>
      </c>
      <c r="R10" s="228">
        <f t="array" ref="R10">AVERAGE(IF(C10:Q10&lt;&gt;0,C10:Q10,""))</f>
        <v>6.2155555555555555</v>
      </c>
      <c r="W10" s="203"/>
    </row>
    <row r="11" spans="1:23" x14ac:dyDescent="0.2">
      <c r="B11" s="203" t="s">
        <v>227</v>
      </c>
      <c r="C11" s="230">
        <f>'Survey Template'!C159</f>
        <v>0</v>
      </c>
      <c r="D11" s="230">
        <f>'Survey Template'!D159</f>
        <v>0</v>
      </c>
      <c r="E11" s="230">
        <f>'Survey Template'!E159</f>
        <v>0</v>
      </c>
      <c r="F11" s="230">
        <f>'Survey Template'!F159</f>
        <v>0</v>
      </c>
      <c r="G11" s="230">
        <f>'Survey Template'!G159</f>
        <v>1</v>
      </c>
      <c r="H11" s="230">
        <f>'Survey Template'!H159</f>
        <v>1</v>
      </c>
      <c r="I11" s="230">
        <f>'Survey Template'!I159</f>
        <v>0</v>
      </c>
      <c r="J11" s="230">
        <f>'Survey Template'!J159</f>
        <v>0</v>
      </c>
      <c r="K11" s="230">
        <f>'Survey Template'!K159</f>
        <v>0.75</v>
      </c>
      <c r="L11" s="230">
        <f>'Survey Template'!L159</f>
        <v>0</v>
      </c>
      <c r="M11" s="230">
        <f>'Survey Template'!M159</f>
        <v>0</v>
      </c>
      <c r="N11" s="230">
        <f>'Survey Template'!N159</f>
        <v>0</v>
      </c>
      <c r="O11" s="230">
        <f>'Survey Template'!O159</f>
        <v>0</v>
      </c>
      <c r="P11" s="230">
        <f>'Survey Template'!P159</f>
        <v>1</v>
      </c>
      <c r="Q11" s="230">
        <f>'Survey Template'!Q159</f>
        <v>0</v>
      </c>
      <c r="R11" s="228">
        <f t="array" ref="R11">AVERAGE(IF(C11:Q11&lt;&gt;0,C11:Q11,""))</f>
        <v>0.9375</v>
      </c>
      <c r="W11" s="203"/>
    </row>
    <row r="12" spans="1:23" ht="39.6" customHeight="1" thickBot="1" x14ac:dyDescent="0.25">
      <c r="A12" s="192"/>
      <c r="B12" s="212" t="s">
        <v>298</v>
      </c>
      <c r="C12" s="231">
        <f>'Survey Template'!C204</f>
        <v>0</v>
      </c>
      <c r="D12" s="231">
        <f>'Survey Template'!D204</f>
        <v>0</v>
      </c>
      <c r="E12" s="231">
        <f>'Survey Template'!E206</f>
        <v>2</v>
      </c>
      <c r="F12" s="231">
        <f>'Survey Template'!F204</f>
        <v>0</v>
      </c>
      <c r="G12" s="231">
        <f>'Survey Template'!G206</f>
        <v>1.5</v>
      </c>
      <c r="H12" s="231">
        <f>'Survey Template'!H204</f>
        <v>0</v>
      </c>
      <c r="I12" s="231">
        <f>'Survey Template'!I204</f>
        <v>0</v>
      </c>
      <c r="J12" s="231">
        <f>'Survey Template'!J204</f>
        <v>0</v>
      </c>
      <c r="K12" s="231">
        <f>'Survey Template'!K204</f>
        <v>0</v>
      </c>
      <c r="L12" s="231">
        <f>'Survey Template'!L204</f>
        <v>0</v>
      </c>
      <c r="M12" s="231">
        <f>'Survey Template'!M204</f>
        <v>0</v>
      </c>
      <c r="N12" s="231">
        <f>'Survey Template'!N204+'Survey Template'!N160</f>
        <v>5.25</v>
      </c>
      <c r="O12" s="231">
        <f>'Survey Template'!O204</f>
        <v>0</v>
      </c>
      <c r="P12" s="231"/>
      <c r="Q12" s="231"/>
      <c r="R12" s="228">
        <f t="array" ref="R12">AVERAGE(IF(C12:Q12&lt;&gt;0,C12:Q12,""))</f>
        <v>2.9166666666666665</v>
      </c>
      <c r="U12" s="228"/>
      <c r="W12" s="212"/>
    </row>
    <row r="13" spans="1:23" x14ac:dyDescent="0.2">
      <c r="B13" s="210" t="s">
        <v>17</v>
      </c>
      <c r="C13" s="228">
        <f>SUM(C6:C12)</f>
        <v>43.929999999999993</v>
      </c>
      <c r="D13" s="228">
        <f>SUM(D6:D12)</f>
        <v>0</v>
      </c>
      <c r="E13" s="228">
        <f>SUM(E6:E12)</f>
        <v>45.629999999999995</v>
      </c>
      <c r="F13" s="228">
        <f t="shared" ref="F13:O13" si="0">SUM(F6:F12)</f>
        <v>31.38</v>
      </c>
      <c r="G13" s="228">
        <f>SUM(G6:G12)</f>
        <v>41.98</v>
      </c>
      <c r="H13" s="228">
        <f t="shared" ref="H13:I13" si="1">SUM(H6:H12)</f>
        <v>36.229999999999997</v>
      </c>
      <c r="I13" s="228">
        <f t="shared" si="1"/>
        <v>28.450000000000003</v>
      </c>
      <c r="J13" s="228">
        <f>SUM(J6:J12)</f>
        <v>39.01</v>
      </c>
      <c r="K13" s="228">
        <f>SUM(K6:K12)</f>
        <v>50.769999999999996</v>
      </c>
      <c r="L13" s="228">
        <f t="shared" si="0"/>
        <v>45.93</v>
      </c>
      <c r="M13" s="228">
        <f t="shared" si="0"/>
        <v>28.97</v>
      </c>
      <c r="N13" s="228">
        <f>SUM(N6:N12)</f>
        <v>52.879999999999995</v>
      </c>
      <c r="O13" s="228">
        <f t="shared" si="0"/>
        <v>46.980000000000004</v>
      </c>
      <c r="P13" s="228">
        <f>SUM(P6:P12)</f>
        <v>30.259999999999998</v>
      </c>
      <c r="Q13" s="228">
        <f>SUM(Q6:Q12)</f>
        <v>44.32</v>
      </c>
      <c r="R13" s="228">
        <f t="array" ref="R13">AVERAGE(IF(C13:Q13&lt;&gt;0,C13:Q13,""))</f>
        <v>40.480000000000004</v>
      </c>
      <c r="U13" s="228"/>
      <c r="W13" s="210"/>
    </row>
    <row r="14" spans="1:23" ht="7.5" customHeight="1" x14ac:dyDescent="0.2">
      <c r="B14" s="210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</row>
    <row r="15" spans="1:23" x14ac:dyDescent="0.2">
      <c r="B15" s="193" t="s">
        <v>189</v>
      </c>
      <c r="C15" s="228">
        <f>'Survey Template'!C171</f>
        <v>5.25</v>
      </c>
      <c r="D15" s="228"/>
      <c r="E15" s="228">
        <f>'Survey Template'!E171</f>
        <v>5.25</v>
      </c>
      <c r="F15" s="228">
        <f>'Survey Template'!F171</f>
        <v>18.98</v>
      </c>
      <c r="G15" s="228">
        <f>'Survey Template'!G171</f>
        <v>0</v>
      </c>
      <c r="H15" s="228">
        <f>'Survey Template'!H171</f>
        <v>0</v>
      </c>
      <c r="I15" s="228">
        <f>'Survey Template'!I171</f>
        <v>0</v>
      </c>
      <c r="J15" s="228">
        <f>'Survey Template'!J171</f>
        <v>0</v>
      </c>
      <c r="K15" s="228">
        <f>'Survey Template'!K171</f>
        <v>0</v>
      </c>
      <c r="L15" s="228">
        <f>'Survey Template'!L171</f>
        <v>0</v>
      </c>
      <c r="M15" s="228">
        <f>'Survey Template'!M171</f>
        <v>29.67</v>
      </c>
      <c r="N15" s="228">
        <f>'Survey Template'!N171</f>
        <v>0</v>
      </c>
      <c r="O15" s="228">
        <f>'Survey Template'!O171</f>
        <v>0</v>
      </c>
      <c r="P15" s="228">
        <f>'Survey Template'!P171</f>
        <v>0</v>
      </c>
      <c r="Q15" s="228"/>
      <c r="R15" s="228">
        <f t="array" ref="R15">AVERAGE(IF(C15:Q15&lt;&gt;0,C15:Q15,""))</f>
        <v>14.787500000000001</v>
      </c>
      <c r="U15" s="228"/>
    </row>
    <row r="16" spans="1:23" x14ac:dyDescent="0.2">
      <c r="B16" s="193" t="s">
        <v>190</v>
      </c>
      <c r="C16" s="228">
        <f>'Survey Template'!C173</f>
        <v>0</v>
      </c>
      <c r="D16" s="228">
        <f>'Survey Template'!D173</f>
        <v>0</v>
      </c>
      <c r="E16" s="228">
        <f>'Survey Template'!E173</f>
        <v>0</v>
      </c>
      <c r="F16" s="228">
        <f>'Survey Template'!F173</f>
        <v>0</v>
      </c>
      <c r="G16" s="228">
        <f>'Survey Template'!G173</f>
        <v>0</v>
      </c>
      <c r="H16" s="228">
        <f>'Survey Template'!H173</f>
        <v>0</v>
      </c>
      <c r="I16" s="228">
        <f>'Survey Template'!I173</f>
        <v>0</v>
      </c>
      <c r="J16" s="228">
        <f>'Survey Template'!J173</f>
        <v>0</v>
      </c>
      <c r="K16" s="228">
        <f>'Survey Template'!K173</f>
        <v>0</v>
      </c>
      <c r="L16" s="228">
        <f>'Survey Template'!L173</f>
        <v>0</v>
      </c>
      <c r="M16" s="228">
        <f>'Survey Template'!M173</f>
        <v>33.25</v>
      </c>
      <c r="N16" s="228">
        <f>'Survey Template'!N173</f>
        <v>0</v>
      </c>
      <c r="O16" s="228">
        <f>'Survey Template'!O173</f>
        <v>0</v>
      </c>
      <c r="P16" s="228">
        <f>'Survey Template'!P173</f>
        <v>0</v>
      </c>
      <c r="Q16" s="228"/>
      <c r="R16" s="228">
        <f t="array" ref="R16">AVERAGE(IF(C16:Q16&lt;&gt;0,C16:Q16,""))</f>
        <v>33.25</v>
      </c>
      <c r="W16" s="218"/>
    </row>
    <row r="17" spans="1:23" x14ac:dyDescent="0.2">
      <c r="B17" s="203" t="s">
        <v>193</v>
      </c>
      <c r="C17" s="230">
        <f>'Survey Template'!C172</f>
        <v>0</v>
      </c>
      <c r="D17" s="230">
        <f>'Survey Template'!D172</f>
        <v>0</v>
      </c>
      <c r="E17" s="230">
        <f>'Survey Template'!E172</f>
        <v>0</v>
      </c>
      <c r="F17" s="230">
        <f>'Survey Template'!F172</f>
        <v>0</v>
      </c>
      <c r="G17" s="230">
        <f>'Survey Template'!G172</f>
        <v>0</v>
      </c>
      <c r="H17" s="230">
        <f>'Survey Template'!H172</f>
        <v>0</v>
      </c>
      <c r="I17" s="230">
        <f>'Survey Template'!I172</f>
        <v>0</v>
      </c>
      <c r="J17" s="230">
        <f>'Survey Template'!J172</f>
        <v>0</v>
      </c>
      <c r="K17" s="230">
        <f>'Survey Template'!K172</f>
        <v>0</v>
      </c>
      <c r="L17" s="230">
        <f>'Survey Template'!L172</f>
        <v>14.4</v>
      </c>
      <c r="M17" s="230">
        <f>'Survey Template'!M172</f>
        <v>28.98</v>
      </c>
      <c r="N17" s="230">
        <f>'Survey Template'!N172</f>
        <v>0</v>
      </c>
      <c r="O17" s="230">
        <f>'Survey Template'!O172</f>
        <v>0</v>
      </c>
      <c r="P17" s="230">
        <f>'Survey Template'!P172</f>
        <v>0</v>
      </c>
      <c r="Q17" s="230"/>
      <c r="R17" s="228">
        <f t="array" ref="R17">AVERAGE(IF(C17:Q17&lt;&gt;0,C17:Q17,""))</f>
        <v>21.69</v>
      </c>
      <c r="W17" s="193"/>
    </row>
    <row r="18" spans="1:23" x14ac:dyDescent="0.2">
      <c r="B18" s="203" t="s">
        <v>314</v>
      </c>
      <c r="C18" s="230"/>
      <c r="D18" s="230"/>
      <c r="E18" s="230">
        <f>'T&amp;F-All'!E32</f>
        <v>189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28"/>
      <c r="W18" s="193"/>
    </row>
    <row r="19" spans="1:23" ht="6.95" customHeight="1" x14ac:dyDescent="0.2">
      <c r="B19" s="193"/>
      <c r="C19" s="228"/>
      <c r="D19" s="228"/>
      <c r="E19" s="228"/>
      <c r="F19" s="228"/>
      <c r="G19" s="230"/>
      <c r="H19" s="230"/>
      <c r="I19" s="230"/>
      <c r="J19" s="228"/>
      <c r="K19" s="228"/>
      <c r="L19" s="228"/>
      <c r="M19" s="228"/>
      <c r="N19" s="228"/>
      <c r="O19" s="228"/>
      <c r="P19" s="228"/>
      <c r="Q19" s="228"/>
      <c r="R19" s="228"/>
      <c r="W19" s="193"/>
    </row>
    <row r="20" spans="1:23" x14ac:dyDescent="0.2">
      <c r="A20" s="192" t="s">
        <v>18</v>
      </c>
      <c r="B20" s="193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W20" s="193"/>
    </row>
    <row r="21" spans="1:23" x14ac:dyDescent="0.2">
      <c r="B21" s="193" t="s">
        <v>13</v>
      </c>
      <c r="C21" s="228">
        <f>'Survey Template'!C145</f>
        <v>0</v>
      </c>
      <c r="D21" s="228">
        <f>'Survey Template'!D145</f>
        <v>0</v>
      </c>
      <c r="E21" s="228">
        <f>'Survey Template'!E145</f>
        <v>0</v>
      </c>
      <c r="F21" s="228">
        <f>'Survey Template'!F145</f>
        <v>0</v>
      </c>
      <c r="G21" s="228">
        <f>'Survey Template'!G145</f>
        <v>7</v>
      </c>
      <c r="H21" s="228">
        <f>'Survey Template'!H145</f>
        <v>0</v>
      </c>
      <c r="I21" s="228">
        <f>'Survey Template'!I145</f>
        <v>0</v>
      </c>
      <c r="J21" s="228">
        <f>'Survey Template'!J145</f>
        <v>0</v>
      </c>
      <c r="K21" s="228">
        <f>'Survey Template'!K145</f>
        <v>0</v>
      </c>
      <c r="L21" s="228">
        <f>'Survey Template'!L145</f>
        <v>0</v>
      </c>
      <c r="M21" s="228">
        <f>'Survey Template'!M145</f>
        <v>0</v>
      </c>
      <c r="N21" s="228">
        <f>'Survey Template'!N145</f>
        <v>0</v>
      </c>
      <c r="O21" s="228">
        <f>'Survey Template'!O145</f>
        <v>0</v>
      </c>
      <c r="P21" s="228">
        <f>'Survey Template'!P145</f>
        <v>0</v>
      </c>
      <c r="Q21" s="228">
        <f>'Survey Template'!Q145</f>
        <v>0</v>
      </c>
      <c r="R21" s="228">
        <f t="array" ref="R21">AVERAGE(IF(C21:Q21&lt;&gt;0,C21:Q21,""))</f>
        <v>7</v>
      </c>
      <c r="W21" s="203"/>
    </row>
    <row r="22" spans="1:23" x14ac:dyDescent="0.2">
      <c r="B22" s="193" t="s">
        <v>14</v>
      </c>
      <c r="C22" s="228">
        <f>'Survey Template'!C150</f>
        <v>0</v>
      </c>
      <c r="D22" s="228">
        <f>'Survey Template'!D150</f>
        <v>0</v>
      </c>
      <c r="E22" s="228">
        <f>'Survey Template'!E150</f>
        <v>0</v>
      </c>
      <c r="F22" s="228">
        <f>'Survey Template'!F150</f>
        <v>0</v>
      </c>
      <c r="G22" s="228">
        <f>'Survey Template'!G150</f>
        <v>10</v>
      </c>
      <c r="H22" s="228">
        <f>'Survey Template'!H150</f>
        <v>5</v>
      </c>
      <c r="I22" s="228">
        <f>'Survey Template'!I150</f>
        <v>5</v>
      </c>
      <c r="J22" s="228">
        <f>'Survey Template'!J150</f>
        <v>0</v>
      </c>
      <c r="K22" s="228">
        <f>'Survey Template'!K150</f>
        <v>0</v>
      </c>
      <c r="L22" s="228">
        <f>'Survey Template'!L150</f>
        <v>0</v>
      </c>
      <c r="M22" s="228">
        <f>'Survey Template'!M150</f>
        <v>10</v>
      </c>
      <c r="N22" s="228">
        <f>'Survey Template'!N150</f>
        <v>0</v>
      </c>
      <c r="O22" s="228">
        <f>'Survey Template'!O150</f>
        <v>0</v>
      </c>
      <c r="P22" s="228">
        <f>'Survey Template'!P150</f>
        <v>0</v>
      </c>
      <c r="Q22" s="228">
        <f>'Survey Template'!Q150</f>
        <v>0</v>
      </c>
      <c r="R22" s="228">
        <f t="array" ref="R22">AVERAGE(IF(C22:Q22&lt;&gt;0,C22:Q22,""))</f>
        <v>7.5</v>
      </c>
      <c r="W22" s="193"/>
    </row>
    <row r="23" spans="1:23" x14ac:dyDescent="0.2">
      <c r="B23" s="193" t="s">
        <v>15</v>
      </c>
      <c r="C23" s="228">
        <f>'Survey Template'!C153</f>
        <v>0</v>
      </c>
      <c r="D23" s="228">
        <f>'Survey Template'!D153</f>
        <v>0</v>
      </c>
      <c r="E23" s="228">
        <f>'Survey Template'!E153</f>
        <v>0</v>
      </c>
      <c r="F23" s="228">
        <f>'Survey Template'!F153</f>
        <v>0</v>
      </c>
      <c r="G23" s="228">
        <f>'Survey Template'!G153</f>
        <v>0</v>
      </c>
      <c r="H23" s="228">
        <f>'Survey Template'!H153</f>
        <v>0</v>
      </c>
      <c r="I23" s="228">
        <f>'Survey Template'!I153</f>
        <v>0</v>
      </c>
      <c r="J23" s="228">
        <f>'Survey Template'!J153</f>
        <v>0</v>
      </c>
      <c r="K23" s="228">
        <f>'Survey Template'!K153</f>
        <v>0</v>
      </c>
      <c r="L23" s="228">
        <f>'Survey Template'!L153</f>
        <v>0</v>
      </c>
      <c r="M23" s="228">
        <f>'Survey Template'!M153</f>
        <v>93.69</v>
      </c>
      <c r="N23" s="228">
        <f>'Survey Template'!N153</f>
        <v>0</v>
      </c>
      <c r="O23" s="228">
        <f>'Survey Template'!O153</f>
        <v>0</v>
      </c>
      <c r="P23" s="228">
        <f>'Survey Template'!P153</f>
        <v>0</v>
      </c>
      <c r="Q23" s="228">
        <f>'Survey Template'!Q153</f>
        <v>0</v>
      </c>
      <c r="R23" s="228">
        <f t="array" ref="R23">AVERAGE(IF(C23:Q23&lt;&gt;0,C23:Q23,""))</f>
        <v>93.69</v>
      </c>
      <c r="W23" s="210"/>
    </row>
    <row r="24" spans="1:23" x14ac:dyDescent="0.2">
      <c r="B24" s="203" t="s">
        <v>16</v>
      </c>
      <c r="C24" s="230">
        <f>'Survey Template'!C156</f>
        <v>0</v>
      </c>
      <c r="D24" s="230">
        <f>'Survey Template'!D156</f>
        <v>0</v>
      </c>
      <c r="E24" s="230">
        <f>'Survey Template'!E156</f>
        <v>0</v>
      </c>
      <c r="F24" s="230">
        <f>'Survey Template'!F156</f>
        <v>65</v>
      </c>
      <c r="G24" s="230">
        <f>'Survey Template'!G156</f>
        <v>0</v>
      </c>
      <c r="H24" s="230">
        <f>'Survey Template'!H156</f>
        <v>0</v>
      </c>
      <c r="I24" s="230">
        <f>'Survey Template'!I156</f>
        <v>0</v>
      </c>
      <c r="J24" s="230">
        <f>'Survey Template'!J156</f>
        <v>76.900000000000006</v>
      </c>
      <c r="K24" s="230">
        <f>'Survey Template'!K156</f>
        <v>0</v>
      </c>
      <c r="L24" s="230">
        <f>'Survey Template'!L156</f>
        <v>0</v>
      </c>
      <c r="M24" s="228">
        <f>'Survey Template'!M156</f>
        <v>89</v>
      </c>
      <c r="N24" s="230">
        <f>'Survey Template'!N156</f>
        <v>0</v>
      </c>
      <c r="O24" s="230">
        <f>'Survey Template'!O156</f>
        <v>0</v>
      </c>
      <c r="P24" s="230">
        <f>'Survey Template'!P156</f>
        <v>0</v>
      </c>
      <c r="Q24" s="230">
        <f>'Survey Template'!Q156</f>
        <v>0</v>
      </c>
      <c r="R24" s="228">
        <f t="array" ref="R24">AVERAGE(IF(C24:Q24&lt;&gt;0,C24:Q24,""))</f>
        <v>76.966666666666669</v>
      </c>
      <c r="W24" s="203"/>
    </row>
    <row r="25" spans="1:23" ht="13.5" thickBot="1" x14ac:dyDescent="0.25">
      <c r="A25" s="192"/>
      <c r="B25" s="193" t="s">
        <v>271</v>
      </c>
      <c r="C25" s="231">
        <f>'Survey Template'!C203</f>
        <v>0</v>
      </c>
      <c r="D25" s="231">
        <f>'Survey Template'!D203</f>
        <v>0</v>
      </c>
      <c r="E25" s="231">
        <f>'Survey Template'!E205</f>
        <v>20</v>
      </c>
      <c r="F25" s="231">
        <f>'Survey Template'!F203</f>
        <v>0</v>
      </c>
      <c r="G25" s="231">
        <f>'Survey Template'!G205</f>
        <v>20</v>
      </c>
      <c r="H25" s="231">
        <f>'Survey Template'!H203</f>
        <v>0</v>
      </c>
      <c r="I25" s="231">
        <f>'Survey Template'!I203</f>
        <v>0</v>
      </c>
      <c r="J25" s="231">
        <f>'Survey Template'!J203</f>
        <v>0</v>
      </c>
      <c r="K25" s="231">
        <f>'Survey Template'!K203</f>
        <v>0</v>
      </c>
      <c r="L25" s="231">
        <f>'Survey Template'!L203</f>
        <v>0</v>
      </c>
      <c r="M25" s="231">
        <f>'Survey Template'!M203</f>
        <v>0</v>
      </c>
      <c r="N25" s="231">
        <f>'Survey Template'!N203</f>
        <v>0</v>
      </c>
      <c r="O25" s="231">
        <f>'Survey Template'!O203</f>
        <v>0</v>
      </c>
      <c r="P25" s="231">
        <f>'Survey Template'!P203</f>
        <v>0</v>
      </c>
      <c r="Q25" s="231">
        <f>'Survey Template'!Q203</f>
        <v>0</v>
      </c>
      <c r="R25" s="228"/>
      <c r="W25" s="219"/>
    </row>
    <row r="26" spans="1:23" x14ac:dyDescent="0.2">
      <c r="B26" s="210" t="s">
        <v>17</v>
      </c>
      <c r="C26" s="228">
        <f>SUM(C21:C25)</f>
        <v>0</v>
      </c>
      <c r="D26" s="228"/>
      <c r="E26" s="228">
        <f>SUM(E21:E25)</f>
        <v>20</v>
      </c>
      <c r="F26" s="228">
        <f>SUM(F21:F25)</f>
        <v>65</v>
      </c>
      <c r="G26" s="228">
        <f>SUM(G21:G25)</f>
        <v>37</v>
      </c>
      <c r="H26" s="228">
        <f t="shared" ref="H26:I26" si="2">SUM(H21:H25)</f>
        <v>5</v>
      </c>
      <c r="I26" s="228">
        <f t="shared" si="2"/>
        <v>5</v>
      </c>
      <c r="J26" s="228">
        <f>SUM(J21:J25)</f>
        <v>76.900000000000006</v>
      </c>
      <c r="K26" s="228">
        <f t="shared" ref="K26:L26" si="3">SUM(K21:K25)</f>
        <v>0</v>
      </c>
      <c r="L26" s="228">
        <f t="shared" si="3"/>
        <v>0</v>
      </c>
      <c r="M26" s="228">
        <f>SUM(M21:M25)</f>
        <v>192.69</v>
      </c>
      <c r="N26" s="228">
        <f t="shared" ref="N26:P26" si="4">SUM(N21:N25)</f>
        <v>0</v>
      </c>
      <c r="O26" s="228">
        <f t="shared" si="4"/>
        <v>0</v>
      </c>
      <c r="P26" s="228">
        <f t="shared" si="4"/>
        <v>0</v>
      </c>
      <c r="Q26" s="228">
        <f>SUM(Q21:Q25)</f>
        <v>0</v>
      </c>
      <c r="R26" s="228">
        <f t="array" ref="R26">AVERAGE(IF(C26:Q26&lt;&gt;0,C26:Q26,""))</f>
        <v>57.370000000000005</v>
      </c>
      <c r="W26" s="193"/>
    </row>
    <row r="27" spans="1:23" ht="7.5" customHeight="1" x14ac:dyDescent="0.2">
      <c r="B27" s="203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28"/>
    </row>
    <row r="28" spans="1:23" x14ac:dyDescent="0.2">
      <c r="A28" s="192" t="s">
        <v>182</v>
      </c>
      <c r="B28" s="191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</row>
    <row r="29" spans="1:23" x14ac:dyDescent="0.2">
      <c r="B29" s="193" t="s">
        <v>191</v>
      </c>
      <c r="C29" s="230">
        <f>'Survey Template'!C187</f>
        <v>0</v>
      </c>
      <c r="D29" s="230"/>
      <c r="E29" s="230">
        <f>'Survey Template'!E189</f>
        <v>1642.68</v>
      </c>
      <c r="F29" s="230">
        <f>'Survey Template'!F187</f>
        <v>0</v>
      </c>
      <c r="G29" s="230">
        <f>'Survey Template'!G189</f>
        <v>1633.68</v>
      </c>
      <c r="H29" s="230">
        <f>'Survey Template'!H187+'Survey Template'!H175</f>
        <v>0</v>
      </c>
      <c r="I29" s="230">
        <f>'Survey Template'!I187+'Survey Template'!I175</f>
        <v>0</v>
      </c>
      <c r="J29" s="230">
        <f>'Survey Template'!J189</f>
        <v>1746.24</v>
      </c>
      <c r="K29" s="230">
        <f>'Survey Template'!K187</f>
        <v>0</v>
      </c>
      <c r="L29" s="230">
        <f>'T&amp;F-All'!L30</f>
        <v>2043.6</v>
      </c>
      <c r="M29" s="230">
        <f>'Survey Template'!M187</f>
        <v>0</v>
      </c>
      <c r="N29" s="230">
        <f>'Survey Template'!N187</f>
        <v>0</v>
      </c>
      <c r="O29" s="230">
        <f>'Survey Template'!O187</f>
        <v>0</v>
      </c>
      <c r="P29" s="230">
        <f>'Survey Template'!P187</f>
        <v>0</v>
      </c>
      <c r="Q29" s="230"/>
      <c r="R29" s="228"/>
    </row>
    <row r="30" spans="1:23" x14ac:dyDescent="0.2">
      <c r="A30" s="192"/>
      <c r="B30" s="193" t="s">
        <v>192</v>
      </c>
      <c r="C30" s="230">
        <f>'Survey Template'!C188</f>
        <v>0</v>
      </c>
      <c r="D30" s="230"/>
      <c r="E30" s="230">
        <f>'Survey Template'!E190</f>
        <v>1642.68</v>
      </c>
      <c r="F30" s="230">
        <f>'Survey Template'!F188</f>
        <v>0</v>
      </c>
      <c r="G30" s="230">
        <f>'Survey Template'!G190</f>
        <v>1633.68</v>
      </c>
      <c r="H30" s="230">
        <f>'Survey Template'!H188+'Survey Template'!H175</f>
        <v>0</v>
      </c>
      <c r="I30" s="230">
        <f>'Survey Template'!I188+'Survey Template'!I175</f>
        <v>0</v>
      </c>
      <c r="J30" s="230">
        <f>'Survey Template'!J190</f>
        <v>1746.24</v>
      </c>
      <c r="K30" s="230">
        <f>'Survey Template'!K188</f>
        <v>0</v>
      </c>
      <c r="L30" s="230">
        <f>'T&amp;F-All'!L31</f>
        <v>2043.6</v>
      </c>
      <c r="M30" s="230">
        <f>'Survey Template'!M188</f>
        <v>0</v>
      </c>
      <c r="N30" s="230">
        <f>'Survey Template'!N188</f>
        <v>0</v>
      </c>
      <c r="O30" s="230">
        <f>'Survey Template'!O188</f>
        <v>0</v>
      </c>
      <c r="P30" s="230">
        <f>'Survey Template'!P188</f>
        <v>0</v>
      </c>
      <c r="Q30" s="230"/>
      <c r="R30" s="228"/>
    </row>
    <row r="31" spans="1:23" x14ac:dyDescent="0.2">
      <c r="A31" s="233"/>
      <c r="B31" s="203" t="s">
        <v>233</v>
      </c>
      <c r="C31" s="230">
        <f>'Survey Template'!C175*0</f>
        <v>0</v>
      </c>
      <c r="D31" s="230"/>
      <c r="E31" s="230">
        <f>'Survey Template'!E175</f>
        <v>0</v>
      </c>
      <c r="F31" s="230">
        <f>'Survey Template'!F175</f>
        <v>0</v>
      </c>
      <c r="G31" s="230">
        <f>'Survey Template'!G175*0</f>
        <v>0</v>
      </c>
      <c r="H31" s="230">
        <f>'Survey Template'!H175*0</f>
        <v>0</v>
      </c>
      <c r="I31" s="230">
        <f>'Survey Template'!I175*0</f>
        <v>0</v>
      </c>
      <c r="J31" s="230">
        <f>'Survey Template'!J175*0</f>
        <v>0</v>
      </c>
      <c r="K31" s="230">
        <f>'Survey Template'!K175</f>
        <v>0</v>
      </c>
      <c r="L31" s="230">
        <f>'Survey Template'!L175</f>
        <v>0</v>
      </c>
      <c r="M31" s="230">
        <f>'Survey Template'!M175</f>
        <v>0</v>
      </c>
      <c r="N31" s="230">
        <f>'Survey Template'!N175</f>
        <v>0</v>
      </c>
      <c r="O31" s="230">
        <f>'Survey Template'!O175</f>
        <v>0</v>
      </c>
      <c r="P31" s="230">
        <f>'Survey Template'!P175</f>
        <v>0</v>
      </c>
      <c r="Q31" s="230"/>
      <c r="R31" s="228"/>
    </row>
    <row r="32" spans="1:23" x14ac:dyDescent="0.2">
      <c r="A32" s="233"/>
      <c r="B32" s="203" t="s">
        <v>230</v>
      </c>
      <c r="C32" s="230">
        <f>'Survey Template'!C176*0</f>
        <v>0</v>
      </c>
      <c r="D32" s="230"/>
      <c r="E32" s="230"/>
      <c r="F32" s="230"/>
      <c r="G32" s="230">
        <f>'Survey Template'!G176*0</f>
        <v>0</v>
      </c>
      <c r="H32" s="230">
        <f>'Survey Template'!H176*0</f>
        <v>0</v>
      </c>
      <c r="I32" s="230">
        <f>'Survey Template'!I176*0</f>
        <v>0</v>
      </c>
      <c r="J32" s="230"/>
      <c r="K32" s="230"/>
      <c r="L32" s="230"/>
      <c r="M32" s="230"/>
      <c r="N32" s="230"/>
      <c r="O32" s="230"/>
      <c r="P32" s="230"/>
      <c r="Q32" s="230"/>
      <c r="R32" s="228"/>
    </row>
    <row r="33" spans="1:20" x14ac:dyDescent="0.2">
      <c r="A33" s="233"/>
      <c r="B33" s="203" t="s">
        <v>229</v>
      </c>
      <c r="C33" s="230"/>
      <c r="D33" s="230"/>
      <c r="E33" s="230"/>
      <c r="F33" s="230"/>
      <c r="G33" s="230">
        <f>'Survey Template'!G174*0</f>
        <v>0</v>
      </c>
      <c r="H33" s="230">
        <f>'Survey Template'!H174*0</f>
        <v>0</v>
      </c>
      <c r="I33" s="230">
        <f>'Survey Template'!I174*0</f>
        <v>0</v>
      </c>
      <c r="J33" s="230"/>
      <c r="K33" s="230"/>
      <c r="L33" s="230"/>
      <c r="M33" s="230"/>
      <c r="N33" s="230"/>
      <c r="O33" s="230"/>
      <c r="P33" s="230"/>
      <c r="Q33" s="230"/>
      <c r="R33" s="228"/>
    </row>
    <row r="34" spans="1:20" x14ac:dyDescent="0.2">
      <c r="A34" s="192" t="s">
        <v>185</v>
      </c>
      <c r="B34" s="191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</row>
    <row r="35" spans="1:20" x14ac:dyDescent="0.2">
      <c r="B35" s="210" t="s">
        <v>17</v>
      </c>
      <c r="C35" s="234">
        <f>'Survey Template'!C192</f>
        <v>1738.98</v>
      </c>
      <c r="D35" s="234">
        <f>'Survey Template'!D190</f>
        <v>0</v>
      </c>
      <c r="E35" s="234"/>
      <c r="F35" s="234">
        <f>'Survey Template'!F190</f>
        <v>0</v>
      </c>
      <c r="G35" s="234">
        <f>'Survey Template'!G190+'Survey Template'!G176</f>
        <v>1633.68</v>
      </c>
      <c r="H35" s="234">
        <f>'Survey Template'!H190+'Survey Template'!H176</f>
        <v>0</v>
      </c>
      <c r="I35" s="234">
        <f>'Survey Template'!I190+'Survey Template'!I176</f>
        <v>0</v>
      </c>
      <c r="J35" s="234">
        <f>'Survey Template'!J190</f>
        <v>1746.24</v>
      </c>
      <c r="K35" s="234">
        <f>'Survey Template'!K190</f>
        <v>0</v>
      </c>
      <c r="L35" s="234"/>
      <c r="M35" s="234">
        <f>'Survey Template'!M190</f>
        <v>1366.18</v>
      </c>
      <c r="N35" s="234">
        <f>'Survey Template'!N190</f>
        <v>0</v>
      </c>
      <c r="O35" s="234">
        <f>'Survey Template'!O190</f>
        <v>0</v>
      </c>
      <c r="P35" s="234">
        <f>'Survey Template'!P190</f>
        <v>0</v>
      </c>
      <c r="Q35" s="234"/>
      <c r="R35" s="228">
        <f t="array" ref="R35">AVERAGE(IF(C35:Q35&lt;&gt;0,C35:Q35,""))</f>
        <v>1621.27</v>
      </c>
    </row>
    <row r="36" spans="1:20" x14ac:dyDescent="0.2">
      <c r="B36" s="21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28"/>
    </row>
    <row r="37" spans="1:20" s="235" customFormat="1" x14ac:dyDescent="0.2">
      <c r="A37" s="202" t="s">
        <v>134</v>
      </c>
      <c r="C37" s="236"/>
      <c r="D37" s="236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28"/>
    </row>
    <row r="38" spans="1:20" s="235" customFormat="1" x14ac:dyDescent="0.2">
      <c r="B38" s="193" t="s">
        <v>183</v>
      </c>
      <c r="C38" s="234">
        <f>'Survey Template'!C193</f>
        <v>1738.98</v>
      </c>
      <c r="D38" s="234">
        <f>'Survey Template'!D193</f>
        <v>0</v>
      </c>
      <c r="E38" s="230"/>
      <c r="F38" s="230"/>
      <c r="G38" s="234">
        <f>'Survey Template'!G193+'Survey Template'!G174</f>
        <v>2519.77</v>
      </c>
      <c r="H38" s="234">
        <f>'Survey Template'!H193+'Survey Template'!H174</f>
        <v>0</v>
      </c>
      <c r="I38" s="234">
        <f>'Survey Template'!I193+'Survey Template'!I174</f>
        <v>0</v>
      </c>
      <c r="J38" s="234"/>
      <c r="K38" s="234"/>
      <c r="L38" s="234"/>
      <c r="M38" s="234"/>
      <c r="N38" s="234"/>
      <c r="O38" s="234"/>
      <c r="P38" s="234"/>
      <c r="Q38" s="234"/>
      <c r="R38" s="228">
        <f t="array" ref="R38">AVERAGE(IF(C38:Q38&lt;&gt;0,C38:Q38,""))</f>
        <v>2129.375</v>
      </c>
    </row>
    <row r="39" spans="1:20" s="235" customFormat="1" x14ac:dyDescent="0.2">
      <c r="B39" s="193" t="s">
        <v>184</v>
      </c>
      <c r="C39" s="234">
        <f>'Survey Template'!C194</f>
        <v>0</v>
      </c>
      <c r="D39" s="234">
        <f>'Survey Template'!D194</f>
        <v>0</v>
      </c>
      <c r="E39" s="230"/>
      <c r="F39" s="230"/>
      <c r="G39" s="234">
        <f>'Survey Template'!G194+'Survey Template'!G174</f>
        <v>886.09</v>
      </c>
      <c r="H39" s="234">
        <f>'Survey Template'!H194+'Survey Template'!H174</f>
        <v>0</v>
      </c>
      <c r="I39" s="234">
        <f>'Survey Template'!I194+'Survey Template'!I174</f>
        <v>0</v>
      </c>
      <c r="J39" s="234"/>
      <c r="K39" s="234"/>
      <c r="L39" s="234"/>
      <c r="M39" s="234"/>
      <c r="N39" s="234"/>
      <c r="O39" s="234"/>
      <c r="P39" s="234"/>
      <c r="Q39" s="234"/>
      <c r="R39" s="228">
        <f t="array" ref="R39">AVERAGE(IF(C39:Q39&lt;&gt;0,C39:Q39,""))</f>
        <v>886.09</v>
      </c>
    </row>
    <row r="40" spans="1:20" s="235" customFormat="1" x14ac:dyDescent="0.2">
      <c r="A40" s="202" t="s">
        <v>186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28"/>
    </row>
    <row r="41" spans="1:20" s="235" customFormat="1" x14ac:dyDescent="0.2">
      <c r="B41" s="210" t="s">
        <v>17</v>
      </c>
      <c r="C41" s="234">
        <f>'Survey Template'!C198</f>
        <v>1211.82</v>
      </c>
      <c r="D41" s="234">
        <f>'Survey Template'!D198</f>
        <v>0</v>
      </c>
      <c r="E41" s="230"/>
      <c r="F41" s="230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28">
        <f t="array" ref="R41">AVERAGE(IF(C41:Q41&lt;&gt;0,C41:Q41,""))</f>
        <v>1211.82</v>
      </c>
    </row>
    <row r="42" spans="1:20" ht="6" customHeight="1" x14ac:dyDescent="0.2">
      <c r="B42" s="191"/>
      <c r="C42" s="228"/>
      <c r="D42" s="228"/>
      <c r="E42" s="230"/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</row>
    <row r="43" spans="1:20" x14ac:dyDescent="0.2">
      <c r="A43" s="192" t="s">
        <v>275</v>
      </c>
      <c r="B43" s="193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</row>
    <row r="44" spans="1:20" ht="6" customHeight="1" x14ac:dyDescent="0.2">
      <c r="B44" s="193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</row>
    <row r="45" spans="1:20" x14ac:dyDescent="0.2">
      <c r="B45" s="193" t="s">
        <v>22</v>
      </c>
      <c r="C45" s="228">
        <f>'Survey Template'!C56</f>
        <v>6.76</v>
      </c>
      <c r="D45" s="228">
        <f>'Survey Template'!D56</f>
        <v>6.76</v>
      </c>
      <c r="E45" s="228">
        <f>'Survey Template'!E56</f>
        <v>4.76</v>
      </c>
      <c r="F45" s="228">
        <f>'Survey Template'!F56</f>
        <v>6.76</v>
      </c>
      <c r="G45" s="228">
        <f>'Survey Template'!G56</f>
        <v>6.76</v>
      </c>
      <c r="H45" s="228">
        <f>'Survey Template'!H56</f>
        <v>6.76</v>
      </c>
      <c r="I45" s="228">
        <f>'Survey Template'!I56</f>
        <v>6.76</v>
      </c>
      <c r="J45" s="228">
        <f>'Survey Template'!J56</f>
        <v>6.76</v>
      </c>
      <c r="K45" s="228">
        <f>'Survey Template'!K56</f>
        <v>6.76</v>
      </c>
      <c r="L45" s="228">
        <f>'Survey Template'!L56</f>
        <v>6.76</v>
      </c>
      <c r="M45" s="228">
        <f>'Survey Template'!M56</f>
        <v>6.76</v>
      </c>
      <c r="N45" s="228">
        <f>'Survey Template'!N56</f>
        <v>6.76</v>
      </c>
      <c r="O45" s="228">
        <f>'Survey Template'!O56</f>
        <v>6.76</v>
      </c>
      <c r="P45" s="228">
        <f>'Survey Template'!P56</f>
        <v>6.14</v>
      </c>
      <c r="Q45" s="228">
        <f>'Survey Template'!Q56</f>
        <v>4.76</v>
      </c>
      <c r="R45" s="228">
        <f t="array" ref="R45">AVERAGE(IF(C45:Q45&lt;&gt;0,C45:Q45,""))</f>
        <v>6.4520000000000008</v>
      </c>
    </row>
    <row r="46" spans="1:20" ht="15.75" x14ac:dyDescent="0.25">
      <c r="A46" s="195" t="s">
        <v>38</v>
      </c>
      <c r="B46" s="197"/>
      <c r="R46" s="228"/>
    </row>
    <row r="47" spans="1:20" x14ac:dyDescent="0.2">
      <c r="A47" s="192" t="s">
        <v>39</v>
      </c>
      <c r="R47" s="228"/>
    </row>
    <row r="48" spans="1:20" x14ac:dyDescent="0.2">
      <c r="B48" s="193" t="s">
        <v>30</v>
      </c>
      <c r="C48" s="228">
        <f>'Survey Template'!C17</f>
        <v>652.47</v>
      </c>
      <c r="D48" s="228">
        <f>'Survey Template'!D17</f>
        <v>0</v>
      </c>
      <c r="E48" s="228">
        <f>'Survey Template'!E17</f>
        <v>602.36</v>
      </c>
      <c r="F48" s="228">
        <f>'Survey Template'!F17</f>
        <v>379.76</v>
      </c>
      <c r="G48" s="228">
        <f>'Survey Template'!G17</f>
        <v>0</v>
      </c>
      <c r="H48" s="228">
        <f>'Survey Template'!H17</f>
        <v>0</v>
      </c>
      <c r="I48" s="228">
        <f>'Survey Template'!I17</f>
        <v>0</v>
      </c>
      <c r="J48" s="228">
        <f>'Survey Template'!J17</f>
        <v>0</v>
      </c>
      <c r="K48" s="228">
        <f>'Survey Template'!K17</f>
        <v>0</v>
      </c>
      <c r="L48" s="228">
        <f>'Survey Template'!L17</f>
        <v>0</v>
      </c>
      <c r="M48" s="228">
        <f>'Survey Template'!M17</f>
        <v>593.49</v>
      </c>
      <c r="N48" s="228">
        <f>'Survey Template'!N17</f>
        <v>0</v>
      </c>
      <c r="O48" s="228">
        <f>'Survey Template'!O17</f>
        <v>0</v>
      </c>
      <c r="P48" s="228">
        <f>'Survey Template'!P17</f>
        <v>0</v>
      </c>
      <c r="Q48" s="228"/>
      <c r="R48" s="228">
        <f t="array" ref="R48">AVERAGE(IF(C48:Q48&lt;&gt;0,C48:Q48,""))</f>
        <v>557.02</v>
      </c>
      <c r="T48" s="228"/>
    </row>
    <row r="49" spans="1:18" ht="13.5" thickBot="1" x14ac:dyDescent="0.25">
      <c r="B49" s="193" t="s">
        <v>25</v>
      </c>
      <c r="C49" s="231">
        <f>'Survey Template'!C38</f>
        <v>32.619999999999997</v>
      </c>
      <c r="D49" s="231">
        <f>'Survey Template'!D38</f>
        <v>0</v>
      </c>
      <c r="E49" s="231">
        <f>'Survey Template'!E38</f>
        <v>30.11</v>
      </c>
      <c r="F49" s="231">
        <f>'Survey Template'!F38</f>
        <v>18.98</v>
      </c>
      <c r="G49" s="231">
        <f>'Survey Template'!G38</f>
        <v>0</v>
      </c>
      <c r="H49" s="231">
        <f>'Survey Template'!H38</f>
        <v>0</v>
      </c>
      <c r="I49" s="231">
        <f>'Survey Template'!I38</f>
        <v>0</v>
      </c>
      <c r="J49" s="231">
        <f>'Survey Template'!J38</f>
        <v>0</v>
      </c>
      <c r="K49" s="231">
        <f>'Survey Template'!K38</f>
        <v>0</v>
      </c>
      <c r="L49" s="231">
        <f>'Survey Template'!L38</f>
        <v>0</v>
      </c>
      <c r="M49" s="231">
        <f>'Survey Template'!M38</f>
        <v>29.67</v>
      </c>
      <c r="N49" s="231">
        <f>'Survey Template'!N38</f>
        <v>0</v>
      </c>
      <c r="O49" s="231">
        <f>'Survey Template'!O38</f>
        <v>0</v>
      </c>
      <c r="P49" s="231">
        <f>'Survey Template'!P38</f>
        <v>0</v>
      </c>
      <c r="Q49" s="231"/>
      <c r="R49" s="228">
        <f t="array" ref="R49">AVERAGE(IF(C49:Q49&lt;&gt;0,C49:Q49,""))</f>
        <v>27.844999999999999</v>
      </c>
    </row>
    <row r="50" spans="1:18" x14ac:dyDescent="0.2">
      <c r="B50" s="210" t="s">
        <v>17</v>
      </c>
      <c r="C50" s="228">
        <f>SUM(C48:C49)</f>
        <v>685.09</v>
      </c>
      <c r="D50" s="228">
        <f>SUM(D48:D49)</f>
        <v>0</v>
      </c>
      <c r="E50" s="228">
        <f>SUM(E48:E49)</f>
        <v>632.47</v>
      </c>
      <c r="F50" s="228">
        <f>SUM(F48:F49)</f>
        <v>398.74</v>
      </c>
      <c r="G50" s="228"/>
      <c r="H50" s="228"/>
      <c r="I50" s="228"/>
      <c r="J50" s="228"/>
      <c r="K50" s="228"/>
      <c r="L50" s="228"/>
      <c r="M50" s="228">
        <f>SUM(M48:M49)</f>
        <v>623.16</v>
      </c>
      <c r="N50" s="228"/>
      <c r="O50" s="228"/>
      <c r="P50" s="228"/>
      <c r="Q50" s="228"/>
      <c r="R50" s="228">
        <f t="array" ref="R50">AVERAGE(IF(C50:Q50&lt;&gt;0,C50:Q50,""))</f>
        <v>584.86500000000001</v>
      </c>
    </row>
    <row r="51" spans="1:18" ht="4.5" customHeight="1" x14ac:dyDescent="0.2"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</row>
    <row r="52" spans="1:18" x14ac:dyDescent="0.2">
      <c r="A52" s="192" t="s">
        <v>40</v>
      </c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</row>
    <row r="53" spans="1:18" x14ac:dyDescent="0.2">
      <c r="B53" s="193" t="s">
        <v>35</v>
      </c>
      <c r="C53" s="228">
        <f>24*(C13+C15+C44+C45+C50)+2*(C26)</f>
        <v>17784.72</v>
      </c>
      <c r="D53" s="228"/>
      <c r="E53" s="228">
        <f>24*(E13+E15+E44+E45+E50)+2*(E26)</f>
        <v>16554.64</v>
      </c>
      <c r="F53" s="228">
        <f>24*(F13+F15+F44+F45+F50)+2*(F26)</f>
        <v>11070.64</v>
      </c>
      <c r="G53" s="228"/>
      <c r="H53" s="228"/>
      <c r="I53" s="228"/>
      <c r="J53" s="228"/>
      <c r="K53" s="228"/>
      <c r="L53" s="228"/>
      <c r="M53" s="228">
        <f>24*(M13+M15+M44+M45+M50)+2*(M26)</f>
        <v>16910.82</v>
      </c>
      <c r="N53" s="228"/>
      <c r="O53" s="228"/>
      <c r="P53" s="228"/>
      <c r="Q53" s="228"/>
      <c r="R53" s="228">
        <f t="array" ref="R53">AVERAGE(IF(C53:Q53&lt;&gt;0,C53:Q53,""))</f>
        <v>15580.205</v>
      </c>
    </row>
    <row r="54" spans="1:18" x14ac:dyDescent="0.2">
      <c r="B54" s="193" t="s">
        <v>28</v>
      </c>
      <c r="C54" s="228">
        <f>+C53/24</f>
        <v>741.03000000000009</v>
      </c>
      <c r="D54" s="228"/>
      <c r="E54" s="228">
        <f>+E53/24</f>
        <v>689.77666666666664</v>
      </c>
      <c r="F54" s="228">
        <f>+F53/24</f>
        <v>461.27666666666664</v>
      </c>
      <c r="G54" s="228"/>
      <c r="H54" s="228"/>
      <c r="I54" s="228"/>
      <c r="J54" s="228"/>
      <c r="K54" s="228"/>
      <c r="L54" s="228"/>
      <c r="M54" s="228">
        <f>+M53/24</f>
        <v>704.61749999999995</v>
      </c>
      <c r="N54" s="228"/>
      <c r="O54" s="228"/>
      <c r="P54" s="228"/>
      <c r="Q54" s="228"/>
      <c r="R54" s="228">
        <f t="array" ref="R54">AVERAGE(IF(C54:Q54&lt;&gt;0,C54:Q54,""))</f>
        <v>649.17520833333333</v>
      </c>
    </row>
    <row r="55" spans="1:18" x14ac:dyDescent="0.2">
      <c r="B55" s="196"/>
      <c r="R55" s="228"/>
    </row>
    <row r="56" spans="1:18" x14ac:dyDescent="0.2">
      <c r="A56" s="192" t="s">
        <v>41</v>
      </c>
      <c r="R56" s="228"/>
    </row>
    <row r="57" spans="1:18" x14ac:dyDescent="0.2">
      <c r="B57" s="193" t="s">
        <v>83</v>
      </c>
      <c r="C57" s="228">
        <f>'Survey Template'!C81</f>
        <v>1179.6099999999999</v>
      </c>
      <c r="D57" s="228">
        <f>'Survey Template'!D81</f>
        <v>0</v>
      </c>
      <c r="E57" s="228">
        <f>'Survey Template'!E81</f>
        <v>1237.67</v>
      </c>
      <c r="F57" s="228">
        <f>'Survey Template'!F81</f>
        <v>991.22</v>
      </c>
      <c r="G57" s="228">
        <f>'Survey Template'!G81</f>
        <v>0</v>
      </c>
      <c r="H57" s="228">
        <f>'Survey Template'!H81</f>
        <v>0</v>
      </c>
      <c r="I57" s="228">
        <f>'Survey Template'!I81</f>
        <v>0</v>
      </c>
      <c r="J57" s="228">
        <f>'Survey Template'!J81</f>
        <v>0</v>
      </c>
      <c r="K57" s="228">
        <f>'Survey Template'!K81</f>
        <v>0</v>
      </c>
      <c r="L57" s="228">
        <f>'Survey Template'!L81</f>
        <v>0</v>
      </c>
      <c r="M57" s="228">
        <f>'Survey Template'!M81</f>
        <v>1031.0999999999999</v>
      </c>
      <c r="N57" s="228">
        <f>'Survey Template'!N81</f>
        <v>0</v>
      </c>
      <c r="O57" s="228">
        <f>'Survey Template'!O81</f>
        <v>0</v>
      </c>
      <c r="P57" s="228">
        <v>0</v>
      </c>
      <c r="Q57" s="228"/>
      <c r="R57" s="228">
        <f t="array" ref="R57">AVERAGE(IF(C57:Q57&lt;&gt;0,C57:Q57,""))</f>
        <v>1109.9000000000001</v>
      </c>
    </row>
    <row r="58" spans="1:18" ht="13.5" thickBot="1" x14ac:dyDescent="0.25">
      <c r="B58" s="193" t="s">
        <v>25</v>
      </c>
      <c r="C58" s="231">
        <f>'Survey Template'!C103</f>
        <v>58.97</v>
      </c>
      <c r="D58" s="231">
        <f>'Survey Template'!D103</f>
        <v>0</v>
      </c>
      <c r="E58" s="231">
        <f>'Survey Template'!E103</f>
        <v>61.87</v>
      </c>
      <c r="F58" s="231">
        <f>'Survey Template'!F103</f>
        <v>49.55</v>
      </c>
      <c r="G58" s="231">
        <f>'Survey Template'!G103</f>
        <v>0</v>
      </c>
      <c r="H58" s="231">
        <f>'Survey Template'!H103</f>
        <v>0</v>
      </c>
      <c r="I58" s="231">
        <f>'Survey Template'!I103</f>
        <v>0</v>
      </c>
      <c r="J58" s="231">
        <f>'Survey Template'!J103</f>
        <v>0</v>
      </c>
      <c r="K58" s="231">
        <f>'Survey Template'!K103</f>
        <v>0</v>
      </c>
      <c r="L58" s="231">
        <f>'Survey Template'!L103</f>
        <v>0</v>
      </c>
      <c r="M58" s="231">
        <f>'Survey Template'!M103</f>
        <v>51.55</v>
      </c>
      <c r="N58" s="231">
        <f>'Survey Template'!N103</f>
        <v>0</v>
      </c>
      <c r="O58" s="231">
        <f>'Survey Template'!O103</f>
        <v>0</v>
      </c>
      <c r="P58" s="231">
        <v>0</v>
      </c>
      <c r="Q58" s="230"/>
      <c r="R58" s="228">
        <f t="array" ref="R58">AVERAGE(IF(C58:Q58&lt;&gt;0,C58:Q58,""))</f>
        <v>55.484999999999999</v>
      </c>
    </row>
    <row r="59" spans="1:18" x14ac:dyDescent="0.2">
      <c r="B59" s="210" t="s">
        <v>17</v>
      </c>
      <c r="C59" s="228">
        <f>SUM(C57:C58)</f>
        <v>1238.58</v>
      </c>
      <c r="D59" s="228">
        <f>SUM(D57:D58)</f>
        <v>0</v>
      </c>
      <c r="E59" s="228">
        <f>SUM(E57:E58)</f>
        <v>1299.54</v>
      </c>
      <c r="F59" s="228">
        <f>SUM(F57:F58)</f>
        <v>1040.77</v>
      </c>
      <c r="G59" s="228">
        <f t="shared" ref="G59:M59" si="5">SUM(G57:G58)</f>
        <v>0</v>
      </c>
      <c r="H59" s="228">
        <f t="shared" ref="H59:I59" si="6">SUM(H57:H58)</f>
        <v>0</v>
      </c>
      <c r="I59" s="228">
        <f t="shared" si="6"/>
        <v>0</v>
      </c>
      <c r="J59" s="228">
        <f t="shared" si="5"/>
        <v>0</v>
      </c>
      <c r="K59" s="228">
        <f t="shared" si="5"/>
        <v>0</v>
      </c>
      <c r="L59" s="228">
        <f t="shared" si="5"/>
        <v>0</v>
      </c>
      <c r="M59" s="228">
        <f t="shared" si="5"/>
        <v>1082.6499999999999</v>
      </c>
      <c r="N59" s="228"/>
      <c r="O59" s="228"/>
      <c r="P59" s="228"/>
      <c r="Q59" s="228"/>
      <c r="R59" s="228">
        <f t="array" ref="R59">AVERAGE(IF(C59:Q59&lt;&gt;0,C59:Q59,""))</f>
        <v>1165.385</v>
      </c>
    </row>
    <row r="60" spans="1:18" ht="8.4499999999999993" customHeight="1" x14ac:dyDescent="0.2"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</row>
    <row r="61" spans="1:18" x14ac:dyDescent="0.2">
      <c r="A61" s="192" t="s">
        <v>42</v>
      </c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</row>
    <row r="62" spans="1:18" x14ac:dyDescent="0.2">
      <c r="B62" s="193" t="s">
        <v>35</v>
      </c>
      <c r="C62" s="228">
        <f>24*(C13+C15+C44+C45+C59)+2*C26</f>
        <v>31068.48</v>
      </c>
      <c r="D62" s="228"/>
      <c r="E62" s="228">
        <f>24*(E13+E15+E44+E45+E59)+2*E26</f>
        <v>32564.32</v>
      </c>
      <c r="F62" s="228">
        <f>24*(F13+F15+F44+F45+F59)+2*F26</f>
        <v>26479.359999999997</v>
      </c>
      <c r="G62" s="228"/>
      <c r="H62" s="228"/>
      <c r="I62" s="228"/>
      <c r="J62" s="228"/>
      <c r="K62" s="228"/>
      <c r="L62" s="228"/>
      <c r="M62" s="228">
        <f>24*(M13+M15+M44+M45+M59)+2*M26</f>
        <v>27938.579999999998</v>
      </c>
      <c r="N62" s="228"/>
      <c r="O62" s="228"/>
      <c r="P62" s="228"/>
      <c r="Q62" s="228"/>
      <c r="R62" s="228">
        <f t="array" ref="R62">AVERAGE(IF(C62:Q62&lt;&gt;0,C62:Q62,""))</f>
        <v>29512.685000000001</v>
      </c>
    </row>
    <row r="63" spans="1:18" x14ac:dyDescent="0.2">
      <c r="B63" s="193" t="s">
        <v>28</v>
      </c>
      <c r="C63" s="228">
        <f>+C62/24</f>
        <v>1294.52</v>
      </c>
      <c r="D63" s="228"/>
      <c r="E63" s="228">
        <f t="shared" ref="E63:M63" si="7">+E62/24</f>
        <v>1356.8466666666666</v>
      </c>
      <c r="F63" s="228">
        <f t="shared" si="7"/>
        <v>1103.3066666666666</v>
      </c>
      <c r="G63" s="228">
        <f t="shared" si="7"/>
        <v>0</v>
      </c>
      <c r="H63" s="228">
        <f t="shared" ref="H63:I63" si="8">+H62/24</f>
        <v>0</v>
      </c>
      <c r="I63" s="228">
        <f t="shared" si="8"/>
        <v>0</v>
      </c>
      <c r="J63" s="228"/>
      <c r="K63" s="228"/>
      <c r="L63" s="228">
        <f t="shared" si="7"/>
        <v>0</v>
      </c>
      <c r="M63" s="228">
        <f t="shared" si="7"/>
        <v>1164.1074999999998</v>
      </c>
      <c r="N63" s="228"/>
      <c r="O63" s="228"/>
      <c r="P63" s="228"/>
      <c r="Q63" s="228"/>
      <c r="R63" s="228">
        <f t="array" ref="R63">AVERAGE(IF(C63:Q63&lt;&gt;0,C63:Q63,""))</f>
        <v>1229.6952083333333</v>
      </c>
    </row>
    <row r="64" spans="1:18" ht="15.75" x14ac:dyDescent="0.25">
      <c r="A64" s="195" t="s">
        <v>43</v>
      </c>
      <c r="B64" s="197"/>
      <c r="K64" s="228"/>
      <c r="R64" s="228"/>
    </row>
    <row r="65" spans="1:18" x14ac:dyDescent="0.2">
      <c r="A65" s="192" t="s">
        <v>44</v>
      </c>
      <c r="R65" s="228"/>
    </row>
    <row r="66" spans="1:18" x14ac:dyDescent="0.2">
      <c r="B66" s="193" t="s">
        <v>30</v>
      </c>
      <c r="C66" s="228">
        <f>'Survey Template'!C18</f>
        <v>32743.7</v>
      </c>
      <c r="D66" s="228">
        <f>'Survey Template'!D18</f>
        <v>0</v>
      </c>
      <c r="E66" s="228">
        <f>'Survey Template'!E18</f>
        <v>21139.74</v>
      </c>
      <c r="F66" s="228">
        <f>'Survey Template'!F18</f>
        <v>0</v>
      </c>
      <c r="G66" s="228">
        <f>'Survey Template'!G18</f>
        <v>29174.65</v>
      </c>
      <c r="H66" s="228">
        <f>'Survey Template'!H18</f>
        <v>0</v>
      </c>
      <c r="I66" s="228">
        <f>'Survey Template'!I18</f>
        <v>0</v>
      </c>
      <c r="J66" s="228">
        <f>'Survey Template'!J18</f>
        <v>27292</v>
      </c>
      <c r="K66" s="228">
        <f>'Survey Template'!K18</f>
        <v>0</v>
      </c>
      <c r="L66" s="228">
        <f>'Survey Template'!L18</f>
        <v>25490.799999999999</v>
      </c>
      <c r="M66" s="228">
        <f>'Survey Template'!M18</f>
        <v>32736.83</v>
      </c>
      <c r="N66" s="228">
        <f>'Survey Template'!N18</f>
        <v>0</v>
      </c>
      <c r="O66" s="228">
        <f>'Survey Template'!O18</f>
        <v>0</v>
      </c>
      <c r="P66" s="228">
        <f>'Survey Template'!P18</f>
        <v>0</v>
      </c>
      <c r="Q66" s="228"/>
      <c r="R66" s="228">
        <f t="array" ref="R66">AVERAGE(IF(C66:Q66&lt;&gt;0,C66:Q66,""))</f>
        <v>28096.286666666663</v>
      </c>
    </row>
    <row r="67" spans="1:18" ht="13.5" thickBot="1" x14ac:dyDescent="0.25">
      <c r="B67" s="193" t="s">
        <v>25</v>
      </c>
      <c r="C67" s="231">
        <f>'Survey Template'!C39</f>
        <v>1637.18</v>
      </c>
      <c r="D67" s="231">
        <f>'Survey Template'!D39</f>
        <v>0</v>
      </c>
      <c r="E67" s="231">
        <f>'Survey Template'!E39</f>
        <v>1056.98</v>
      </c>
      <c r="F67" s="231">
        <f>'Survey Template'!F39</f>
        <v>0</v>
      </c>
      <c r="G67" s="231">
        <f>'Survey Template'!G39</f>
        <v>1458.73</v>
      </c>
      <c r="H67" s="231">
        <f>'Survey Template'!H39</f>
        <v>0</v>
      </c>
      <c r="I67" s="231">
        <f>'Survey Template'!I39</f>
        <v>0</v>
      </c>
      <c r="J67" s="231">
        <f>'Survey Template'!J39</f>
        <v>1091.68</v>
      </c>
      <c r="K67" s="231">
        <f>'Survey Template'!K39</f>
        <v>0</v>
      </c>
      <c r="L67" s="231">
        <f>'Survey Template'!L39</f>
        <v>1274.4000000000001</v>
      </c>
      <c r="M67" s="231">
        <f>'Survey Template'!M39</f>
        <v>1636.84</v>
      </c>
      <c r="N67" s="231">
        <f>'Survey Template'!N39</f>
        <v>0</v>
      </c>
      <c r="O67" s="231">
        <f>'Survey Template'!O39</f>
        <v>0</v>
      </c>
      <c r="P67" s="231">
        <f>'Survey Template'!P39</f>
        <v>0</v>
      </c>
      <c r="Q67" s="230"/>
      <c r="R67" s="228">
        <f t="array" ref="R67">AVERAGE(IF(C67:Q67&lt;&gt;0,C67:Q67,""))</f>
        <v>1359.3016666666665</v>
      </c>
    </row>
    <row r="68" spans="1:18" x14ac:dyDescent="0.2">
      <c r="B68" s="210" t="s">
        <v>17</v>
      </c>
      <c r="C68" s="228">
        <f>SUM(C66:C67)</f>
        <v>34380.879999999997</v>
      </c>
      <c r="D68" s="228">
        <f>SUM(D66:D67)</f>
        <v>0</v>
      </c>
      <c r="E68" s="228">
        <f>SUM(E66:E67)</f>
        <v>22196.720000000001</v>
      </c>
      <c r="F68" s="228"/>
      <c r="G68" s="228">
        <f>SUM(G66:G67)</f>
        <v>30633.38</v>
      </c>
      <c r="H68" s="228">
        <f t="shared" ref="H68:I68" si="9">SUM(H66:H67)</f>
        <v>0</v>
      </c>
      <c r="I68" s="228">
        <f t="shared" si="9"/>
        <v>0</v>
      </c>
      <c r="J68" s="228">
        <f>SUM(J66:J67)</f>
        <v>28383.68</v>
      </c>
      <c r="K68" s="228"/>
      <c r="L68" s="228">
        <f>SUM(L66:L67)</f>
        <v>26765.200000000001</v>
      </c>
      <c r="M68" s="228">
        <f>SUM(M66:M67)</f>
        <v>34373.67</v>
      </c>
      <c r="N68" s="228"/>
      <c r="O68" s="228"/>
      <c r="P68" s="228"/>
      <c r="Q68" s="228"/>
      <c r="R68" s="228">
        <f t="array" ref="R68">AVERAGE(IF(C68:Q68&lt;&gt;0,C68:Q68,""))</f>
        <v>29455.588333333337</v>
      </c>
    </row>
    <row r="69" spans="1:18" ht="6" customHeight="1" x14ac:dyDescent="0.2"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</row>
    <row r="70" spans="1:18" x14ac:dyDescent="0.2">
      <c r="A70" s="192" t="s">
        <v>45</v>
      </c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</row>
    <row r="71" spans="1:18" x14ac:dyDescent="0.2">
      <c r="B71" s="193" t="s">
        <v>46</v>
      </c>
      <c r="C71" s="228">
        <f>C68+C31+C29+40*(C44+C45)+2*C26+'Survey Template'!C189</f>
        <v>36565.979999999996</v>
      </c>
      <c r="D71" s="228"/>
      <c r="E71" s="228">
        <f>E68+E45*40+E29+2*E26+E18*40</f>
        <v>31629.800000000003</v>
      </c>
      <c r="F71" s="228"/>
      <c r="G71" s="228">
        <f>G68+G29+G31+40*(G44+G45)+2*G26</f>
        <v>32611.460000000003</v>
      </c>
      <c r="H71" s="228"/>
      <c r="I71" s="228"/>
      <c r="J71" s="228">
        <f>J68+J29+'Survey Template'!J177+'Survey Template'!J126</f>
        <v>30606.720000000005</v>
      </c>
      <c r="K71" s="228"/>
      <c r="L71" s="228">
        <f>L68+L31+L29+40*(L44+L45)+2*L26</f>
        <v>29079.200000000001</v>
      </c>
      <c r="M71" s="228">
        <f>M68+M31+M29+40*(M44+M45)*1+1636.84+'Survey Template'!M189</f>
        <v>37647.089999999997</v>
      </c>
      <c r="N71" s="228"/>
      <c r="O71" s="228"/>
      <c r="P71" s="228"/>
      <c r="Q71" s="228"/>
      <c r="R71" s="228">
        <f t="array" ref="R71">AVERAGE(IF(C71:Q71&lt;&gt;0,C71:Q71,""))</f>
        <v>33023.375000000007</v>
      </c>
    </row>
    <row r="72" spans="1:18" ht="9" customHeight="1" x14ac:dyDescent="0.2">
      <c r="B72" s="193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</row>
    <row r="73" spans="1:18" x14ac:dyDescent="0.2">
      <c r="A73" s="192" t="s">
        <v>47</v>
      </c>
      <c r="R73" s="228"/>
    </row>
    <row r="74" spans="1:18" x14ac:dyDescent="0.2">
      <c r="B74" s="193" t="s">
        <v>83</v>
      </c>
      <c r="C74" s="228">
        <f>'Survey Template'!C82</f>
        <v>60591.56</v>
      </c>
      <c r="D74" s="228">
        <f>'Survey Template'!D82</f>
        <v>0</v>
      </c>
      <c r="E74" s="228">
        <f>'Survey Template'!E82</f>
        <v>54045.64</v>
      </c>
      <c r="F74" s="228">
        <f>'Survey Template'!F82</f>
        <v>0</v>
      </c>
      <c r="G74" s="228">
        <f>'Survey Template'!G82</f>
        <v>49355.29</v>
      </c>
      <c r="H74" s="228">
        <f>'Survey Template'!H82</f>
        <v>0</v>
      </c>
      <c r="I74" s="228">
        <f>'Survey Template'!I82</f>
        <v>0</v>
      </c>
      <c r="J74" s="228">
        <f>'Survey Template'!J82</f>
        <v>60710</v>
      </c>
      <c r="K74" s="228">
        <f>'Survey Template'!K82</f>
        <v>0</v>
      </c>
      <c r="L74" s="228">
        <f>'Survey Template'!L82</f>
        <v>51084.800000000003</v>
      </c>
      <c r="M74" s="228">
        <f>'Survey Template'!M82</f>
        <v>62736.83</v>
      </c>
      <c r="N74" s="228">
        <f>'Survey Template'!N82</f>
        <v>0</v>
      </c>
      <c r="O74" s="228">
        <f>'Survey Template'!O82</f>
        <v>0</v>
      </c>
      <c r="P74" s="228">
        <v>0</v>
      </c>
      <c r="Q74" s="228"/>
      <c r="R74" s="228">
        <f t="array" ref="R74">AVERAGE(IF(C74:Q74&lt;&gt;0,C74:Q74,""))</f>
        <v>56420.686666666668</v>
      </c>
    </row>
    <row r="75" spans="1:18" ht="13.5" thickBot="1" x14ac:dyDescent="0.25">
      <c r="B75" s="193" t="s">
        <v>25</v>
      </c>
      <c r="C75" s="231">
        <f>'Survey Template'!C104</f>
        <v>1392.38</v>
      </c>
      <c r="D75" s="231">
        <f>'Survey Template'!D104</f>
        <v>0</v>
      </c>
      <c r="E75" s="231">
        <f>'Survey Template'!E104</f>
        <v>2702.27</v>
      </c>
      <c r="F75" s="231">
        <f>'Survey Template'!F104</f>
        <v>0</v>
      </c>
      <c r="G75" s="231">
        <f>'Survey Template'!G104</f>
        <v>2467.75</v>
      </c>
      <c r="H75" s="231">
        <f>'Survey Template'!H104</f>
        <v>0</v>
      </c>
      <c r="I75" s="231">
        <f>'Survey Template'!I104</f>
        <v>0</v>
      </c>
      <c r="J75" s="231">
        <f>'Survey Template'!J104</f>
        <v>2428.4</v>
      </c>
      <c r="K75" s="231">
        <f>'Survey Template'!K104</f>
        <v>0</v>
      </c>
      <c r="L75" s="231">
        <f>'Survey Template'!L104</f>
        <v>2554</v>
      </c>
      <c r="M75" s="231">
        <f>'Survey Template'!M104</f>
        <v>3136.84</v>
      </c>
      <c r="N75" s="231">
        <v>0</v>
      </c>
      <c r="O75" s="231">
        <v>0</v>
      </c>
      <c r="P75" s="231">
        <v>0</v>
      </c>
      <c r="Q75" s="230"/>
      <c r="R75" s="228">
        <f t="array" ref="R75">AVERAGE(IF(C75:Q75&lt;&gt;0,C75:Q75,""))</f>
        <v>2446.94</v>
      </c>
    </row>
    <row r="76" spans="1:18" x14ac:dyDescent="0.2">
      <c r="B76" s="210" t="s">
        <v>17</v>
      </c>
      <c r="C76" s="228">
        <f>SUM(C74:C75)</f>
        <v>61983.939999999995</v>
      </c>
      <c r="D76" s="228">
        <f>SUM(D74:D75)</f>
        <v>0</v>
      </c>
      <c r="E76" s="228">
        <f t="shared" ref="E76:M76" si="10">SUM(E74:E75)</f>
        <v>56747.909999999996</v>
      </c>
      <c r="F76" s="228">
        <f t="shared" si="10"/>
        <v>0</v>
      </c>
      <c r="G76" s="228">
        <f t="shared" si="10"/>
        <v>51823.040000000001</v>
      </c>
      <c r="H76" s="228">
        <f t="shared" ref="H76:I76" si="11">SUM(H74:H75)</f>
        <v>0</v>
      </c>
      <c r="I76" s="228">
        <f t="shared" si="11"/>
        <v>0</v>
      </c>
      <c r="J76" s="228">
        <f t="shared" si="10"/>
        <v>63138.400000000001</v>
      </c>
      <c r="K76" s="228">
        <f t="shared" si="10"/>
        <v>0</v>
      </c>
      <c r="L76" s="228">
        <f t="shared" si="10"/>
        <v>53638.8</v>
      </c>
      <c r="M76" s="228">
        <f t="shared" si="10"/>
        <v>65873.67</v>
      </c>
      <c r="N76" s="228"/>
      <c r="O76" s="228"/>
      <c r="P76" s="228"/>
      <c r="Q76" s="228"/>
      <c r="R76" s="228">
        <f t="array" ref="R76">AVERAGE(IF(C76:Q76&lt;&gt;0,C76:Q76,""))</f>
        <v>58867.626666666656</v>
      </c>
    </row>
    <row r="77" spans="1:18" ht="8.4499999999999993" customHeight="1" x14ac:dyDescent="0.2"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</row>
    <row r="78" spans="1:18" x14ac:dyDescent="0.2">
      <c r="A78" s="192" t="s">
        <v>48</v>
      </c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</row>
    <row r="79" spans="1:18" x14ac:dyDescent="0.2">
      <c r="B79" s="193" t="s">
        <v>46</v>
      </c>
      <c r="C79" s="228">
        <f>C76+C31+C30+40*(C44+C45)+2*C26+C67+'Survey Template'!C190</f>
        <v>65806.22</v>
      </c>
      <c r="D79" s="228"/>
      <c r="E79" s="228">
        <f>E76+E30+40*E45+2*E26+40*E18</f>
        <v>66180.989999999991</v>
      </c>
      <c r="F79" s="228"/>
      <c r="G79" s="228">
        <f>G76+G31+G30+40*(G44+G45)+2*G26</f>
        <v>53801.120000000003</v>
      </c>
      <c r="H79" s="228"/>
      <c r="I79" s="228"/>
      <c r="J79" s="228">
        <f>J76+J30+'Survey Template'!J126+'Survey Template'!J177</f>
        <v>65361.440000000002</v>
      </c>
      <c r="K79" s="228"/>
      <c r="L79" s="228">
        <f>L76+L31+L30+40*(L44+L45)+2*L26</f>
        <v>55952.800000000003</v>
      </c>
      <c r="M79" s="228">
        <f>M76+M31+M30+40*(M44+M45)+'Survey Template'!M189+1636.84</f>
        <v>69147.089999999982</v>
      </c>
      <c r="N79" s="228"/>
      <c r="O79" s="228"/>
      <c r="P79" s="228"/>
      <c r="Q79" s="228"/>
      <c r="R79" s="228">
        <f t="array" ref="R79">AVERAGE(IF(C79:Q79&lt;&gt;0,C79:Q79,""))</f>
        <v>62708.276666666665</v>
      </c>
    </row>
    <row r="80" spans="1:18" ht="5.0999999999999996" customHeight="1" x14ac:dyDescent="0.2">
      <c r="B80" s="196"/>
      <c r="C80" s="239"/>
      <c r="D80" s="239"/>
      <c r="R80" s="228"/>
    </row>
    <row r="81" spans="1:18" ht="15.75" x14ac:dyDescent="0.25">
      <c r="A81" s="195" t="s">
        <v>49</v>
      </c>
      <c r="B81" s="197"/>
      <c r="C81" s="227"/>
      <c r="D81" s="227"/>
      <c r="R81" s="228"/>
    </row>
    <row r="82" spans="1:18" x14ac:dyDescent="0.2">
      <c r="A82" s="192" t="s">
        <v>50</v>
      </c>
      <c r="R82" s="228"/>
    </row>
    <row r="83" spans="1:18" x14ac:dyDescent="0.2">
      <c r="B83" s="193" t="s">
        <v>30</v>
      </c>
      <c r="C83" s="228">
        <f>'Survey Template'!C20</f>
        <v>25248.16</v>
      </c>
      <c r="D83" s="228">
        <f>'Survey Template'!D20</f>
        <v>0</v>
      </c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>
        <f t="array" ref="R83">AVERAGE(IF(C83:Q83&lt;&gt;0,C83:Q83,""))</f>
        <v>25248.16</v>
      </c>
    </row>
    <row r="84" spans="1:18" ht="13.5" thickBot="1" x14ac:dyDescent="0.25">
      <c r="B84" s="193" t="s">
        <v>25</v>
      </c>
      <c r="C84" s="231">
        <f>'Survey Template'!C41</f>
        <v>1262.4000000000001</v>
      </c>
      <c r="D84" s="231">
        <f>'Survey Template'!D41</f>
        <v>0</v>
      </c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0"/>
      <c r="R84" s="228">
        <f t="array" ref="R84">AVERAGE(IF(C84:Q84&lt;&gt;0,C84:Q84,""))</f>
        <v>1262.4000000000001</v>
      </c>
    </row>
    <row r="85" spans="1:18" x14ac:dyDescent="0.2">
      <c r="B85" s="210" t="s">
        <v>17</v>
      </c>
      <c r="C85" s="228">
        <f>SUM(C83:C84)</f>
        <v>26510.560000000001</v>
      </c>
      <c r="D85" s="228">
        <f>SUM(D83:D84)</f>
        <v>0</v>
      </c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>
        <f t="array" ref="R85">AVERAGE(IF(C85:Q85&lt;&gt;0,C85:Q85,""))</f>
        <v>26510.560000000001</v>
      </c>
    </row>
    <row r="86" spans="1:18" ht="6" customHeight="1" x14ac:dyDescent="0.2">
      <c r="C86" s="228"/>
      <c r="D86" s="228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</row>
    <row r="87" spans="1:18" x14ac:dyDescent="0.2">
      <c r="A87" s="192" t="s">
        <v>51</v>
      </c>
      <c r="C87" s="228"/>
      <c r="D87" s="228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</row>
    <row r="88" spans="1:18" x14ac:dyDescent="0.2">
      <c r="B88" s="193" t="s">
        <v>46</v>
      </c>
      <c r="C88" s="228">
        <f>C85+C31+C29+40*(C44+C45)+2*C26+'Survey Template'!C189</f>
        <v>28695.660000000003</v>
      </c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>
        <f t="array" ref="R88">AVERAGE(IF(C88:Q88&lt;&gt;0,C88:Q88,""))</f>
        <v>28695.660000000003</v>
      </c>
    </row>
    <row r="89" spans="1:18" ht="9" customHeight="1" x14ac:dyDescent="0.2">
      <c r="B89" s="193"/>
      <c r="C89" s="228"/>
      <c r="D89" s="228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</row>
    <row r="90" spans="1:18" x14ac:dyDescent="0.2">
      <c r="A90" s="192" t="s">
        <v>52</v>
      </c>
      <c r="R90" s="228"/>
    </row>
    <row r="91" spans="1:18" x14ac:dyDescent="0.2">
      <c r="B91" s="193" t="s">
        <v>83</v>
      </c>
      <c r="C91" s="228">
        <f>'Survey Template'!C84</f>
        <v>45224.56</v>
      </c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>
        <f t="array" ref="R91">AVERAGE(IF(C91:Q91&lt;&gt;0,C91:Q91,""))</f>
        <v>45224.56</v>
      </c>
    </row>
    <row r="92" spans="1:18" ht="13.5" thickBot="1" x14ac:dyDescent="0.25">
      <c r="B92" s="193" t="s">
        <v>25</v>
      </c>
      <c r="C92" s="231">
        <f>'Survey Template'!C106</f>
        <v>2261.1999999999998</v>
      </c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0"/>
      <c r="R92" s="228">
        <f t="array" ref="R92">AVERAGE(IF(C92:Q92&lt;&gt;0,C92:Q92,""))</f>
        <v>2261.1999999999998</v>
      </c>
    </row>
    <row r="93" spans="1:18" x14ac:dyDescent="0.2">
      <c r="B93" s="210" t="s">
        <v>17</v>
      </c>
      <c r="C93" s="228">
        <f>SUM(C91:C92)</f>
        <v>47485.759999999995</v>
      </c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>
        <f t="array" ref="R93">AVERAGE(IF(C93:Q93&lt;&gt;0,C93:Q93,""))</f>
        <v>47485.759999999995</v>
      </c>
    </row>
    <row r="94" spans="1:18" ht="5.0999999999999996" customHeight="1" x14ac:dyDescent="0.2"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</row>
    <row r="95" spans="1:18" x14ac:dyDescent="0.2">
      <c r="A95" s="192" t="s">
        <v>53</v>
      </c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</row>
    <row r="96" spans="1:18" x14ac:dyDescent="0.2">
      <c r="A96" s="436"/>
      <c r="B96" s="437" t="s">
        <v>46</v>
      </c>
      <c r="C96" s="438">
        <f>C93+C31+C30+40*(C44+C45)+2*C26+'Survey Template'!C190</f>
        <v>49670.859999999993</v>
      </c>
      <c r="D96" s="438"/>
      <c r="E96" s="438"/>
      <c r="F96" s="438"/>
      <c r="G96" s="438"/>
      <c r="H96" s="438"/>
      <c r="I96" s="438"/>
      <c r="J96" s="438"/>
      <c r="K96" s="438"/>
      <c r="L96" s="438"/>
      <c r="M96" s="438"/>
      <c r="N96" s="438"/>
      <c r="O96" s="438"/>
      <c r="P96" s="438"/>
      <c r="Q96" s="438"/>
      <c r="R96" s="438">
        <f t="array" ref="R96">AVERAGE(IF(C96:Q96&lt;&gt;0,C96:Q96,""))</f>
        <v>49670.859999999993</v>
      </c>
    </row>
    <row r="97" spans="1:18" ht="15.75" x14ac:dyDescent="0.25">
      <c r="A97" s="195" t="s">
        <v>54</v>
      </c>
      <c r="B97" s="197"/>
      <c r="C97" s="227"/>
      <c r="D97" s="227"/>
      <c r="R97" s="228"/>
    </row>
    <row r="98" spans="1:18" x14ac:dyDescent="0.2">
      <c r="A98" s="192" t="s">
        <v>55</v>
      </c>
      <c r="R98" s="228"/>
    </row>
    <row r="99" spans="1:18" x14ac:dyDescent="0.2">
      <c r="B99" s="193" t="s">
        <v>30</v>
      </c>
      <c r="C99" s="228">
        <f>'Survey Template'!C23</f>
        <v>37563.519999999997</v>
      </c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>
        <f t="array" ref="R99">AVERAGE(IF(C99:Q99&lt;&gt;0,C99:Q99,""))</f>
        <v>37563.519999999997</v>
      </c>
    </row>
    <row r="100" spans="1:18" ht="13.5" thickBot="1" x14ac:dyDescent="0.25">
      <c r="B100" s="193" t="s">
        <v>25</v>
      </c>
      <c r="C100" s="231">
        <f>'Survey Template'!C44</f>
        <v>1878.16</v>
      </c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0"/>
      <c r="R100" s="228">
        <f t="array" ref="R100">AVERAGE(IF(C100:Q100&lt;&gt;0,C100:Q100,""))</f>
        <v>1878.16</v>
      </c>
    </row>
    <row r="101" spans="1:18" x14ac:dyDescent="0.2">
      <c r="B101" s="210" t="s">
        <v>17</v>
      </c>
      <c r="C101" s="228">
        <f>SUM(C99:C100)</f>
        <v>39441.68</v>
      </c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>
        <f t="array" ref="R101">AVERAGE(IF(C101:Q101&lt;&gt;0,C101:Q101,""))</f>
        <v>39441.68</v>
      </c>
    </row>
    <row r="102" spans="1:18" ht="6" customHeight="1" x14ac:dyDescent="0.2"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</row>
    <row r="103" spans="1:18" x14ac:dyDescent="0.2">
      <c r="A103" s="192" t="s">
        <v>56</v>
      </c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</row>
    <row r="104" spans="1:18" x14ac:dyDescent="0.2">
      <c r="B104" s="193" t="s">
        <v>46</v>
      </c>
      <c r="C104" s="228">
        <f>C101+C31+C29+40*(C44+C45)+2*C26+'Survey Template'!C189</f>
        <v>41626.78</v>
      </c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>
        <f t="array" ref="R104">AVERAGE(IF(C104:Q104&lt;&gt;0,C104:Q104,""))</f>
        <v>41626.78</v>
      </c>
    </row>
    <row r="105" spans="1:18" ht="7.5" customHeight="1" x14ac:dyDescent="0.2">
      <c r="B105" s="193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</row>
    <row r="106" spans="1:18" x14ac:dyDescent="0.2">
      <c r="A106" s="192" t="s">
        <v>57</v>
      </c>
      <c r="R106" s="228"/>
    </row>
    <row r="107" spans="1:18" x14ac:dyDescent="0.2">
      <c r="B107" s="193" t="s">
        <v>83</v>
      </c>
      <c r="C107" s="228">
        <f>'Survey Template'!C87</f>
        <v>62783.3</v>
      </c>
      <c r="D107" s="228">
        <f>'Survey Template'!D87</f>
        <v>0</v>
      </c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>
        <f t="array" ref="R107">AVERAGE(IF(C107:Q107&lt;&gt;0,C107:Q107,""))</f>
        <v>62783.3</v>
      </c>
    </row>
    <row r="108" spans="1:18" ht="13.5" thickBot="1" x14ac:dyDescent="0.25">
      <c r="B108" s="193" t="s">
        <v>25</v>
      </c>
      <c r="C108" s="231">
        <f>'Survey Template'!C109</f>
        <v>3139.14</v>
      </c>
      <c r="D108" s="231">
        <f>'Survey Template'!D109</f>
        <v>0</v>
      </c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0"/>
      <c r="R108" s="228">
        <f t="array" ref="R108">AVERAGE(IF(C108:Q108&lt;&gt;0,C108:Q108,""))</f>
        <v>3139.14</v>
      </c>
    </row>
    <row r="109" spans="1:18" x14ac:dyDescent="0.2">
      <c r="B109" s="210" t="s">
        <v>17</v>
      </c>
      <c r="C109" s="228">
        <f>SUM(C107:C108)</f>
        <v>65922.44</v>
      </c>
      <c r="D109" s="228">
        <f>SUM(D107:D108)</f>
        <v>0</v>
      </c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>
        <f t="array" ref="R109">AVERAGE(IF(C109:Q109&lt;&gt;0,C109:Q109,""))</f>
        <v>65922.44</v>
      </c>
    </row>
    <row r="110" spans="1:18" ht="6.6" customHeight="1" x14ac:dyDescent="0.2"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</row>
    <row r="111" spans="1:18" x14ac:dyDescent="0.2">
      <c r="A111" s="192" t="s">
        <v>58</v>
      </c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</row>
    <row r="112" spans="1:18" x14ac:dyDescent="0.2">
      <c r="B112" s="193" t="s">
        <v>46</v>
      </c>
      <c r="C112" s="228">
        <f>C109+C31+C30+40*(C44+C45)+2*C26+'Survey Template'!C190</f>
        <v>68107.539999999994</v>
      </c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>
        <f t="array" ref="R112">AVERAGE(IF(C112:Q112&lt;&gt;0,C112:Q112,""))</f>
        <v>68107.539999999994</v>
      </c>
    </row>
    <row r="113" spans="1:18" ht="4.5" customHeight="1" x14ac:dyDescent="0.2">
      <c r="B113" s="196"/>
      <c r="R113" s="228"/>
    </row>
    <row r="114" spans="1:18" ht="15.75" x14ac:dyDescent="0.25">
      <c r="A114" s="195" t="s">
        <v>114</v>
      </c>
      <c r="B114" s="197"/>
      <c r="C114" s="227"/>
      <c r="D114" s="227"/>
      <c r="R114" s="228"/>
    </row>
    <row r="115" spans="1:18" x14ac:dyDescent="0.2">
      <c r="A115" s="192" t="s">
        <v>115</v>
      </c>
      <c r="R115" s="228"/>
    </row>
    <row r="116" spans="1:18" x14ac:dyDescent="0.2">
      <c r="B116" s="193" t="s">
        <v>30</v>
      </c>
      <c r="C116" s="228">
        <f>'Survey Template'!C21</f>
        <v>19844.740000000002</v>
      </c>
      <c r="D116" s="228"/>
      <c r="E116" s="228"/>
      <c r="F116" s="228"/>
      <c r="G116" s="228">
        <f>'Survey Template'!G21</f>
        <v>16610</v>
      </c>
      <c r="H116" s="228">
        <f>'Survey Template'!H21</f>
        <v>0</v>
      </c>
      <c r="I116" s="228">
        <f>'Survey Template'!I21</f>
        <v>0</v>
      </c>
      <c r="J116" s="228"/>
      <c r="K116" s="228"/>
      <c r="L116" s="228"/>
      <c r="M116" s="228"/>
      <c r="N116" s="228"/>
      <c r="O116" s="228"/>
      <c r="P116" s="228"/>
      <c r="Q116" s="228"/>
      <c r="R116" s="228">
        <f t="array" ref="R116">AVERAGE(IF(C116:Q116&lt;&gt;0,C116:Q116,""))</f>
        <v>18227.370000000003</v>
      </c>
    </row>
    <row r="117" spans="1:18" ht="13.5" thickBot="1" x14ac:dyDescent="0.25">
      <c r="B117" s="193" t="s">
        <v>25</v>
      </c>
      <c r="C117" s="231">
        <f>'Survey Template'!C42</f>
        <v>992.22</v>
      </c>
      <c r="D117" s="231"/>
      <c r="E117" s="231"/>
      <c r="F117" s="231"/>
      <c r="G117" s="231">
        <f>'Survey Template'!G42</f>
        <v>830.5</v>
      </c>
      <c r="H117" s="231">
        <f>'Survey Template'!H42</f>
        <v>0</v>
      </c>
      <c r="I117" s="231">
        <f>'Survey Template'!I42</f>
        <v>0</v>
      </c>
      <c r="J117" s="231"/>
      <c r="K117" s="231"/>
      <c r="L117" s="231"/>
      <c r="M117" s="231"/>
      <c r="N117" s="231"/>
      <c r="O117" s="231"/>
      <c r="P117" s="231"/>
      <c r="Q117" s="230"/>
      <c r="R117" s="228">
        <f t="array" ref="R117">AVERAGE(IF(C117:Q117&lt;&gt;0,C117:Q117,""))</f>
        <v>911.36</v>
      </c>
    </row>
    <row r="118" spans="1:18" x14ac:dyDescent="0.2">
      <c r="B118" s="210" t="s">
        <v>17</v>
      </c>
      <c r="C118" s="228">
        <f>SUM(C116:C117)</f>
        <v>20836.960000000003</v>
      </c>
      <c r="D118" s="228"/>
      <c r="E118" s="228"/>
      <c r="F118" s="228"/>
      <c r="G118" s="228">
        <f>SUM(G116:G117)</f>
        <v>17440.5</v>
      </c>
      <c r="H118" s="228">
        <f t="shared" ref="H118:I118" si="12">SUM(H116:H117)</f>
        <v>0</v>
      </c>
      <c r="I118" s="228">
        <f t="shared" si="12"/>
        <v>0</v>
      </c>
      <c r="J118" s="228"/>
      <c r="K118" s="228"/>
      <c r="L118" s="228"/>
      <c r="M118" s="228"/>
      <c r="N118" s="228"/>
      <c r="O118" s="228"/>
      <c r="P118" s="228"/>
      <c r="Q118" s="228"/>
      <c r="R118" s="228">
        <f t="array" ref="R118">AVERAGE(IF(C118:Q118&lt;&gt;0,C118:Q118,""))</f>
        <v>19138.730000000003</v>
      </c>
    </row>
    <row r="119" spans="1:18" ht="9" customHeight="1" x14ac:dyDescent="0.2"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</row>
    <row r="120" spans="1:18" x14ac:dyDescent="0.2">
      <c r="A120" s="192" t="s">
        <v>116</v>
      </c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</row>
    <row r="121" spans="1:18" x14ac:dyDescent="0.2">
      <c r="B121" s="193" t="s">
        <v>46</v>
      </c>
      <c r="C121" s="228">
        <f>C118+C32+C35+36*(C44+C45)+2*C26</f>
        <v>22819.300000000003</v>
      </c>
      <c r="D121" s="228"/>
      <c r="E121" s="228"/>
      <c r="F121" s="228"/>
      <c r="G121" s="228">
        <f>G118+G32+G35+40*(G44+G45)+2*G26</f>
        <v>19418.580000000002</v>
      </c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>
        <f t="array" ref="R121">AVERAGE(IF(C121:Q121&lt;&gt;0,C121:Q121,""))</f>
        <v>21118.940000000002</v>
      </c>
    </row>
    <row r="122" spans="1:18" s="207" customFormat="1" hidden="1" x14ac:dyDescent="0.2">
      <c r="B122" s="209" t="s">
        <v>112</v>
      </c>
      <c r="C122" s="208"/>
      <c r="D122" s="208"/>
      <c r="R122" s="228" t="e">
        <f t="array" ref="R122">AVERAGE(IF(C122:Q122&lt;&gt;0,C122:Q122,""))</f>
        <v>#DIV/0!</v>
      </c>
    </row>
    <row r="123" spans="1:18" ht="6.6" customHeight="1" x14ac:dyDescent="0.2">
      <c r="B123" s="196"/>
      <c r="R123" s="228"/>
    </row>
    <row r="124" spans="1:18" x14ac:dyDescent="0.2">
      <c r="A124" s="192" t="s">
        <v>171</v>
      </c>
      <c r="R124" s="228"/>
    </row>
    <row r="125" spans="1:18" x14ac:dyDescent="0.2">
      <c r="B125" s="193" t="s">
        <v>83</v>
      </c>
      <c r="C125" s="228">
        <f>'Survey Template'!C85</f>
        <v>41886.14</v>
      </c>
      <c r="D125" s="228"/>
      <c r="E125" s="228"/>
      <c r="F125" s="228"/>
      <c r="G125" s="228">
        <f>'Survey Template'!G85</f>
        <v>34355</v>
      </c>
      <c r="H125" s="228">
        <f>'Survey Template'!H85</f>
        <v>0</v>
      </c>
      <c r="I125" s="228">
        <f>'Survey Template'!I85</f>
        <v>0</v>
      </c>
      <c r="J125" s="228"/>
      <c r="K125" s="228"/>
      <c r="L125" s="228"/>
      <c r="M125" s="228"/>
      <c r="N125" s="228"/>
      <c r="O125" s="228"/>
      <c r="P125" s="228"/>
      <c r="Q125" s="228"/>
      <c r="R125" s="228">
        <f t="array" ref="R125">AVERAGE(IF(C125:Q125&lt;&gt;0,C125:Q125,""))</f>
        <v>38120.57</v>
      </c>
    </row>
    <row r="126" spans="1:18" ht="13.5" thickBot="1" x14ac:dyDescent="0.25">
      <c r="B126" s="193" t="s">
        <v>25</v>
      </c>
      <c r="C126" s="231">
        <f>'Survey Template'!C107</f>
        <v>1102.06</v>
      </c>
      <c r="D126" s="231"/>
      <c r="E126" s="231"/>
      <c r="F126" s="231"/>
      <c r="G126" s="231">
        <f>'Survey Template'!G107</f>
        <v>1717.75</v>
      </c>
      <c r="H126" s="231">
        <f>'Survey Template'!H107</f>
        <v>0</v>
      </c>
      <c r="I126" s="231">
        <f>'Survey Template'!I107</f>
        <v>0</v>
      </c>
      <c r="J126" s="231"/>
      <c r="K126" s="231"/>
      <c r="L126" s="231"/>
      <c r="M126" s="231"/>
      <c r="N126" s="231"/>
      <c r="O126" s="231"/>
      <c r="P126" s="231"/>
      <c r="Q126" s="230"/>
      <c r="R126" s="228">
        <f t="array" ref="R126">AVERAGE(IF(C126:Q126&lt;&gt;0,C126:Q126,""))</f>
        <v>1409.905</v>
      </c>
    </row>
    <row r="127" spans="1:18" x14ac:dyDescent="0.2">
      <c r="B127" s="210" t="s">
        <v>17</v>
      </c>
      <c r="C127" s="228">
        <f>SUM(C125:C126)</f>
        <v>42988.2</v>
      </c>
      <c r="D127" s="228"/>
      <c r="E127" s="228"/>
      <c r="F127" s="228"/>
      <c r="G127" s="228">
        <f>SUM(G125:G126)</f>
        <v>36072.75</v>
      </c>
      <c r="H127" s="228">
        <f t="shared" ref="H127:I127" si="13">SUM(H125:H126)</f>
        <v>0</v>
      </c>
      <c r="I127" s="228">
        <f t="shared" si="13"/>
        <v>0</v>
      </c>
      <c r="J127" s="228"/>
      <c r="K127" s="228"/>
      <c r="L127" s="228"/>
      <c r="M127" s="228"/>
      <c r="N127" s="228"/>
      <c r="O127" s="228"/>
      <c r="P127" s="228"/>
      <c r="Q127" s="228"/>
      <c r="R127" s="228">
        <f t="array" ref="R127">AVERAGE(IF(C127:Q127&lt;&gt;0,C127:Q127,""))</f>
        <v>39530.474999999999</v>
      </c>
    </row>
    <row r="128" spans="1:18" ht="7.5" customHeight="1" x14ac:dyDescent="0.2"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</row>
    <row r="129" spans="1:18" x14ac:dyDescent="0.2">
      <c r="A129" s="192" t="s">
        <v>170</v>
      </c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</row>
    <row r="130" spans="1:18" x14ac:dyDescent="0.2">
      <c r="B130" s="193" t="s">
        <v>46</v>
      </c>
      <c r="C130" s="228">
        <f>C127+C31+C35+C117+36*(C44+C45)+2*C26</f>
        <v>45962.76</v>
      </c>
      <c r="D130" s="228"/>
      <c r="E130" s="228"/>
      <c r="F130" s="228"/>
      <c r="G130" s="228">
        <f>G127+G32+G35+40*(G44+G45)</f>
        <v>37976.83</v>
      </c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>
        <f t="array" ref="R130">AVERAGE(IF(C130:Q130&lt;&gt;0,C130:Q130,""))</f>
        <v>41969.794999999998</v>
      </c>
    </row>
    <row r="131" spans="1:18" ht="15.75" x14ac:dyDescent="0.25">
      <c r="A131" s="195" t="s">
        <v>117</v>
      </c>
      <c r="B131" s="197"/>
      <c r="C131" s="227"/>
      <c r="D131" s="227"/>
      <c r="R131" s="228"/>
    </row>
    <row r="132" spans="1:18" x14ac:dyDescent="0.2">
      <c r="A132" s="192" t="s">
        <v>260</v>
      </c>
      <c r="R132" s="228"/>
    </row>
    <row r="133" spans="1:18" x14ac:dyDescent="0.2">
      <c r="B133" s="193" t="s">
        <v>30</v>
      </c>
      <c r="C133" s="228">
        <f>'Survey Template'!C22</f>
        <v>19522.3</v>
      </c>
      <c r="D133" s="228"/>
      <c r="E133" s="228"/>
      <c r="F133" s="228"/>
      <c r="G133" s="228">
        <f>'Survey Template'!G22</f>
        <v>17721.86</v>
      </c>
      <c r="H133" s="228">
        <f>'Survey Template'!H22</f>
        <v>0</v>
      </c>
      <c r="I133" s="228">
        <f>'Survey Template'!I22</f>
        <v>0</v>
      </c>
      <c r="J133" s="228"/>
      <c r="K133" s="228"/>
      <c r="L133" s="228">
        <f>'Survey Template'!L22</f>
        <v>19780</v>
      </c>
      <c r="M133" s="228">
        <f>'Survey Template'!M22</f>
        <v>18552.64</v>
      </c>
      <c r="N133" s="228"/>
      <c r="O133" s="228"/>
      <c r="P133" s="228"/>
      <c r="Q133" s="228"/>
      <c r="R133" s="228">
        <f t="array" ref="R133">AVERAGE(IF(C133:Q133&lt;&gt;0,C133:Q133,""))</f>
        <v>18894.2</v>
      </c>
    </row>
    <row r="134" spans="1:18" ht="13.5" thickBot="1" x14ac:dyDescent="0.25">
      <c r="B134" s="193" t="s">
        <v>25</v>
      </c>
      <c r="C134" s="231">
        <f>'Survey Template'!C43</f>
        <v>976.1</v>
      </c>
      <c r="D134" s="231"/>
      <c r="E134" s="231"/>
      <c r="F134" s="231"/>
      <c r="G134" s="231">
        <f>'Survey Template'!G43</f>
        <v>886.09</v>
      </c>
      <c r="H134" s="231">
        <f>'Survey Template'!H43</f>
        <v>0</v>
      </c>
      <c r="I134" s="231">
        <f>'Survey Template'!I43</f>
        <v>0</v>
      </c>
      <c r="J134" s="231"/>
      <c r="K134" s="231"/>
      <c r="L134" s="231">
        <f>'Survey Template'!L43</f>
        <v>576</v>
      </c>
      <c r="M134" s="231">
        <f>'Survey Template'!M43</f>
        <v>927.36</v>
      </c>
      <c r="N134" s="231"/>
      <c r="O134" s="231"/>
      <c r="P134" s="231"/>
      <c r="Q134" s="230"/>
      <c r="R134" s="228">
        <f t="array" ref="R134">AVERAGE(IF(C134:Q134&lt;&gt;0,C134:Q134,""))</f>
        <v>841.38750000000005</v>
      </c>
    </row>
    <row r="135" spans="1:18" x14ac:dyDescent="0.2">
      <c r="B135" s="210" t="s">
        <v>17</v>
      </c>
      <c r="C135" s="228">
        <f>SUM(C133:C134)</f>
        <v>20498.399999999998</v>
      </c>
      <c r="D135" s="228"/>
      <c r="E135" s="228"/>
      <c r="F135" s="228"/>
      <c r="G135" s="228">
        <f>SUM(G133:G134)</f>
        <v>18607.95</v>
      </c>
      <c r="H135" s="228">
        <f t="shared" ref="H135:I135" si="14">SUM(H133:H134)</f>
        <v>0</v>
      </c>
      <c r="I135" s="228">
        <f t="shared" si="14"/>
        <v>0</v>
      </c>
      <c r="J135" s="228"/>
      <c r="K135" s="228"/>
      <c r="L135" s="228">
        <f>SUM(L133:L134)</f>
        <v>20356</v>
      </c>
      <c r="M135" s="228">
        <f>SUM(M133:M134)</f>
        <v>19480</v>
      </c>
      <c r="N135" s="228"/>
      <c r="O135" s="228"/>
      <c r="P135" s="228"/>
      <c r="Q135" s="228"/>
      <c r="R135" s="228">
        <f t="array" ref="R135">AVERAGE(IF(C135:Q135&lt;&gt;0,C135:Q135,""))</f>
        <v>19735.587500000001</v>
      </c>
    </row>
    <row r="136" spans="1:18" x14ac:dyDescent="0.2"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</row>
    <row r="137" spans="1:18" x14ac:dyDescent="0.2">
      <c r="A137" s="192" t="s">
        <v>118</v>
      </c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</row>
    <row r="138" spans="1:18" x14ac:dyDescent="0.2">
      <c r="B138" s="193" t="s">
        <v>46</v>
      </c>
      <c r="C138" s="228">
        <f>C135+C38+40*(C17+C44+C45)+2*C26</f>
        <v>22507.78</v>
      </c>
      <c r="D138" s="228"/>
      <c r="E138" s="228"/>
      <c r="F138" s="228"/>
      <c r="G138" s="228">
        <f>G135+G38+G33+40*(G44+G45)</f>
        <v>21398.120000000003</v>
      </c>
      <c r="H138" s="228"/>
      <c r="I138" s="228"/>
      <c r="J138" s="228"/>
      <c r="K138" s="228"/>
      <c r="L138" s="228">
        <f>L135+L31+L38+40*(L17+L44+L45)</f>
        <v>21202.400000000001</v>
      </c>
      <c r="M138" s="228">
        <f>M135+M31+M38+40*(M17+M44+M45)</f>
        <v>20909.599999999999</v>
      </c>
      <c r="N138" s="228"/>
      <c r="O138" s="228"/>
      <c r="P138" s="228"/>
      <c r="Q138" s="228"/>
      <c r="R138" s="228">
        <f t="array" ref="R138">AVERAGE(IF(C138:Q138&lt;&gt;0,C138:Q138,""))</f>
        <v>21504.474999999999</v>
      </c>
    </row>
    <row r="139" spans="1:18" x14ac:dyDescent="0.2">
      <c r="B139" s="193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</row>
    <row r="140" spans="1:18" x14ac:dyDescent="0.2">
      <c r="A140" s="192" t="s">
        <v>176</v>
      </c>
      <c r="R140" s="228"/>
    </row>
    <row r="141" spans="1:18" x14ac:dyDescent="0.2">
      <c r="B141" s="193" t="s">
        <v>83</v>
      </c>
      <c r="C141" s="228">
        <f>'Survey Template'!C86</f>
        <v>28322.3</v>
      </c>
      <c r="D141" s="228"/>
      <c r="E141" s="228">
        <f>'Survey Template'!E86</f>
        <v>0</v>
      </c>
      <c r="F141" s="228">
        <f>'Survey Template'!F86</f>
        <v>0</v>
      </c>
      <c r="G141" s="228">
        <f>'Survey Template'!G86</f>
        <v>24729.119999999999</v>
      </c>
      <c r="H141" s="228"/>
      <c r="I141" s="228"/>
      <c r="J141" s="228">
        <f>'Survey Template'!J86</f>
        <v>0</v>
      </c>
      <c r="K141" s="228">
        <f>'Survey Template'!K86</f>
        <v>0</v>
      </c>
      <c r="L141" s="228">
        <f>'Survey Template'!L86</f>
        <v>51186</v>
      </c>
      <c r="M141" s="228">
        <f>'Survey Template'!M86</f>
        <v>35194.239999999998</v>
      </c>
      <c r="N141" s="228">
        <f>'Survey Template'!N86</f>
        <v>0</v>
      </c>
      <c r="O141" s="228">
        <f>'Survey Template'!O86</f>
        <v>0</v>
      </c>
      <c r="P141" s="228"/>
      <c r="Q141" s="228"/>
      <c r="R141" s="228">
        <f t="array" ref="R141">AVERAGE(IF(C141:Q141&lt;&gt;0,C141:Q141,""))</f>
        <v>34857.915000000001</v>
      </c>
    </row>
    <row r="142" spans="1:18" ht="13.5" thickBot="1" x14ac:dyDescent="0.25">
      <c r="B142" s="193" t="s">
        <v>25</v>
      </c>
      <c r="C142" s="231">
        <f>'Survey Template'!C108</f>
        <v>1416.1</v>
      </c>
      <c r="D142" s="231"/>
      <c r="E142" s="231">
        <f>'Survey Template'!E108</f>
        <v>0</v>
      </c>
      <c r="F142" s="231">
        <f>'Survey Template'!F108</f>
        <v>0</v>
      </c>
      <c r="G142" s="231">
        <f>'Survey Template'!G108</f>
        <v>1236.45</v>
      </c>
      <c r="H142" s="231"/>
      <c r="I142" s="231"/>
      <c r="J142" s="231">
        <f>'Survey Template'!J108</f>
        <v>0</v>
      </c>
      <c r="K142" s="231">
        <f>'Survey Template'!K108</f>
        <v>0</v>
      </c>
      <c r="L142" s="231">
        <f>'Survey Template'!L108</f>
        <v>2146</v>
      </c>
      <c r="M142" s="231">
        <f>'Survey Template'!M108</f>
        <v>1759.36</v>
      </c>
      <c r="N142" s="231">
        <f>'Survey Template'!N108</f>
        <v>0</v>
      </c>
      <c r="O142" s="231">
        <f>'Survey Template'!O108</f>
        <v>0</v>
      </c>
      <c r="P142" s="231"/>
      <c r="Q142" s="230"/>
      <c r="R142" s="228">
        <f t="array" ref="R142">AVERAGE(IF(C142:Q142&lt;&gt;0,C142:Q142,""))</f>
        <v>1639.4775</v>
      </c>
    </row>
    <row r="143" spans="1:18" x14ac:dyDescent="0.2">
      <c r="B143" s="210" t="s">
        <v>17</v>
      </c>
      <c r="C143" s="228">
        <f>SUM(C141:C142)</f>
        <v>29738.399999999998</v>
      </c>
      <c r="D143" s="228"/>
      <c r="E143" s="228"/>
      <c r="F143" s="228"/>
      <c r="G143" s="228">
        <f>SUM(G141:G142)</f>
        <v>25965.57</v>
      </c>
      <c r="H143" s="228"/>
      <c r="I143" s="228"/>
      <c r="J143" s="228"/>
      <c r="K143" s="228"/>
      <c r="L143" s="228">
        <f>SUM(L141:L142)</f>
        <v>53332</v>
      </c>
      <c r="M143" s="228">
        <f>SUM(M141:M142)</f>
        <v>36953.599999999999</v>
      </c>
      <c r="N143" s="228"/>
      <c r="O143" s="228"/>
      <c r="P143" s="228"/>
      <c r="Q143" s="228"/>
      <c r="R143" s="228">
        <f t="array" ref="R143">AVERAGE(IF(C143:Q143&lt;&gt;0,C143:Q143,""))</f>
        <v>36497.392500000002</v>
      </c>
    </row>
    <row r="144" spans="1:18" x14ac:dyDescent="0.2"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</row>
    <row r="145" spans="1:18" x14ac:dyDescent="0.2">
      <c r="A145" s="192" t="s">
        <v>172</v>
      </c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</row>
    <row r="146" spans="1:18" x14ac:dyDescent="0.2">
      <c r="B146" s="193" t="s">
        <v>46</v>
      </c>
      <c r="C146" s="228">
        <f>C143+C33+C39+40*(C17+C44+C45)</f>
        <v>30008.799999999999</v>
      </c>
      <c r="D146" s="228"/>
      <c r="E146" s="228"/>
      <c r="F146" s="228"/>
      <c r="G146" s="228">
        <f>G143+G33+G39+40*(G44+G45)+2*G26</f>
        <v>27196.06</v>
      </c>
      <c r="H146" s="228"/>
      <c r="I146" s="228"/>
      <c r="J146" s="228"/>
      <c r="K146" s="228"/>
      <c r="L146" s="228">
        <f>L143+40*(L17+L44+L45)+2*L26</f>
        <v>54178.400000000001</v>
      </c>
      <c r="M146" s="228">
        <f>M143+40*(M17+M44+M45)+2*M26</f>
        <v>38768.579999999994</v>
      </c>
      <c r="N146" s="228"/>
      <c r="O146" s="228"/>
      <c r="P146" s="228"/>
      <c r="Q146" s="228"/>
      <c r="R146" s="228">
        <f t="array" ref="R146">AVERAGE(IF(C146:Q146&lt;&gt;0,C146:Q146,""))</f>
        <v>37537.96</v>
      </c>
    </row>
    <row r="147" spans="1:18" x14ac:dyDescent="0.2">
      <c r="B147" s="193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</row>
    <row r="148" spans="1:18" ht="15.75" x14ac:dyDescent="0.25">
      <c r="A148" s="195" t="s">
        <v>123</v>
      </c>
      <c r="B148" s="197"/>
      <c r="C148" s="227"/>
      <c r="D148" s="227"/>
      <c r="R148" s="228"/>
    </row>
    <row r="149" spans="1:18" x14ac:dyDescent="0.2">
      <c r="A149" s="192" t="s">
        <v>261</v>
      </c>
      <c r="R149" s="228"/>
    </row>
    <row r="150" spans="1:18" x14ac:dyDescent="0.2">
      <c r="B150" s="193" t="s">
        <v>30</v>
      </c>
      <c r="C150" s="228">
        <f>'Survey Template'!C24</f>
        <v>13201.82</v>
      </c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>
        <f t="array" ref="R150">AVERAGE(IF(C150:Q150&lt;&gt;0,C150:Q150,""))</f>
        <v>13201.82</v>
      </c>
    </row>
    <row r="151" spans="1:18" ht="13.5" thickBot="1" x14ac:dyDescent="0.25">
      <c r="B151" s="193" t="s">
        <v>25</v>
      </c>
      <c r="C151" s="231">
        <f>'Survey Template'!C45</f>
        <v>660.08</v>
      </c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0"/>
      <c r="R151" s="228">
        <f t="array" ref="R151">AVERAGE(IF(C151:Q151&lt;&gt;0,C151:Q151,""))</f>
        <v>660.08</v>
      </c>
    </row>
    <row r="152" spans="1:18" x14ac:dyDescent="0.2">
      <c r="B152" s="210" t="s">
        <v>17</v>
      </c>
      <c r="C152" s="228">
        <f>SUM(C150:C151)</f>
        <v>13861.9</v>
      </c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>
        <f t="array" ref="R152">AVERAGE(IF(C152:Q152&lt;&gt;0,C152:Q152,""))</f>
        <v>13861.9</v>
      </c>
    </row>
    <row r="153" spans="1:18" ht="6" customHeight="1" x14ac:dyDescent="0.2"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</row>
    <row r="154" spans="1:18" x14ac:dyDescent="0.2">
      <c r="A154" s="192" t="s">
        <v>131</v>
      </c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</row>
    <row r="155" spans="1:18" x14ac:dyDescent="0.2">
      <c r="B155" s="193" t="s">
        <v>46</v>
      </c>
      <c r="C155" s="228">
        <f>C152+C31+C41+24*(C44+C45)</f>
        <v>15235.96</v>
      </c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>
        <f t="array" ref="R155">AVERAGE(IF(C155:Q155&lt;&gt;0,C155:Q155,""))</f>
        <v>15235.96</v>
      </c>
    </row>
    <row r="156" spans="1:18" x14ac:dyDescent="0.2">
      <c r="B156" s="193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</row>
    <row r="157" spans="1:18" x14ac:dyDescent="0.2">
      <c r="A157" s="192" t="s">
        <v>262</v>
      </c>
      <c r="R157" s="228"/>
    </row>
    <row r="158" spans="1:18" x14ac:dyDescent="0.2">
      <c r="B158" s="193" t="s">
        <v>83</v>
      </c>
      <c r="C158" s="228">
        <f>'Survey Template'!C88</f>
        <v>29767.06</v>
      </c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>
        <f t="array" ref="R158">AVERAGE(IF(C158:Q158&lt;&gt;0,C158:Q158,""))</f>
        <v>29767.06</v>
      </c>
    </row>
    <row r="159" spans="1:18" ht="13.5" thickBot="1" x14ac:dyDescent="0.25">
      <c r="B159" s="193" t="s">
        <v>25</v>
      </c>
      <c r="C159" s="231">
        <f>'Survey Template'!C110</f>
        <v>1488.3400000000001</v>
      </c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0"/>
      <c r="R159" s="228">
        <f t="array" ref="R159">AVERAGE(IF(C159:Q159&lt;&gt;0,C159:Q159,""))</f>
        <v>1488.3400000000001</v>
      </c>
    </row>
    <row r="160" spans="1:18" x14ac:dyDescent="0.2">
      <c r="B160" s="210" t="s">
        <v>17</v>
      </c>
      <c r="C160" s="228">
        <f>SUM(C158:C159)</f>
        <v>31255.4</v>
      </c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>
        <f t="array" ref="R160">AVERAGE(IF(C160:Q160&lt;&gt;0,C160:Q160,""))</f>
        <v>31255.4</v>
      </c>
    </row>
    <row r="161" spans="1:18" ht="9" customHeight="1" x14ac:dyDescent="0.2"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</row>
    <row r="162" spans="1:18" x14ac:dyDescent="0.2">
      <c r="A162" s="192" t="s">
        <v>175</v>
      </c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</row>
    <row r="163" spans="1:18" x14ac:dyDescent="0.2">
      <c r="B163" s="193" t="s">
        <v>46</v>
      </c>
      <c r="C163" s="228">
        <f>C160+C41+C31+24*(C44+C45)</f>
        <v>32629.460000000003</v>
      </c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>
        <f t="array" ref="R163">AVERAGE(IF(C163:Q163&lt;&gt;0,C163:Q163,""))</f>
        <v>32629.460000000003</v>
      </c>
    </row>
    <row r="164" spans="1:18" ht="7.5" customHeight="1" x14ac:dyDescent="0.2">
      <c r="R164" s="228"/>
    </row>
    <row r="165" spans="1:18" ht="15.75" x14ac:dyDescent="0.25">
      <c r="A165" s="195" t="s">
        <v>121</v>
      </c>
      <c r="B165" s="197"/>
      <c r="C165" s="227"/>
      <c r="D165" s="227"/>
      <c r="R165" s="228"/>
    </row>
    <row r="166" spans="1:18" x14ac:dyDescent="0.2">
      <c r="A166" s="192" t="s">
        <v>263</v>
      </c>
      <c r="R166" s="228"/>
    </row>
    <row r="167" spans="1:18" x14ac:dyDescent="0.2">
      <c r="B167" s="193" t="s">
        <v>30</v>
      </c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>
        <f>'Survey Template'!M19</f>
        <v>21286.080000000002</v>
      </c>
      <c r="N167" s="228">
        <f>'Survey Template'!N19</f>
        <v>13713.28</v>
      </c>
      <c r="O167" s="228"/>
      <c r="P167" s="228"/>
      <c r="Q167" s="228"/>
      <c r="R167" s="228">
        <f t="array" ref="R167">AVERAGE(IF(C167:Q167&lt;&gt;0,C167:Q167,""))</f>
        <v>17499.68</v>
      </c>
    </row>
    <row r="168" spans="1:18" ht="13.5" thickBot="1" x14ac:dyDescent="0.25">
      <c r="B168" s="193" t="s">
        <v>25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>
        <f>'Survey Template'!M40</f>
        <v>1064</v>
      </c>
      <c r="N168" s="231">
        <f>'Survey Template'!N40</f>
        <v>685.44</v>
      </c>
      <c r="O168" s="231"/>
      <c r="P168" s="231"/>
      <c r="Q168" s="230"/>
      <c r="R168" s="228">
        <f t="array" ref="R168">AVERAGE(IF(C168:Q168&lt;&gt;0,C168:Q168,""))</f>
        <v>874.72</v>
      </c>
    </row>
    <row r="169" spans="1:18" x14ac:dyDescent="0.2">
      <c r="B169" s="210" t="s">
        <v>17</v>
      </c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>
        <f>SUM(M167:M168)</f>
        <v>22350.080000000002</v>
      </c>
      <c r="N169" s="228">
        <f>SUM(N167:N168)</f>
        <v>14398.720000000001</v>
      </c>
      <c r="O169" s="228"/>
      <c r="P169" s="228"/>
      <c r="Q169" s="228"/>
      <c r="R169" s="228">
        <f t="array" ref="R169">AVERAGE(IF(C169:Q169&lt;&gt;0,C169:Q169,""))</f>
        <v>18374.400000000001</v>
      </c>
    </row>
    <row r="170" spans="1:18" ht="4.5" customHeight="1" x14ac:dyDescent="0.2"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</row>
    <row r="171" spans="1:18" x14ac:dyDescent="0.2">
      <c r="A171" s="192" t="s">
        <v>128</v>
      </c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</row>
    <row r="172" spans="1:18" x14ac:dyDescent="0.2">
      <c r="B172" s="193" t="s">
        <v>46</v>
      </c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>
        <f>+M169+32*(M13+M16+M44+M45)+2*M26</f>
        <v>24942.820000000003</v>
      </c>
      <c r="N172" s="228">
        <f>+N169+32*(N13+N16+N44+N45)+2*N26</f>
        <v>16307.2</v>
      </c>
      <c r="O172" s="228"/>
      <c r="P172" s="228"/>
      <c r="Q172" s="228"/>
      <c r="R172" s="228">
        <f t="array" ref="R172">AVERAGE(IF(C172:Q172&lt;&gt;0,C172:Q172,""))</f>
        <v>20625.010000000002</v>
      </c>
    </row>
    <row r="173" spans="1:18" ht="6.75" customHeight="1" x14ac:dyDescent="0.2">
      <c r="B173" s="196"/>
      <c r="R173" s="228"/>
    </row>
    <row r="174" spans="1:18" x14ac:dyDescent="0.2">
      <c r="A174" s="192" t="s">
        <v>173</v>
      </c>
      <c r="R174" s="228"/>
    </row>
    <row r="175" spans="1:18" x14ac:dyDescent="0.2">
      <c r="B175" s="193" t="s">
        <v>83</v>
      </c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>
        <f>'Survey Template'!M83</f>
        <v>37927.68</v>
      </c>
      <c r="N175" s="228">
        <f>'Survey Template'!N83</f>
        <v>32535.68</v>
      </c>
      <c r="O175" s="228"/>
      <c r="P175" s="228"/>
      <c r="Q175" s="228"/>
      <c r="R175" s="228">
        <f t="array" ref="R175">AVERAGE(IF(C175:Q175&lt;&gt;0,C175:Q175,""))</f>
        <v>35231.68</v>
      </c>
    </row>
    <row r="176" spans="1:18" ht="13.5" thickBot="1" x14ac:dyDescent="0.25">
      <c r="B176" s="193" t="s">
        <v>25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>
        <f>'Survey Template'!M105</f>
        <v>1896</v>
      </c>
      <c r="N176" s="231">
        <f>'Survey Template'!N105</f>
        <v>1626.56</v>
      </c>
      <c r="O176" s="231"/>
      <c r="P176" s="231"/>
      <c r="Q176" s="230"/>
      <c r="R176" s="228">
        <f t="array" ref="R176">AVERAGE(IF(C176:Q176&lt;&gt;0,C176:Q176,""))</f>
        <v>1761.28</v>
      </c>
    </row>
    <row r="177" spans="1:18" x14ac:dyDescent="0.2">
      <c r="B177" s="210" t="s">
        <v>17</v>
      </c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>
        <f>SUM(M175:M176)</f>
        <v>39823.68</v>
      </c>
      <c r="N177" s="228">
        <f>SUM(N175:N176)</f>
        <v>34162.239999999998</v>
      </c>
      <c r="O177" s="228"/>
      <c r="P177" s="228"/>
      <c r="Q177" s="228"/>
      <c r="R177" s="228">
        <f t="array" ref="R177">AVERAGE(IF(C177:Q177&lt;&gt;0,C177:Q177,""))</f>
        <v>36992.959999999999</v>
      </c>
    </row>
    <row r="178" spans="1:18" x14ac:dyDescent="0.2">
      <c r="A178" s="192" t="s">
        <v>174</v>
      </c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</row>
    <row r="179" spans="1:18" x14ac:dyDescent="0.2">
      <c r="B179" s="193" t="s">
        <v>46</v>
      </c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>
        <f>+M177+32*(M13+M16+M44+M45)+2*M26</f>
        <v>42416.42</v>
      </c>
      <c r="N179" s="228">
        <f>+N177+32*(N13+N16+N44+N45)+2*N26</f>
        <v>36070.720000000001</v>
      </c>
      <c r="O179" s="228"/>
      <c r="P179" s="228"/>
      <c r="Q179" s="228"/>
      <c r="R179" s="228">
        <f t="array" ref="R179">AVERAGE(IF(C179:Q179&lt;&gt;0,C179:Q179,""))</f>
        <v>39243.57</v>
      </c>
    </row>
    <row r="180" spans="1:18" x14ac:dyDescent="0.2">
      <c r="A180" s="174"/>
      <c r="B180" s="193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</row>
    <row r="181" spans="1:18" x14ac:dyDescent="0.2">
      <c r="A181" s="206" t="s">
        <v>264</v>
      </c>
    </row>
    <row r="182" spans="1:18" x14ac:dyDescent="0.2">
      <c r="A182" s="206" t="s">
        <v>266</v>
      </c>
    </row>
    <row r="183" spans="1:18" x14ac:dyDescent="0.2">
      <c r="A183" s="206" t="s">
        <v>278</v>
      </c>
    </row>
  </sheetData>
  <mergeCells count="1">
    <mergeCell ref="A1:R1"/>
  </mergeCells>
  <printOptions horizontalCentered="1"/>
  <pageMargins left="0" right="0" top="0.5" bottom="0.5" header="0.25" footer="0.25"/>
  <pageSetup paperSize="5" scale="72" fitToHeight="0" orientation="landscape" r:id="rId1"/>
  <headerFooter alignWithMargins="0"/>
  <rowBreaks count="3" manualBreakCount="3">
    <brk id="45" max="17" man="1"/>
    <brk id="96" max="17" man="1"/>
    <brk id="146" max="1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24"/>
  <sheetViews>
    <sheetView showZeros="0" topLeftCell="A3" zoomScaleNormal="100" zoomScaleSheetLayoutView="100" workbookViewId="0">
      <pane xSplit="2" ySplit="1" topLeftCell="C8" activePane="bottomRight" state="frozen"/>
      <selection activeCell="J142" sqref="J142"/>
      <selection pane="topRight" activeCell="J142" sqref="J142"/>
      <selection pane="bottomLeft" activeCell="J142" sqref="J142"/>
      <selection pane="bottomRight" activeCell="L32" sqref="L32"/>
    </sheetView>
  </sheetViews>
  <sheetFormatPr defaultColWidth="9.140625" defaultRowHeight="12.75" x14ac:dyDescent="0.2"/>
  <cols>
    <col min="1" max="1" width="12.7109375" style="194" customWidth="1"/>
    <col min="2" max="2" width="27" style="194" customWidth="1"/>
    <col min="3" max="3" width="10.7109375" style="194" bestFit="1" customWidth="1"/>
    <col min="4" max="4" width="10.7109375" style="194" customWidth="1"/>
    <col min="5" max="7" width="10.7109375" style="194" bestFit="1" customWidth="1"/>
    <col min="8" max="9" width="10.7109375" style="194" customWidth="1"/>
    <col min="10" max="10" width="11.42578125" style="194" bestFit="1" customWidth="1"/>
    <col min="11" max="16" width="10.7109375" style="194" bestFit="1" customWidth="1"/>
    <col min="17" max="17" width="10.7109375" style="194" customWidth="1"/>
    <col min="18" max="18" width="10.7109375" style="194" bestFit="1" customWidth="1"/>
    <col min="19" max="19" width="10.5703125" style="194" hidden="1" customWidth="1"/>
    <col min="20" max="16384" width="9.140625" style="194"/>
  </cols>
  <sheetData>
    <row r="1" spans="1:19" ht="26.25" x14ac:dyDescent="0.4">
      <c r="A1" s="225" t="s">
        <v>310</v>
      </c>
      <c r="B1" s="226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9" ht="21" customHeight="1" x14ac:dyDescent="0.4">
      <c r="A2" s="225" t="s">
        <v>179</v>
      </c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191" t="s">
        <v>130</v>
      </c>
    </row>
    <row r="3" spans="1:19" ht="37.15" customHeight="1" x14ac:dyDescent="0.2">
      <c r="C3" s="423" t="s">
        <v>0</v>
      </c>
      <c r="D3" s="423" t="s">
        <v>309</v>
      </c>
      <c r="E3" s="423" t="s">
        <v>1</v>
      </c>
      <c r="F3" s="423" t="s">
        <v>2</v>
      </c>
      <c r="G3" s="423" t="s">
        <v>267</v>
      </c>
      <c r="H3" s="423" t="s">
        <v>276</v>
      </c>
      <c r="I3" s="423" t="s">
        <v>277</v>
      </c>
      <c r="J3" s="423" t="s">
        <v>4</v>
      </c>
      <c r="K3" s="423" t="s">
        <v>5</v>
      </c>
      <c r="L3" s="423" t="s">
        <v>6</v>
      </c>
      <c r="M3" s="423" t="s">
        <v>7</v>
      </c>
      <c r="N3" s="423" t="s">
        <v>8</v>
      </c>
      <c r="O3" s="423" t="s">
        <v>9</v>
      </c>
      <c r="P3" s="423" t="s">
        <v>10</v>
      </c>
      <c r="Q3" s="423" t="s">
        <v>308</v>
      </c>
      <c r="R3" s="423" t="s">
        <v>129</v>
      </c>
      <c r="S3" s="191" t="s">
        <v>11</v>
      </c>
    </row>
    <row r="4" spans="1:19" x14ac:dyDescent="0.2">
      <c r="A4" s="192" t="s">
        <v>12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</row>
    <row r="5" spans="1:19" x14ac:dyDescent="0.2">
      <c r="A5" s="192"/>
      <c r="B5" s="193" t="s">
        <v>13</v>
      </c>
      <c r="C5" s="228">
        <f>'Survey Template'!C144</f>
        <v>18.190000000000001</v>
      </c>
      <c r="D5" s="228">
        <f>'Survey Template'!D144</f>
        <v>0</v>
      </c>
      <c r="E5" s="228">
        <f>'Survey Template'!E144</f>
        <v>12.86</v>
      </c>
      <c r="F5" s="228">
        <f>'Survey Template'!F144</f>
        <v>10.5</v>
      </c>
      <c r="G5" s="228">
        <f>'Survey Template'!G144</f>
        <v>12.08</v>
      </c>
      <c r="H5" s="228">
        <f>'Survey Template'!H144</f>
        <v>25.63</v>
      </c>
      <c r="I5" s="228">
        <f>'Survey Template'!I144</f>
        <v>20.190000000000001</v>
      </c>
      <c r="J5" s="228">
        <f>'Survey Template'!J144</f>
        <v>12.32</v>
      </c>
      <c r="K5" s="228">
        <f>'Survey Template'!K144</f>
        <v>13.57</v>
      </c>
      <c r="L5" s="228">
        <f>'Survey Template'!L144</f>
        <v>11.67</v>
      </c>
      <c r="M5" s="228">
        <f>'Survey Template'!M144</f>
        <v>12.87</v>
      </c>
      <c r="N5" s="228">
        <f>'Survey Template'!N144</f>
        <v>14.47</v>
      </c>
      <c r="O5" s="228">
        <f>'Survey Template'!O144</f>
        <v>11.5</v>
      </c>
      <c r="P5" s="228">
        <f>'Survey Template'!P144</f>
        <v>16.84</v>
      </c>
      <c r="Q5" s="228">
        <f>'Survey Template'!Q144</f>
        <v>17.62</v>
      </c>
      <c r="R5" s="228">
        <f t="array" ref="R5">AVERAGE(IF(C5:Q5&lt;&gt;0,C5:Q5,""))</f>
        <v>15.022142857142855</v>
      </c>
      <c r="S5" s="229"/>
    </row>
    <row r="6" spans="1:19" x14ac:dyDescent="0.2">
      <c r="A6" s="192"/>
      <c r="B6" s="193" t="s">
        <v>14</v>
      </c>
      <c r="C6" s="228">
        <f>'Survey Template'!C147</f>
        <v>1.9</v>
      </c>
      <c r="D6" s="228">
        <f>'Survey Template'!D147</f>
        <v>0</v>
      </c>
      <c r="E6" s="228">
        <f>'Survey Template'!E147</f>
        <v>7.9</v>
      </c>
      <c r="F6" s="228">
        <f>'Survey Template'!F147</f>
        <v>13.969999999999999</v>
      </c>
      <c r="G6" s="228">
        <f>'Survey Template'!G147</f>
        <v>14.46</v>
      </c>
      <c r="H6" s="228">
        <f>'Survey Template'!H147</f>
        <v>2.4500000000000002</v>
      </c>
      <c r="I6" s="228">
        <f>'Survey Template'!I147</f>
        <v>4.2300000000000004</v>
      </c>
      <c r="J6" s="228">
        <f>'Survey Template'!J147</f>
        <v>17.27</v>
      </c>
      <c r="K6" s="228">
        <f>'Survey Template'!K147</f>
        <v>20.93</v>
      </c>
      <c r="L6" s="228">
        <f>'Survey Template'!L147</f>
        <v>14.32</v>
      </c>
      <c r="M6" s="228">
        <f>'Survey Template'!M147</f>
        <v>14.1</v>
      </c>
      <c r="N6" s="228">
        <f>'Survey Template'!N147</f>
        <v>16.829999999999998</v>
      </c>
      <c r="O6" s="228">
        <f>'Survey Template'!O147</f>
        <v>13.54</v>
      </c>
      <c r="P6" s="228">
        <f>'Survey Template'!P147</f>
        <v>6.81</v>
      </c>
      <c r="Q6" s="228">
        <f>'Survey Template'!Q147</f>
        <v>14.12</v>
      </c>
      <c r="R6" s="228">
        <f t="array" ref="R6">AVERAGE(IF(C6:Q6&lt;&gt;0,C6:Q6,""))</f>
        <v>11.630714285714287</v>
      </c>
      <c r="S6" s="229"/>
    </row>
    <row r="7" spans="1:19" x14ac:dyDescent="0.2">
      <c r="A7" s="192"/>
      <c r="B7" s="193" t="s">
        <v>113</v>
      </c>
      <c r="C7" s="228">
        <f>'Survey Template'!C148</f>
        <v>0</v>
      </c>
      <c r="D7" s="228">
        <f>'Survey Template'!D148</f>
        <v>0</v>
      </c>
      <c r="E7" s="228">
        <f>'Survey Template'!E148</f>
        <v>0</v>
      </c>
      <c r="F7" s="228">
        <f>'Survey Template'!F148</f>
        <v>0</v>
      </c>
      <c r="G7" s="228">
        <f>'Survey Template'!G148</f>
        <v>0</v>
      </c>
      <c r="H7" s="228"/>
      <c r="I7" s="228"/>
      <c r="J7" s="228">
        <f>'Survey Template'!J148</f>
        <v>0</v>
      </c>
      <c r="K7" s="228">
        <f>'Survey Template'!K148</f>
        <v>0</v>
      </c>
      <c r="L7" s="228">
        <f>'Survey Template'!L148</f>
        <v>0</v>
      </c>
      <c r="M7" s="228">
        <f>'Survey Template'!M148</f>
        <v>2</v>
      </c>
      <c r="N7" s="228">
        <f>'Survey Template'!N148</f>
        <v>2</v>
      </c>
      <c r="O7" s="228">
        <f>'Survey Template'!O148</f>
        <v>4</v>
      </c>
      <c r="P7" s="228">
        <f>'Survey Template'!P148</f>
        <v>0</v>
      </c>
      <c r="Q7" s="228">
        <f>'Survey Template'!Q148</f>
        <v>0</v>
      </c>
      <c r="R7" s="228">
        <f t="array" ref="R7">AVERAGE(IF(C7:Q7&lt;&gt;0,C7:Q7,""))</f>
        <v>2.6666666666666665</v>
      </c>
    </row>
    <row r="8" spans="1:19" x14ac:dyDescent="0.2">
      <c r="A8" s="192"/>
      <c r="B8" s="193" t="s">
        <v>15</v>
      </c>
      <c r="C8" s="228">
        <f>'Survey Template'!C152</f>
        <v>14.93</v>
      </c>
      <c r="D8" s="228">
        <f>'Survey Template'!D152</f>
        <v>0</v>
      </c>
      <c r="E8" s="228">
        <f>'Survey Template'!E152</f>
        <v>13.97</v>
      </c>
      <c r="F8" s="228">
        <f>'Survey Template'!F152</f>
        <v>6.91</v>
      </c>
      <c r="G8" s="228">
        <f>'Survey Template'!G152</f>
        <v>9.94</v>
      </c>
      <c r="H8" s="228">
        <f>'Survey Template'!H152</f>
        <v>4.9000000000000004</v>
      </c>
      <c r="I8" s="228">
        <f>'Survey Template'!I152</f>
        <v>4.03</v>
      </c>
      <c r="J8" s="228">
        <f>'Survey Template'!J152</f>
        <v>9.42</v>
      </c>
      <c r="K8" s="228">
        <f>'Survey Template'!K152</f>
        <v>7.52</v>
      </c>
      <c r="L8" s="228">
        <f>'Survey Template'!L152</f>
        <v>10.84</v>
      </c>
      <c r="M8" s="228">
        <f>'Survey Template'!M152</f>
        <v>0</v>
      </c>
      <c r="N8" s="228">
        <f>'Survey Template'!N152</f>
        <v>10.25</v>
      </c>
      <c r="O8" s="228">
        <f>'Survey Template'!O152</f>
        <v>9.24</v>
      </c>
      <c r="P8" s="228">
        <f>'Survey Template'!P152</f>
        <v>5.61</v>
      </c>
      <c r="Q8" s="228">
        <f>'Survey Template'!Q152</f>
        <v>9.58</v>
      </c>
      <c r="R8" s="228">
        <f t="array" ref="R8">AVERAGE(IF(C8:Q8&lt;&gt;0,C8:Q8,""))</f>
        <v>9.0107692307692293</v>
      </c>
    </row>
    <row r="9" spans="1:19" x14ac:dyDescent="0.2">
      <c r="B9" s="203" t="s">
        <v>144</v>
      </c>
      <c r="C9" s="230">
        <f>'Survey Template'!C155</f>
        <v>8.91</v>
      </c>
      <c r="D9" s="230">
        <f>'Survey Template'!D155</f>
        <v>0</v>
      </c>
      <c r="E9" s="230">
        <f>'Survey Template'!E155</f>
        <v>8.9</v>
      </c>
      <c r="F9" s="230">
        <f>'Survey Template'!F155</f>
        <v>0</v>
      </c>
      <c r="G9" s="230">
        <f>'Survey Template'!G155</f>
        <v>3</v>
      </c>
      <c r="H9" s="230">
        <f>'Survey Template'!H155</f>
        <v>2.25</v>
      </c>
      <c r="I9" s="230">
        <f>'Survey Template'!I155</f>
        <v>0</v>
      </c>
      <c r="J9" s="230">
        <f>'Survey Template'!J155</f>
        <v>0</v>
      </c>
      <c r="K9" s="230">
        <f>'Survey Template'!K155</f>
        <v>8</v>
      </c>
      <c r="L9" s="230">
        <f>'Survey Template'!L155</f>
        <v>9.1</v>
      </c>
      <c r="M9" s="230">
        <f>'Survey Template'!M155</f>
        <v>0</v>
      </c>
      <c r="N9" s="230">
        <f>'Survey Template'!N155</f>
        <v>4.08</v>
      </c>
      <c r="O9" s="230">
        <f>'Survey Template'!O155</f>
        <v>8.6999999999999993</v>
      </c>
      <c r="P9" s="230">
        <f>'Survey Template'!P155</f>
        <v>0</v>
      </c>
      <c r="Q9" s="230">
        <f>'Survey Template'!Q155</f>
        <v>3</v>
      </c>
      <c r="R9" s="228">
        <f t="array" ref="R9">AVERAGE(IF(C9:Q9&lt;&gt;0,C9:Q9,""))</f>
        <v>6.2155555555555555</v>
      </c>
    </row>
    <row r="10" spans="1:19" x14ac:dyDescent="0.2">
      <c r="B10" s="203" t="s">
        <v>227</v>
      </c>
      <c r="C10" s="230">
        <f>'Survey Template'!C159</f>
        <v>0</v>
      </c>
      <c r="D10" s="230">
        <f>'Survey Template'!D159</f>
        <v>0</v>
      </c>
      <c r="E10" s="230">
        <f>'Survey Template'!E159</f>
        <v>0</v>
      </c>
      <c r="F10" s="230">
        <f>'Survey Template'!F159</f>
        <v>0</v>
      </c>
      <c r="G10" s="230">
        <f>'Survey Template'!G159</f>
        <v>1</v>
      </c>
      <c r="H10" s="230">
        <f>'Survey Template'!H159</f>
        <v>1</v>
      </c>
      <c r="I10" s="230">
        <f>'Survey Template'!I159</f>
        <v>0</v>
      </c>
      <c r="J10" s="230">
        <f>'Survey Template'!J159</f>
        <v>0</v>
      </c>
      <c r="K10" s="230">
        <f>'Survey Template'!K159</f>
        <v>0.75</v>
      </c>
      <c r="L10" s="230">
        <f>'Survey Template'!L159</f>
        <v>0</v>
      </c>
      <c r="M10" s="230">
        <f>'Survey Template'!M159</f>
        <v>0</v>
      </c>
      <c r="N10" s="230">
        <f>'Survey Template'!N159</f>
        <v>0</v>
      </c>
      <c r="O10" s="230">
        <f>'Survey Template'!O159</f>
        <v>0</v>
      </c>
      <c r="P10" s="230">
        <f>'Survey Template'!P159</f>
        <v>1</v>
      </c>
      <c r="Q10" s="230">
        <f>'Survey Template'!Q159</f>
        <v>0</v>
      </c>
      <c r="R10" s="228">
        <f t="array" ref="R10">AVERAGE(IF(C10:Q10&lt;&gt;0,C10:Q10,""))</f>
        <v>0.9375</v>
      </c>
    </row>
    <row r="11" spans="1:19" ht="66" customHeight="1" thickBot="1" x14ac:dyDescent="0.25">
      <c r="A11" s="192"/>
      <c r="B11" s="212" t="s">
        <v>228</v>
      </c>
      <c r="C11" s="231">
        <f>'Survey Template'!C204</f>
        <v>0</v>
      </c>
      <c r="D11" s="231">
        <f>'Survey Template'!D204</f>
        <v>0</v>
      </c>
      <c r="E11" s="231">
        <f>'Survey Template'!E206</f>
        <v>2</v>
      </c>
      <c r="F11" s="231">
        <f>'Survey Template'!F204</f>
        <v>0</v>
      </c>
      <c r="G11" s="231">
        <f>'Survey Template'!G206</f>
        <v>1.5</v>
      </c>
      <c r="H11" s="231">
        <f>'Survey Template'!H204</f>
        <v>0</v>
      </c>
      <c r="I11" s="231">
        <f>'Survey Template'!I204</f>
        <v>0</v>
      </c>
      <c r="J11" s="231">
        <f>'Survey Template'!J204</f>
        <v>0</v>
      </c>
      <c r="K11" s="231">
        <f>'Survey Template'!K204</f>
        <v>0</v>
      </c>
      <c r="L11" s="231">
        <f>'Survey Template'!L204</f>
        <v>0</v>
      </c>
      <c r="M11" s="231">
        <f>'Survey Template'!M204</f>
        <v>0</v>
      </c>
      <c r="N11" s="231">
        <f>'Survey Template'!N204+'Survey Template'!N160</f>
        <v>5.25</v>
      </c>
      <c r="O11" s="231">
        <f>'Survey Template'!O204</f>
        <v>0</v>
      </c>
      <c r="P11" s="231"/>
      <c r="Q11" s="231"/>
      <c r="R11" s="228">
        <f t="array" ref="R11">AVERAGE(IF(C11:Q11&lt;&gt;0,C11:Q11,""))</f>
        <v>2.9166666666666665</v>
      </c>
    </row>
    <row r="12" spans="1:19" x14ac:dyDescent="0.2">
      <c r="B12" s="210" t="s">
        <v>17</v>
      </c>
      <c r="C12" s="228">
        <f>SUM(C5:C11)</f>
        <v>43.929999999999993</v>
      </c>
      <c r="D12" s="228">
        <f>SUM(D5:D11)</f>
        <v>0</v>
      </c>
      <c r="E12" s="228">
        <f>SUM(E5:E11)</f>
        <v>45.629999999999995</v>
      </c>
      <c r="F12" s="228">
        <f t="shared" ref="F12:O12" si="0">SUM(F5:F11)</f>
        <v>31.38</v>
      </c>
      <c r="G12" s="228">
        <f>SUM(G5:G11)</f>
        <v>41.98</v>
      </c>
      <c r="H12" s="228">
        <f t="shared" ref="H12:I12" si="1">SUM(H5:H11)</f>
        <v>36.229999999999997</v>
      </c>
      <c r="I12" s="228">
        <f t="shared" si="1"/>
        <v>28.450000000000003</v>
      </c>
      <c r="J12" s="228">
        <f>SUM(J5:J11)</f>
        <v>39.01</v>
      </c>
      <c r="K12" s="228">
        <f>SUM(K5:K11)</f>
        <v>50.769999999999996</v>
      </c>
      <c r="L12" s="228">
        <f t="shared" si="0"/>
        <v>45.93</v>
      </c>
      <c r="M12" s="228">
        <f t="shared" si="0"/>
        <v>28.97</v>
      </c>
      <c r="N12" s="228">
        <f>SUM(N5:N11)</f>
        <v>52.879999999999995</v>
      </c>
      <c r="O12" s="228">
        <f t="shared" si="0"/>
        <v>46.980000000000004</v>
      </c>
      <c r="P12" s="228">
        <f>SUM(P5:P11)</f>
        <v>30.259999999999998</v>
      </c>
      <c r="Q12" s="228">
        <f>SUM(Q5:Q11)</f>
        <v>44.32</v>
      </c>
      <c r="R12" s="228">
        <f t="array" ref="R12">AVERAGE(IF(C12:Q12&lt;&gt;0,C12:Q12,""))</f>
        <v>40.480000000000004</v>
      </c>
    </row>
    <row r="13" spans="1:19" x14ac:dyDescent="0.2">
      <c r="B13" s="210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</row>
    <row r="14" spans="1:19" x14ac:dyDescent="0.2">
      <c r="B14" s="203" t="s">
        <v>166</v>
      </c>
      <c r="C14" s="230">
        <f>'Survey Template'!C167</f>
        <v>5.25</v>
      </c>
      <c r="D14" s="230">
        <f>'Survey Template'!D167</f>
        <v>5.25</v>
      </c>
      <c r="E14" s="230">
        <f>'Survey Template'!E167</f>
        <v>5.25</v>
      </c>
      <c r="F14" s="230">
        <f>'Survey Template'!F167</f>
        <v>5.16</v>
      </c>
      <c r="G14" s="230">
        <f>'Survey Template'!G167</f>
        <v>5.25</v>
      </c>
      <c r="H14" s="230">
        <f>'Survey Template'!H167</f>
        <v>5.25</v>
      </c>
      <c r="I14" s="230">
        <f>'Survey Template'!I167</f>
        <v>5.25</v>
      </c>
      <c r="J14" s="230">
        <f>'Survey Template'!J167</f>
        <v>5.16</v>
      </c>
      <c r="K14" s="230">
        <f>'Survey Template'!K167</f>
        <v>5.25</v>
      </c>
      <c r="L14" s="230">
        <f>'Survey Template'!L167</f>
        <v>5.16</v>
      </c>
      <c r="M14" s="230">
        <f>'Survey Template'!M167</f>
        <v>5.25</v>
      </c>
      <c r="N14" s="230">
        <f>'Survey Template'!N167</f>
        <v>5.25</v>
      </c>
      <c r="O14" s="230">
        <f>'Survey Template'!O167</f>
        <v>5.25</v>
      </c>
      <c r="P14" s="230">
        <f>'Survey Template'!P167</f>
        <v>5.25</v>
      </c>
      <c r="Q14" s="230">
        <f>'Survey Template'!Q167</f>
        <v>5.25</v>
      </c>
      <c r="R14" s="228">
        <f t="array" ref="R14">AVERAGE(IF(C14:Q14&lt;&gt;0,C14:Q14,""))</f>
        <v>5.2319999999999993</v>
      </c>
    </row>
    <row r="15" spans="1:19" x14ac:dyDescent="0.2">
      <c r="B15" s="203" t="s">
        <v>180</v>
      </c>
      <c r="C15" s="230">
        <f>'Survey Template'!C168</f>
        <v>6.56</v>
      </c>
      <c r="D15" s="230">
        <f>'Survey Template'!D168</f>
        <v>0</v>
      </c>
      <c r="E15" s="230">
        <f>'Survey Template'!E168</f>
        <v>5.25</v>
      </c>
      <c r="F15" s="230">
        <f>'Survey Template'!F168</f>
        <v>16.7</v>
      </c>
      <c r="G15" s="230">
        <f>'Survey Template'!G168</f>
        <v>17.39</v>
      </c>
      <c r="H15" s="230">
        <f>'Survey Template'!H168</f>
        <v>17.39</v>
      </c>
      <c r="I15" s="230">
        <f>'Survey Template'!I168</f>
        <v>17.39</v>
      </c>
      <c r="J15" s="230">
        <f>'Survey Template'!J168</f>
        <v>5.16</v>
      </c>
      <c r="K15" s="230">
        <f>'Survey Template'!K168</f>
        <v>9.9700000000000006</v>
      </c>
      <c r="L15" s="230">
        <f>'Survey Template'!L168</f>
        <v>14.4</v>
      </c>
      <c r="M15" s="230">
        <f>'Survey Template'!M168</f>
        <v>18.989999999999998</v>
      </c>
      <c r="N15" s="230">
        <f>'Survey Template'!N168</f>
        <v>5.25</v>
      </c>
      <c r="O15" s="230">
        <f>'Survey Template'!O168</f>
        <v>14.52</v>
      </c>
      <c r="P15" s="230">
        <f>'Survey Template'!P168</f>
        <v>0</v>
      </c>
      <c r="Q15" s="230">
        <f>'Survey Template'!Q168</f>
        <v>19.25</v>
      </c>
      <c r="R15" s="228">
        <f t="array" ref="R15">AVERAGE(IF(C15:Q15&lt;&gt;0,C15:Q15,""))</f>
        <v>12.940000000000001</v>
      </c>
    </row>
    <row r="16" spans="1:19" x14ac:dyDescent="0.2">
      <c r="B16" s="203" t="s">
        <v>181</v>
      </c>
      <c r="C16" s="230">
        <f>'Survey Template'!C169</f>
        <v>6.56</v>
      </c>
      <c r="D16" s="230">
        <f>'Survey Template'!D169</f>
        <v>0</v>
      </c>
      <c r="E16" s="230">
        <f>'Survey Template'!E169</f>
        <v>5.25</v>
      </c>
      <c r="F16" s="230">
        <f>'Survey Template'!F169</f>
        <v>16.7</v>
      </c>
      <c r="G16" s="230">
        <f>'Survey Template'!G169</f>
        <v>17.39</v>
      </c>
      <c r="H16" s="230">
        <f>'Survey Template'!H169</f>
        <v>17.39</v>
      </c>
      <c r="I16" s="230">
        <f>'Survey Template'!I169</f>
        <v>17.39</v>
      </c>
      <c r="J16" s="230">
        <f>'Survey Template'!J169</f>
        <v>5.16</v>
      </c>
      <c r="K16" s="230">
        <f>'Survey Template'!K169</f>
        <v>9.9700000000000006</v>
      </c>
      <c r="L16" s="230">
        <f>'Survey Template'!L169</f>
        <v>14.4</v>
      </c>
      <c r="M16" s="230">
        <f>'Survey Template'!M169</f>
        <v>18.989999999999998</v>
      </c>
      <c r="N16" s="230">
        <f>'Survey Template'!N169</f>
        <v>5.25</v>
      </c>
      <c r="O16" s="230">
        <f>'Survey Template'!O169</f>
        <v>14.52</v>
      </c>
      <c r="P16" s="230">
        <f>'Survey Template'!P169</f>
        <v>0</v>
      </c>
      <c r="Q16" s="230">
        <f>'Survey Template'!Q169</f>
        <v>19.25</v>
      </c>
      <c r="R16" s="228">
        <f t="array" ref="R16">AVERAGE(IF(C16:Q16&lt;&gt;0,C16:Q16,""))</f>
        <v>12.940000000000001</v>
      </c>
    </row>
    <row r="17" spans="1:24" x14ac:dyDescent="0.2">
      <c r="B17" s="193" t="s">
        <v>189</v>
      </c>
      <c r="C17" s="228">
        <f>'Survey Template'!C171</f>
        <v>5.25</v>
      </c>
      <c r="D17" s="228">
        <f>'Survey Template'!D171</f>
        <v>0</v>
      </c>
      <c r="E17" s="228">
        <f>'Survey Template'!E171</f>
        <v>5.25</v>
      </c>
      <c r="F17" s="228">
        <f>'Survey Template'!F171</f>
        <v>18.98</v>
      </c>
      <c r="G17" s="228">
        <f>'Survey Template'!G171</f>
        <v>0</v>
      </c>
      <c r="H17" s="228">
        <f>'Survey Template'!H171</f>
        <v>0</v>
      </c>
      <c r="I17" s="228">
        <f>'Survey Template'!I171</f>
        <v>0</v>
      </c>
      <c r="J17" s="228">
        <f>'Survey Template'!J171</f>
        <v>0</v>
      </c>
      <c r="K17" s="228">
        <f>'Survey Template'!K171</f>
        <v>0</v>
      </c>
      <c r="L17" s="228">
        <f>'Survey Template'!L171</f>
        <v>0</v>
      </c>
      <c r="M17" s="228">
        <f>'Survey Template'!M171</f>
        <v>29.67</v>
      </c>
      <c r="N17" s="228">
        <f>'Survey Template'!N171</f>
        <v>0</v>
      </c>
      <c r="O17" s="228">
        <f>'Survey Template'!O171</f>
        <v>0</v>
      </c>
      <c r="P17" s="228">
        <f>'Survey Template'!P171</f>
        <v>0</v>
      </c>
      <c r="Q17" s="228">
        <f>'Survey Template'!Q171</f>
        <v>0</v>
      </c>
      <c r="R17" s="228">
        <f t="array" ref="R17">AVERAGE(IF(C17:Q17&lt;&gt;0,C17:Q17,""))</f>
        <v>14.787500000000001</v>
      </c>
    </row>
    <row r="18" spans="1:24" x14ac:dyDescent="0.2">
      <c r="B18" s="193" t="s">
        <v>190</v>
      </c>
      <c r="C18" s="228">
        <f>'Survey Template'!C173</f>
        <v>0</v>
      </c>
      <c r="D18" s="228"/>
      <c r="E18" s="228">
        <f>'Survey Template'!E173</f>
        <v>0</v>
      </c>
      <c r="F18" s="228">
        <f>'Survey Template'!F173</f>
        <v>0</v>
      </c>
      <c r="G18" s="228">
        <f>'Survey Template'!G173</f>
        <v>0</v>
      </c>
      <c r="H18" s="228">
        <f>'Survey Template'!H173</f>
        <v>0</v>
      </c>
      <c r="I18" s="228"/>
      <c r="J18" s="228">
        <f>'Survey Template'!J173</f>
        <v>0</v>
      </c>
      <c r="K18" s="228">
        <f>'Survey Template'!K173</f>
        <v>0</v>
      </c>
      <c r="L18" s="228">
        <f>'Survey Template'!L173</f>
        <v>0</v>
      </c>
      <c r="M18" s="228">
        <f>'Survey Template'!M173</f>
        <v>33.25</v>
      </c>
      <c r="N18" s="228">
        <f>'Survey Template'!N173</f>
        <v>0</v>
      </c>
      <c r="O18" s="228">
        <f>'Survey Template'!O173</f>
        <v>0</v>
      </c>
      <c r="P18" s="228">
        <f>'Survey Template'!P173</f>
        <v>0</v>
      </c>
      <c r="Q18" s="228">
        <f>'Survey Template'!Q173</f>
        <v>0</v>
      </c>
      <c r="R18" s="228">
        <f t="array" ref="R18">AVERAGE(IF(C18:Q18&lt;&gt;0,C18:Q18,""))</f>
        <v>33.25</v>
      </c>
    </row>
    <row r="19" spans="1:24" x14ac:dyDescent="0.2">
      <c r="B19" s="203" t="s">
        <v>193</v>
      </c>
      <c r="C19" s="230">
        <f>'Survey Template'!C172</f>
        <v>0</v>
      </c>
      <c r="D19" s="230"/>
      <c r="E19" s="230">
        <f>'Survey Template'!E172</f>
        <v>0</v>
      </c>
      <c r="F19" s="230">
        <f>'Survey Template'!F172</f>
        <v>0</v>
      </c>
      <c r="G19" s="230">
        <f>'Survey Template'!G172</f>
        <v>0</v>
      </c>
      <c r="H19" s="230">
        <f>'Survey Template'!H172</f>
        <v>0</v>
      </c>
      <c r="I19" s="230">
        <f>'Survey Template'!I172</f>
        <v>0</v>
      </c>
      <c r="J19" s="230">
        <f>'Survey Template'!J172</f>
        <v>0</v>
      </c>
      <c r="K19" s="230">
        <f>'Survey Template'!K172</f>
        <v>0</v>
      </c>
      <c r="L19" s="230">
        <f>'Survey Template'!L172</f>
        <v>14.4</v>
      </c>
      <c r="M19" s="230">
        <f>'Survey Template'!M172</f>
        <v>28.98</v>
      </c>
      <c r="N19" s="230">
        <f>'Survey Template'!N172</f>
        <v>0</v>
      </c>
      <c r="O19" s="230">
        <f>'Survey Template'!O172</f>
        <v>0</v>
      </c>
      <c r="P19" s="230">
        <f>'Survey Template'!P172</f>
        <v>0</v>
      </c>
      <c r="Q19" s="230">
        <f>'Survey Template'!Q172</f>
        <v>0</v>
      </c>
      <c r="R19" s="228">
        <f t="array" ref="R19">AVERAGE(IF(C19:Q19&lt;&gt;0,C19:Q19,""))</f>
        <v>21.69</v>
      </c>
    </row>
    <row r="20" spans="1:24" x14ac:dyDescent="0.2">
      <c r="B20" s="193"/>
      <c r="C20" s="228"/>
      <c r="D20" s="228"/>
      <c r="E20" s="228"/>
      <c r="F20" s="228"/>
      <c r="G20" s="230"/>
      <c r="H20" s="230"/>
      <c r="I20" s="230"/>
      <c r="J20" s="228"/>
      <c r="K20" s="228"/>
      <c r="L20" s="228"/>
      <c r="M20" s="228"/>
      <c r="N20" s="228"/>
      <c r="O20" s="228"/>
      <c r="P20" s="228"/>
      <c r="Q20" s="228"/>
      <c r="R20" s="228"/>
    </row>
    <row r="21" spans="1:24" x14ac:dyDescent="0.2">
      <c r="A21" s="192" t="s">
        <v>18</v>
      </c>
      <c r="B21" s="193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</row>
    <row r="22" spans="1:24" x14ac:dyDescent="0.2">
      <c r="B22" s="193" t="s">
        <v>13</v>
      </c>
      <c r="C22" s="228">
        <f>'Survey Template'!C145</f>
        <v>0</v>
      </c>
      <c r="D22" s="228"/>
      <c r="E22" s="228">
        <f>'Survey Template'!E145</f>
        <v>0</v>
      </c>
      <c r="F22" s="228">
        <f>'Survey Template'!F145</f>
        <v>0</v>
      </c>
      <c r="G22" s="228">
        <f>'Survey Template'!G145</f>
        <v>7</v>
      </c>
      <c r="H22" s="228">
        <f>'Survey Template'!H145</f>
        <v>0</v>
      </c>
      <c r="I22" s="228">
        <f>'Survey Template'!I145</f>
        <v>0</v>
      </c>
      <c r="J22" s="228">
        <f>'Survey Template'!J145</f>
        <v>0</v>
      </c>
      <c r="K22" s="228">
        <f>'Survey Template'!K145</f>
        <v>0</v>
      </c>
      <c r="L22" s="228">
        <f>'Survey Template'!L145</f>
        <v>0</v>
      </c>
      <c r="M22" s="228">
        <f>'Survey Template'!M145</f>
        <v>0</v>
      </c>
      <c r="N22" s="228">
        <f>'Survey Template'!N145</f>
        <v>0</v>
      </c>
      <c r="O22" s="228">
        <f>'Survey Template'!O145</f>
        <v>0</v>
      </c>
      <c r="P22" s="228">
        <f>'Survey Template'!P145</f>
        <v>0</v>
      </c>
      <c r="Q22" s="228">
        <f>'Survey Template'!Q145</f>
        <v>0</v>
      </c>
      <c r="R22" s="228">
        <f t="array" ref="R22">AVERAGE(IF(C22:Q22&lt;&gt;0,C22:Q22,""))</f>
        <v>7</v>
      </c>
    </row>
    <row r="23" spans="1:24" x14ac:dyDescent="0.2">
      <c r="B23" s="193" t="s">
        <v>14</v>
      </c>
      <c r="C23" s="228">
        <f>'Survey Template'!C150</f>
        <v>0</v>
      </c>
      <c r="D23" s="228"/>
      <c r="E23" s="228">
        <f>'Survey Template'!E150</f>
        <v>0</v>
      </c>
      <c r="F23" s="228">
        <f>'Survey Template'!F150</f>
        <v>0</v>
      </c>
      <c r="G23" s="228">
        <f>'Survey Template'!G150</f>
        <v>10</v>
      </c>
      <c r="H23" s="228">
        <f>'Survey Template'!H150</f>
        <v>5</v>
      </c>
      <c r="I23" s="228">
        <f>'Survey Template'!I150</f>
        <v>5</v>
      </c>
      <c r="J23" s="228">
        <f>'Survey Template'!J150</f>
        <v>0</v>
      </c>
      <c r="K23" s="228">
        <f>'Survey Template'!K150</f>
        <v>0</v>
      </c>
      <c r="L23" s="228">
        <f>'Survey Template'!L150</f>
        <v>0</v>
      </c>
      <c r="M23" s="228">
        <f>'Survey Template'!M150</f>
        <v>10</v>
      </c>
      <c r="N23" s="228">
        <f>'Survey Template'!N150</f>
        <v>0</v>
      </c>
      <c r="O23" s="228">
        <f>'Survey Template'!O150</f>
        <v>0</v>
      </c>
      <c r="P23" s="228">
        <f>'Survey Template'!P150</f>
        <v>0</v>
      </c>
      <c r="Q23" s="228">
        <f>'Survey Template'!Q150</f>
        <v>0</v>
      </c>
      <c r="R23" s="228">
        <f t="array" ref="R23">AVERAGE(IF(C23:Q23&lt;&gt;0,C23:Q23,""))</f>
        <v>7.5</v>
      </c>
    </row>
    <row r="24" spans="1:24" x14ac:dyDescent="0.2">
      <c r="B24" s="193" t="s">
        <v>15</v>
      </c>
      <c r="C24" s="228">
        <f>'Survey Template'!C153</f>
        <v>0</v>
      </c>
      <c r="D24" s="228"/>
      <c r="E24" s="228">
        <f>'Survey Template'!E153</f>
        <v>0</v>
      </c>
      <c r="F24" s="228">
        <f>'Survey Template'!F153</f>
        <v>0</v>
      </c>
      <c r="G24" s="228">
        <f>'Survey Template'!G153</f>
        <v>0</v>
      </c>
      <c r="H24" s="228">
        <f>'Survey Template'!H153</f>
        <v>0</v>
      </c>
      <c r="I24" s="228">
        <f>'Survey Template'!I153</f>
        <v>0</v>
      </c>
      <c r="J24" s="228">
        <f>'Survey Template'!J153</f>
        <v>0</v>
      </c>
      <c r="K24" s="228">
        <f>'Survey Template'!K153</f>
        <v>0</v>
      </c>
      <c r="L24" s="228">
        <f>'Survey Template'!L153</f>
        <v>0</v>
      </c>
      <c r="M24" s="228">
        <f>'Survey Template'!M153</f>
        <v>93.69</v>
      </c>
      <c r="N24" s="228">
        <f>'Survey Template'!N153</f>
        <v>0</v>
      </c>
      <c r="O24" s="228">
        <f>'Survey Template'!O153</f>
        <v>0</v>
      </c>
      <c r="P24" s="228">
        <f>'Survey Template'!P153</f>
        <v>0</v>
      </c>
      <c r="Q24" s="228">
        <f>'Survey Template'!Q153</f>
        <v>0</v>
      </c>
      <c r="R24" s="228">
        <f t="array" ref="R24">AVERAGE(IF(C24:Q24&lt;&gt;0,C24:Q24,""))</f>
        <v>93.69</v>
      </c>
    </row>
    <row r="25" spans="1:24" x14ac:dyDescent="0.2">
      <c r="B25" s="203" t="s">
        <v>16</v>
      </c>
      <c r="C25" s="230">
        <f>'Survey Template'!C156</f>
        <v>0</v>
      </c>
      <c r="D25" s="230"/>
      <c r="E25" s="230">
        <f>'Survey Template'!E156</f>
        <v>0</v>
      </c>
      <c r="F25" s="230">
        <f>'Survey Template'!F156</f>
        <v>65</v>
      </c>
      <c r="G25" s="230">
        <f>'Survey Template'!G156</f>
        <v>0</v>
      </c>
      <c r="H25" s="230">
        <f>'Survey Template'!H156</f>
        <v>0</v>
      </c>
      <c r="I25" s="230">
        <f>'Survey Template'!I156</f>
        <v>0</v>
      </c>
      <c r="J25" s="230">
        <f>'Survey Template'!J156</f>
        <v>76.900000000000006</v>
      </c>
      <c r="K25" s="230">
        <f>'Survey Template'!K156</f>
        <v>0</v>
      </c>
      <c r="L25" s="230">
        <f>'Survey Template'!L156</f>
        <v>0</v>
      </c>
      <c r="M25" s="228">
        <f>'Survey Template'!M156</f>
        <v>89</v>
      </c>
      <c r="N25" s="230">
        <f>'Survey Template'!N156</f>
        <v>0</v>
      </c>
      <c r="O25" s="230">
        <f>'Survey Template'!O156</f>
        <v>0</v>
      </c>
      <c r="P25" s="230">
        <f>'Survey Template'!P156</f>
        <v>0</v>
      </c>
      <c r="Q25" s="230">
        <f>'Survey Template'!Q156</f>
        <v>0</v>
      </c>
      <c r="R25" s="228">
        <f t="array" ref="R25">AVERAGE(IF(C25:Q25&lt;&gt;0,C25:Q25,""))</f>
        <v>76.966666666666669</v>
      </c>
    </row>
    <row r="26" spans="1:24" ht="13.5" thickBot="1" x14ac:dyDescent="0.25">
      <c r="A26" s="192"/>
      <c r="B26" s="193" t="s">
        <v>195</v>
      </c>
      <c r="C26" s="231">
        <f>'Survey Template'!C203</f>
        <v>0</v>
      </c>
      <c r="D26" s="231"/>
      <c r="E26" s="231">
        <f>'Survey Template'!E205</f>
        <v>20</v>
      </c>
      <c r="F26" s="231">
        <f>'Survey Template'!F203</f>
        <v>0</v>
      </c>
      <c r="G26" s="231">
        <f>'Survey Template'!G205</f>
        <v>20</v>
      </c>
      <c r="H26" s="231">
        <f>'Survey Template'!H203</f>
        <v>0</v>
      </c>
      <c r="I26" s="231">
        <f>'Survey Template'!I203</f>
        <v>0</v>
      </c>
      <c r="J26" s="231">
        <f>'Survey Template'!J203</f>
        <v>0</v>
      </c>
      <c r="K26" s="231">
        <f>'Survey Template'!K203</f>
        <v>0</v>
      </c>
      <c r="L26" s="231">
        <f>'Survey Template'!L203</f>
        <v>0</v>
      </c>
      <c r="M26" s="231">
        <f>'Survey Template'!M203</f>
        <v>0</v>
      </c>
      <c r="N26" s="231">
        <f>'Survey Template'!N203</f>
        <v>0</v>
      </c>
      <c r="O26" s="231">
        <f>'Survey Template'!O203</f>
        <v>0</v>
      </c>
      <c r="P26" s="231">
        <f>'Survey Template'!P203</f>
        <v>0</v>
      </c>
      <c r="Q26" s="231">
        <f>'Survey Template'!Q203</f>
        <v>0</v>
      </c>
      <c r="R26" s="228"/>
    </row>
    <row r="27" spans="1:24" x14ac:dyDescent="0.2">
      <c r="B27" s="191" t="s">
        <v>17</v>
      </c>
      <c r="C27" s="228">
        <f>SUM(C22:C26)</f>
        <v>0</v>
      </c>
      <c r="D27" s="228"/>
      <c r="E27" s="228">
        <f>SUM(E22:E26)</f>
        <v>20</v>
      </c>
      <c r="F27" s="228">
        <f>SUM(F22:F26)</f>
        <v>65</v>
      </c>
      <c r="G27" s="228">
        <f>SUM(G22:G26)</f>
        <v>37</v>
      </c>
      <c r="H27" s="228">
        <f t="shared" ref="H27:I27" si="2">SUM(H22:H26)</f>
        <v>5</v>
      </c>
      <c r="I27" s="228">
        <f t="shared" si="2"/>
        <v>5</v>
      </c>
      <c r="J27" s="228">
        <f>SUM(J22:J26)</f>
        <v>76.900000000000006</v>
      </c>
      <c r="K27" s="228">
        <f t="shared" ref="K27:P27" si="3">SUM(K22:K26)</f>
        <v>0</v>
      </c>
      <c r="L27" s="228">
        <f t="shared" si="3"/>
        <v>0</v>
      </c>
      <c r="M27" s="228">
        <f>SUM(M22:M26)</f>
        <v>192.69</v>
      </c>
      <c r="N27" s="228">
        <f t="shared" si="3"/>
        <v>0</v>
      </c>
      <c r="O27" s="228">
        <f t="shared" si="3"/>
        <v>0</v>
      </c>
      <c r="P27" s="228">
        <f t="shared" si="3"/>
        <v>0</v>
      </c>
      <c r="Q27" s="228"/>
      <c r="R27" s="228">
        <f t="array" ref="R27">AVERAGE(IF(C27:Q27&lt;&gt;0,C27:Q27,""))</f>
        <v>57.370000000000005</v>
      </c>
    </row>
    <row r="28" spans="1:24" x14ac:dyDescent="0.2">
      <c r="B28" s="203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28"/>
    </row>
    <row r="29" spans="1:24" x14ac:dyDescent="0.2">
      <c r="A29" s="192" t="s">
        <v>182</v>
      </c>
      <c r="B29" s="191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U29" s="192"/>
      <c r="V29" s="191"/>
    </row>
    <row r="30" spans="1:24" x14ac:dyDescent="0.2">
      <c r="B30" s="193" t="s">
        <v>191</v>
      </c>
      <c r="C30" s="230">
        <f>'Survey Template'!C187</f>
        <v>0</v>
      </c>
      <c r="D30" s="230"/>
      <c r="E30" s="230">
        <f>'Survey Template'!E187</f>
        <v>0</v>
      </c>
      <c r="F30" s="230">
        <f>'Survey Template'!F187</f>
        <v>0</v>
      </c>
      <c r="G30" s="230">
        <f>'Survey Template'!G187+'Survey Template'!G175</f>
        <v>0</v>
      </c>
      <c r="H30" s="230">
        <f>'Survey Template'!H187+'Survey Template'!H175</f>
        <v>0</v>
      </c>
      <c r="I30" s="230">
        <f>'Survey Template'!I187+'Survey Template'!I175</f>
        <v>0</v>
      </c>
      <c r="J30" s="230">
        <f>'Survey Template'!J189</f>
        <v>1746.24</v>
      </c>
      <c r="K30" s="230">
        <f>'Survey Template'!K187</f>
        <v>0</v>
      </c>
      <c r="L30" s="230">
        <f>'Survey Template'!L189</f>
        <v>2043.6</v>
      </c>
      <c r="M30" s="230">
        <f>'Survey Template'!M187</f>
        <v>0</v>
      </c>
      <c r="N30" s="230">
        <f>'Survey Template'!N187</f>
        <v>0</v>
      </c>
      <c r="O30" s="230">
        <f>'Survey Template'!O187</f>
        <v>0</v>
      </c>
      <c r="P30" s="230">
        <f>'Survey Template'!P187</f>
        <v>0</v>
      </c>
      <c r="Q30" s="230"/>
      <c r="R30" s="228"/>
      <c r="U30" s="216"/>
      <c r="X30" s="232"/>
    </row>
    <row r="31" spans="1:24" x14ac:dyDescent="0.2">
      <c r="A31" s="192"/>
      <c r="B31" s="193" t="s">
        <v>192</v>
      </c>
      <c r="C31" s="230">
        <f>'Survey Template'!C188</f>
        <v>0</v>
      </c>
      <c r="D31" s="230"/>
      <c r="E31" s="230">
        <f>'Survey Template'!E188</f>
        <v>0</v>
      </c>
      <c r="F31" s="230">
        <f>'Survey Template'!F188</f>
        <v>0</v>
      </c>
      <c r="G31" s="230">
        <f>'Survey Template'!G188+'Survey Template'!G175</f>
        <v>0</v>
      </c>
      <c r="H31" s="230">
        <f>'Survey Template'!H188+'Survey Template'!H175</f>
        <v>0</v>
      </c>
      <c r="I31" s="230">
        <f>'Survey Template'!I188+'Survey Template'!I175</f>
        <v>0</v>
      </c>
      <c r="J31" s="230">
        <f>'Survey Template'!J190</f>
        <v>1746.24</v>
      </c>
      <c r="K31" s="230">
        <f>'Survey Template'!K188</f>
        <v>0</v>
      </c>
      <c r="L31" s="230">
        <f>'Survey Template'!L190</f>
        <v>2043.6</v>
      </c>
      <c r="M31" s="230">
        <f>'Survey Template'!M188</f>
        <v>0</v>
      </c>
      <c r="N31" s="230">
        <f>'Survey Template'!N188</f>
        <v>0</v>
      </c>
      <c r="O31" s="230">
        <f>'Survey Template'!O188</f>
        <v>0</v>
      </c>
      <c r="P31" s="230">
        <f>'Survey Template'!P188</f>
        <v>0</v>
      </c>
      <c r="Q31" s="230"/>
      <c r="R31" s="228"/>
      <c r="U31" s="216"/>
      <c r="X31" s="232"/>
    </row>
    <row r="32" spans="1:24" x14ac:dyDescent="0.2">
      <c r="A32" s="233"/>
      <c r="B32" s="213" t="s">
        <v>233</v>
      </c>
      <c r="C32" s="230">
        <f>'Survey Template'!C175*0</f>
        <v>0</v>
      </c>
      <c r="D32" s="230"/>
      <c r="E32" s="230">
        <f>'Survey Template'!E177</f>
        <v>189</v>
      </c>
      <c r="F32" s="230">
        <f>'Survey Template'!F175</f>
        <v>0</v>
      </c>
      <c r="G32" s="230">
        <f>'Survey Template'!G175*0</f>
        <v>0</v>
      </c>
      <c r="H32" s="230">
        <f>'Survey Template'!H175*0</f>
        <v>0</v>
      </c>
      <c r="I32" s="230">
        <f>'Survey Template'!I175*0</f>
        <v>0</v>
      </c>
      <c r="J32" s="230">
        <f>'Survey Template'!J175*0</f>
        <v>0</v>
      </c>
      <c r="K32" s="230">
        <f>'Survey Template'!K175</f>
        <v>0</v>
      </c>
      <c r="L32" s="230">
        <f>'Survey Template'!L175</f>
        <v>0</v>
      </c>
      <c r="M32" s="230">
        <f>'Survey Template'!M175</f>
        <v>0</v>
      </c>
      <c r="N32" s="230">
        <f>'Survey Template'!N175</f>
        <v>0</v>
      </c>
      <c r="O32" s="230">
        <f>'Survey Template'!O175</f>
        <v>0</v>
      </c>
      <c r="P32" s="230">
        <f>'Survey Template'!P175</f>
        <v>0</v>
      </c>
      <c r="Q32" s="230"/>
      <c r="R32" s="228"/>
      <c r="U32" s="217"/>
      <c r="X32" s="232"/>
    </row>
    <row r="33" spans="1:19" x14ac:dyDescent="0.2">
      <c r="A33" s="233"/>
      <c r="B33" s="213" t="s">
        <v>230</v>
      </c>
      <c r="C33" s="230">
        <f>'Survey Template'!C176*0</f>
        <v>0</v>
      </c>
      <c r="D33" s="230"/>
      <c r="E33" s="230"/>
      <c r="F33" s="230"/>
      <c r="G33" s="230">
        <f>'Survey Template'!G176*0</f>
        <v>0</v>
      </c>
      <c r="H33" s="230">
        <f>'Survey Template'!H176*0</f>
        <v>0</v>
      </c>
      <c r="I33" s="230">
        <f>'Survey Template'!I176*0</f>
        <v>0</v>
      </c>
      <c r="J33" s="230"/>
      <c r="K33" s="230"/>
      <c r="L33" s="230"/>
      <c r="M33" s="230"/>
      <c r="N33" s="230"/>
      <c r="O33" s="230"/>
      <c r="P33" s="230"/>
      <c r="Q33" s="230"/>
      <c r="R33" s="228"/>
    </row>
    <row r="34" spans="1:19" x14ac:dyDescent="0.2">
      <c r="A34" s="233"/>
      <c r="B34" s="213" t="s">
        <v>229</v>
      </c>
      <c r="C34" s="230"/>
      <c r="D34" s="230"/>
      <c r="E34" s="230"/>
      <c r="F34" s="230"/>
      <c r="G34" s="230">
        <f>'Survey Template'!G174*0</f>
        <v>0</v>
      </c>
      <c r="H34" s="230">
        <f>'Survey Template'!H174*0</f>
        <v>0</v>
      </c>
      <c r="I34" s="230">
        <f>'Survey Template'!I174*0</f>
        <v>0</v>
      </c>
      <c r="J34" s="230"/>
      <c r="K34" s="230"/>
      <c r="L34" s="230"/>
      <c r="M34" s="230"/>
      <c r="N34" s="230"/>
      <c r="O34" s="230"/>
      <c r="P34" s="230"/>
      <c r="Q34" s="230"/>
      <c r="R34" s="228"/>
    </row>
    <row r="35" spans="1:19" x14ac:dyDescent="0.2">
      <c r="A35" s="192" t="s">
        <v>185</v>
      </c>
      <c r="B35" s="191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</row>
    <row r="36" spans="1:19" x14ac:dyDescent="0.2">
      <c r="B36" s="191" t="s">
        <v>17</v>
      </c>
      <c r="C36" s="234">
        <f>'Survey Template'!C192</f>
        <v>1738.98</v>
      </c>
      <c r="D36" s="234">
        <f>'Survey Template'!D190</f>
        <v>0</v>
      </c>
      <c r="E36" s="234">
        <f>'Survey Template'!E190</f>
        <v>1642.68</v>
      </c>
      <c r="F36" s="234">
        <f>'Survey Template'!F190</f>
        <v>0</v>
      </c>
      <c r="G36" s="234">
        <f>'Survey Template'!G190+'Survey Template'!G176</f>
        <v>1633.68</v>
      </c>
      <c r="H36" s="234">
        <f>'Survey Template'!H190+'Survey Template'!H176</f>
        <v>0</v>
      </c>
      <c r="I36" s="234">
        <f>'Survey Template'!I190+'Survey Template'!I176</f>
        <v>0</v>
      </c>
      <c r="J36" s="234">
        <f>'Survey Template'!J190</f>
        <v>1746.24</v>
      </c>
      <c r="K36" s="234">
        <f>'Survey Template'!K190</f>
        <v>0</v>
      </c>
      <c r="L36" s="234">
        <f>'Survey Template'!L190</f>
        <v>2043.6</v>
      </c>
      <c r="M36" s="234">
        <f>'Survey Template'!M190</f>
        <v>1366.18</v>
      </c>
      <c r="N36" s="234">
        <f>'Survey Template'!N190</f>
        <v>0</v>
      </c>
      <c r="O36" s="234">
        <f>'Survey Template'!O190</f>
        <v>0</v>
      </c>
      <c r="P36" s="234">
        <f>'Survey Template'!P190</f>
        <v>0</v>
      </c>
      <c r="Q36" s="234"/>
      <c r="R36" s="228">
        <f t="array" ref="R36">AVERAGE(IF(C36:Q36&lt;&gt;0,C36:Q36,""))</f>
        <v>1695.2266666666667</v>
      </c>
    </row>
    <row r="37" spans="1:19" x14ac:dyDescent="0.2">
      <c r="B37" s="191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28"/>
    </row>
    <row r="38" spans="1:19" s="235" customFormat="1" x14ac:dyDescent="0.2">
      <c r="A38" s="202" t="s">
        <v>134</v>
      </c>
      <c r="C38" s="236"/>
      <c r="D38" s="236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28"/>
    </row>
    <row r="39" spans="1:19" s="235" customFormat="1" x14ac:dyDescent="0.2">
      <c r="B39" s="191" t="s">
        <v>183</v>
      </c>
      <c r="C39" s="234">
        <f>'Survey Template'!C193</f>
        <v>1738.98</v>
      </c>
      <c r="D39" s="234">
        <f>'Survey Template'!D193</f>
        <v>0</v>
      </c>
      <c r="E39" s="230"/>
      <c r="F39" s="230"/>
      <c r="G39" s="234">
        <f>'Survey Template'!G193+'Survey Template'!G174</f>
        <v>2519.77</v>
      </c>
      <c r="H39" s="234">
        <f>'Survey Template'!H193+'Survey Template'!H174</f>
        <v>0</v>
      </c>
      <c r="I39" s="234">
        <f>'Survey Template'!I193+'Survey Template'!I174</f>
        <v>0</v>
      </c>
      <c r="J39" s="234"/>
      <c r="K39" s="234"/>
      <c r="L39" s="234"/>
      <c r="M39" s="234"/>
      <c r="N39" s="234"/>
      <c r="O39" s="234"/>
      <c r="P39" s="234"/>
      <c r="Q39" s="234"/>
      <c r="R39" s="228">
        <f t="array" ref="R39">AVERAGE(IF(C39:Q39&lt;&gt;0,C39:Q39,""))</f>
        <v>2129.375</v>
      </c>
    </row>
    <row r="40" spans="1:19" s="235" customFormat="1" x14ac:dyDescent="0.2">
      <c r="B40" s="191" t="s">
        <v>184</v>
      </c>
      <c r="C40" s="234">
        <f>'Survey Template'!C194</f>
        <v>0</v>
      </c>
      <c r="D40" s="234">
        <f>'Survey Template'!D194</f>
        <v>0</v>
      </c>
      <c r="E40" s="230"/>
      <c r="F40" s="230"/>
      <c r="G40" s="234">
        <f>'Survey Template'!G194+'Survey Template'!G174</f>
        <v>886.09</v>
      </c>
      <c r="H40" s="234">
        <f>'Survey Template'!H194+'Survey Template'!H174</f>
        <v>0</v>
      </c>
      <c r="I40" s="234">
        <f>'Survey Template'!I194+'Survey Template'!I174</f>
        <v>0</v>
      </c>
      <c r="J40" s="234"/>
      <c r="K40" s="234"/>
      <c r="L40" s="234"/>
      <c r="M40" s="234"/>
      <c r="N40" s="234"/>
      <c r="O40" s="234"/>
      <c r="P40" s="234"/>
      <c r="Q40" s="234"/>
      <c r="R40" s="228">
        <f t="array" ref="R40">AVERAGE(IF(C40:Q40&lt;&gt;0,C40:Q40,""))</f>
        <v>886.09</v>
      </c>
    </row>
    <row r="41" spans="1:19" s="235" customFormat="1" x14ac:dyDescent="0.2">
      <c r="A41" s="202" t="s">
        <v>186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28"/>
    </row>
    <row r="42" spans="1:19" s="235" customFormat="1" x14ac:dyDescent="0.2">
      <c r="B42" s="191" t="s">
        <v>17</v>
      </c>
      <c r="C42" s="234">
        <f>'Survey Template'!C198</f>
        <v>1211.82</v>
      </c>
      <c r="D42" s="234">
        <f>'Survey Template'!D198</f>
        <v>0</v>
      </c>
      <c r="E42" s="230"/>
      <c r="F42" s="230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28">
        <f t="array" ref="R42">AVERAGE(IF(C42:Q42&lt;&gt;0,C42:Q42,""))</f>
        <v>1211.82</v>
      </c>
    </row>
    <row r="43" spans="1:19" x14ac:dyDescent="0.2">
      <c r="B43" s="193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</row>
    <row r="44" spans="1:19" x14ac:dyDescent="0.2">
      <c r="A44" s="192" t="s">
        <v>275</v>
      </c>
      <c r="B44" s="193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</row>
    <row r="45" spans="1:19" x14ac:dyDescent="0.2">
      <c r="B45" s="193" t="s">
        <v>22</v>
      </c>
      <c r="C45" s="228">
        <f>'Survey Template'!C56</f>
        <v>6.76</v>
      </c>
      <c r="D45" s="228">
        <f>'Survey Template'!D56</f>
        <v>6.76</v>
      </c>
      <c r="E45" s="228">
        <f>'Survey Template'!E56</f>
        <v>4.76</v>
      </c>
      <c r="F45" s="228">
        <f>'Survey Template'!F56</f>
        <v>6.76</v>
      </c>
      <c r="G45" s="228">
        <f>'Survey Template'!G56</f>
        <v>6.76</v>
      </c>
      <c r="H45" s="228">
        <f>'Survey Template'!H56</f>
        <v>6.76</v>
      </c>
      <c r="I45" s="228">
        <f>'Survey Template'!I56</f>
        <v>6.76</v>
      </c>
      <c r="J45" s="228">
        <f>'Survey Template'!J56</f>
        <v>6.76</v>
      </c>
      <c r="K45" s="228">
        <f>'Survey Template'!K56</f>
        <v>6.76</v>
      </c>
      <c r="L45" s="228">
        <f>'Survey Template'!L56</f>
        <v>6.76</v>
      </c>
      <c r="M45" s="228">
        <f>'Survey Template'!M56</f>
        <v>6.76</v>
      </c>
      <c r="N45" s="228">
        <f>'Survey Template'!N56</f>
        <v>6.76</v>
      </c>
      <c r="O45" s="228">
        <f>'Survey Template'!O56</f>
        <v>6.76</v>
      </c>
      <c r="P45" s="228">
        <f>'Survey Template'!P56</f>
        <v>6.14</v>
      </c>
      <c r="Q45" s="228">
        <f>'Survey Template'!Q56</f>
        <v>4.76</v>
      </c>
      <c r="R45" s="228">
        <f t="array" ref="R45">AVERAGE(IF(C45:Q45&lt;&gt;0,C45:Q45,""))</f>
        <v>6.4520000000000008</v>
      </c>
    </row>
    <row r="46" spans="1:19" ht="15.75" x14ac:dyDescent="0.25">
      <c r="A46" s="195" t="s">
        <v>23</v>
      </c>
      <c r="B46" s="195"/>
      <c r="C46" s="237"/>
      <c r="D46" s="237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</row>
    <row r="47" spans="1:19" x14ac:dyDescent="0.2">
      <c r="A47" s="192" t="s">
        <v>24</v>
      </c>
      <c r="R47" s="228"/>
    </row>
    <row r="48" spans="1:19" x14ac:dyDescent="0.2">
      <c r="B48" s="193" t="s">
        <v>30</v>
      </c>
      <c r="C48" s="228">
        <f>'Survey Template'!C12</f>
        <v>105.07</v>
      </c>
      <c r="D48" s="228">
        <f>'Survey Template'!D12</f>
        <v>78.8</v>
      </c>
      <c r="E48" s="228">
        <f>'Survey Template'!E12</f>
        <v>105.07</v>
      </c>
      <c r="F48" s="228">
        <f>'Survey Template'!F12</f>
        <v>105.07</v>
      </c>
      <c r="G48" s="228">
        <f>'Survey Template'!G12</f>
        <v>105.07</v>
      </c>
      <c r="H48" s="228">
        <f>'Survey Template'!H12</f>
        <v>105.07</v>
      </c>
      <c r="I48" s="228">
        <f>'Survey Template'!I12</f>
        <v>105.07</v>
      </c>
      <c r="J48" s="228">
        <f>'Survey Template'!J12</f>
        <v>105.07</v>
      </c>
      <c r="K48" s="228">
        <f>'Survey Template'!K12</f>
        <v>105.07</v>
      </c>
      <c r="L48" s="228">
        <f>'Survey Template'!L12</f>
        <v>105.07</v>
      </c>
      <c r="M48" s="228">
        <f>'Survey Template'!M12</f>
        <v>105.07</v>
      </c>
      <c r="N48" s="228">
        <f>'Survey Template'!N12</f>
        <v>105.07</v>
      </c>
      <c r="O48" s="228">
        <f>'Survey Template'!O12</f>
        <v>105.07</v>
      </c>
      <c r="P48" s="228">
        <f>'Survey Template'!P12</f>
        <v>105.07</v>
      </c>
      <c r="Q48" s="228">
        <f>'Survey Template'!Q12</f>
        <v>105.07</v>
      </c>
      <c r="R48" s="228">
        <f t="array" ref="R48">AVERAGE(IF(C48:Q48&lt;&gt;0,C48:Q48,""))</f>
        <v>103.31866666666663</v>
      </c>
      <c r="S48" s="229">
        <f>SUMPRODUCT(C48:P48,$C$219:$P$219)/SUM($C$219:$P$219)</f>
        <v>105.07</v>
      </c>
    </row>
    <row r="49" spans="1:19" x14ac:dyDescent="0.2">
      <c r="B49" s="203" t="s">
        <v>145</v>
      </c>
      <c r="C49" s="230">
        <f>'Survey Template'!C14</f>
        <v>44.17</v>
      </c>
      <c r="D49" s="230">
        <f>'Survey Template'!D14</f>
        <v>33.119999999999997</v>
      </c>
      <c r="E49" s="230">
        <f>'Survey Template'!E14</f>
        <v>49.59</v>
      </c>
      <c r="F49" s="230">
        <f>'Survey Template'!F14</f>
        <v>36.380000000000003</v>
      </c>
      <c r="G49" s="230">
        <f>'Survey Template'!G14</f>
        <v>46.88</v>
      </c>
      <c r="H49" s="230">
        <f>'Survey Template'!H14</f>
        <v>35.14</v>
      </c>
      <c r="I49" s="230">
        <f>'Survey Template'!I14</f>
        <v>35.14</v>
      </c>
      <c r="J49" s="230">
        <f>'Survey Template'!J14</f>
        <v>40.130000000000003</v>
      </c>
      <c r="K49" s="230">
        <f>'Survey Template'!K14</f>
        <v>38.880000000000003</v>
      </c>
      <c r="L49" s="230">
        <f>'Survey Template'!L14</f>
        <v>44.2</v>
      </c>
      <c r="M49" s="230">
        <f>'Survey Template'!M14</f>
        <v>52.29</v>
      </c>
      <c r="N49" s="230">
        <f>'Survey Template'!N14</f>
        <v>37.630000000000003</v>
      </c>
      <c r="O49" s="230">
        <f>'Survey Template'!O14</f>
        <v>36.380000000000003</v>
      </c>
      <c r="P49" s="230">
        <f>'Survey Template'!P14</f>
        <v>40.130000000000003</v>
      </c>
      <c r="Q49" s="230">
        <f>'Survey Template'!Q14</f>
        <v>0</v>
      </c>
      <c r="R49" s="228">
        <f t="array" ref="R49">AVERAGE(IF(C49:Q49&lt;&gt;0,C49:Q49,""))</f>
        <v>40.718571428571423</v>
      </c>
    </row>
    <row r="50" spans="1:19" ht="13.5" thickBot="1" x14ac:dyDescent="0.25">
      <c r="B50" s="193" t="s">
        <v>25</v>
      </c>
      <c r="C50" s="231">
        <f>'Survey Template'!C35</f>
        <v>5.25</v>
      </c>
      <c r="D50" s="231">
        <f>'Survey Template'!D35</f>
        <v>5.25</v>
      </c>
      <c r="E50" s="231">
        <f>'Survey Template'!E35</f>
        <v>5.25</v>
      </c>
      <c r="F50" s="231">
        <f>'Survey Template'!F35</f>
        <v>5.16</v>
      </c>
      <c r="G50" s="231">
        <f>'Survey Template'!G35</f>
        <v>5.25</v>
      </c>
      <c r="H50" s="231">
        <f>'Survey Template'!H35</f>
        <v>5.25</v>
      </c>
      <c r="I50" s="231">
        <f>'Survey Template'!I35</f>
        <v>5.25</v>
      </c>
      <c r="J50" s="231">
        <f>'Survey Template'!J35</f>
        <v>5.16</v>
      </c>
      <c r="K50" s="231">
        <f>'Survey Template'!K35</f>
        <v>5.25</v>
      </c>
      <c r="L50" s="231">
        <f>'Survey Template'!L35</f>
        <v>5.16</v>
      </c>
      <c r="M50" s="231">
        <f>'Survey Template'!M35</f>
        <v>5.25</v>
      </c>
      <c r="N50" s="231">
        <f>'Survey Template'!N35</f>
        <v>5.25</v>
      </c>
      <c r="O50" s="231">
        <f>'Survey Template'!O35</f>
        <v>5.25</v>
      </c>
      <c r="P50" s="231">
        <f>'Survey Template'!P35</f>
        <v>5.25</v>
      </c>
      <c r="Q50" s="231">
        <f>'Survey Template'!Q35</f>
        <v>5.25</v>
      </c>
      <c r="R50" s="228">
        <f t="array" ref="R50">AVERAGE(IF(C50:Q50&lt;&gt;0,C50:Q50,""))</f>
        <v>5.2319999999999993</v>
      </c>
      <c r="S50" s="229">
        <f>SUMPRODUCT(C50:P50,$C$219:$P$219)/SUM($C$219:$P$219)</f>
        <v>5.25</v>
      </c>
    </row>
    <row r="51" spans="1:19" x14ac:dyDescent="0.2">
      <c r="B51" s="191" t="s">
        <v>17</v>
      </c>
      <c r="C51" s="228">
        <f t="shared" ref="C51:P51" si="4">SUM(C48:C50)</f>
        <v>154.49</v>
      </c>
      <c r="D51" s="228">
        <f t="shared" ref="D51" si="5">SUM(D48:D50)</f>
        <v>117.16999999999999</v>
      </c>
      <c r="E51" s="228">
        <f t="shared" si="4"/>
        <v>159.91</v>
      </c>
      <c r="F51" s="228">
        <f t="shared" si="4"/>
        <v>146.60999999999999</v>
      </c>
      <c r="G51" s="228">
        <f t="shared" si="4"/>
        <v>157.19999999999999</v>
      </c>
      <c r="H51" s="228">
        <f t="shared" ref="H51:I51" si="6">SUM(H48:H50)</f>
        <v>145.45999999999998</v>
      </c>
      <c r="I51" s="228">
        <f t="shared" si="6"/>
        <v>145.45999999999998</v>
      </c>
      <c r="J51" s="228">
        <f t="shared" si="4"/>
        <v>150.35999999999999</v>
      </c>
      <c r="K51" s="228">
        <f t="shared" si="4"/>
        <v>149.19999999999999</v>
      </c>
      <c r="L51" s="228">
        <f t="shared" si="4"/>
        <v>154.42999999999998</v>
      </c>
      <c r="M51" s="228">
        <f t="shared" si="4"/>
        <v>162.60999999999999</v>
      </c>
      <c r="N51" s="228">
        <f t="shared" si="4"/>
        <v>147.94999999999999</v>
      </c>
      <c r="O51" s="228">
        <f t="shared" si="4"/>
        <v>146.69999999999999</v>
      </c>
      <c r="P51" s="228">
        <f t="shared" si="4"/>
        <v>150.44999999999999</v>
      </c>
      <c r="Q51" s="228">
        <f t="shared" ref="Q51" si="7">SUM(Q48:Q50)</f>
        <v>110.32</v>
      </c>
      <c r="R51" s="228">
        <f t="array" ref="R51">AVERAGE(IF(C51:Q51&lt;&gt;0,C51:Q51,""))</f>
        <v>146.55466666666669</v>
      </c>
      <c r="S51" s="229">
        <f>SUMPRODUCT(C51:P51,$C$219:$P$219)/SUM($C$219:$P$219)</f>
        <v>155.84089530548513</v>
      </c>
    </row>
    <row r="52" spans="1:19" x14ac:dyDescent="0.2"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</row>
    <row r="53" spans="1:19" x14ac:dyDescent="0.2">
      <c r="A53" s="192" t="s">
        <v>26</v>
      </c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</row>
    <row r="54" spans="1:19" x14ac:dyDescent="0.2">
      <c r="B54" s="193" t="s">
        <v>27</v>
      </c>
      <c r="C54" s="228">
        <f t="shared" ref="C54:Q54" si="8">30*(C12+C14+C45+C51)+2*(C27)</f>
        <v>6312.9000000000005</v>
      </c>
      <c r="D54" s="228">
        <f t="shared" si="8"/>
        <v>3875.3999999999992</v>
      </c>
      <c r="E54" s="228">
        <f>30*(E12+E14+E45+E51)+2*(E27)</f>
        <v>6506.4999999999991</v>
      </c>
      <c r="F54" s="228">
        <f t="shared" si="8"/>
        <v>5827.2999999999993</v>
      </c>
      <c r="G54" s="228">
        <f t="shared" si="8"/>
        <v>6409.7</v>
      </c>
      <c r="H54" s="228">
        <f t="shared" si="8"/>
        <v>5821</v>
      </c>
      <c r="I54" s="228">
        <f t="shared" si="8"/>
        <v>5587.5999999999995</v>
      </c>
      <c r="J54" s="228">
        <f t="shared" si="8"/>
        <v>6192.5</v>
      </c>
      <c r="K54" s="228">
        <f t="shared" si="8"/>
        <v>6359.4</v>
      </c>
      <c r="L54" s="228">
        <f t="shared" si="8"/>
        <v>6368.4</v>
      </c>
      <c r="M54" s="228">
        <f t="shared" si="8"/>
        <v>6493.079999999999</v>
      </c>
      <c r="N54" s="228">
        <f t="shared" si="8"/>
        <v>6385.1999999999989</v>
      </c>
      <c r="O54" s="228">
        <f t="shared" si="8"/>
        <v>6170.7</v>
      </c>
      <c r="P54" s="228">
        <f t="shared" si="8"/>
        <v>5763</v>
      </c>
      <c r="Q54" s="228">
        <f t="shared" si="8"/>
        <v>4939.4999999999991</v>
      </c>
      <c r="R54" s="228">
        <f t="array" ref="R54">AVERAGE(IF(C54:Q54&lt;&gt;0,C54:Q54,""))</f>
        <v>5934.1453333333329</v>
      </c>
      <c r="S54" s="229">
        <f>SUMPRODUCT(C54:P54,$C$219:$P$219)/SUM($C$219:$P$219)</f>
        <v>6443.2675160679219</v>
      </c>
    </row>
    <row r="55" spans="1:19" x14ac:dyDescent="0.2">
      <c r="B55" s="193" t="s">
        <v>28</v>
      </c>
      <c r="C55" s="228">
        <f>TRUNC(+C54/30,2)</f>
        <v>210.43</v>
      </c>
      <c r="D55" s="228">
        <f>TRUNC(+D54/30,2)</f>
        <v>129.18</v>
      </c>
      <c r="E55" s="228">
        <f t="shared" ref="E55:P55" si="9">TRUNC(+E54/30,2)</f>
        <v>216.88</v>
      </c>
      <c r="F55" s="228">
        <f t="shared" si="9"/>
        <v>194.24</v>
      </c>
      <c r="G55" s="228">
        <f t="shared" si="9"/>
        <v>213.65</v>
      </c>
      <c r="H55" s="228">
        <f t="shared" ref="H55:I55" si="10">TRUNC(+H54/30,2)</f>
        <v>194.03</v>
      </c>
      <c r="I55" s="228">
        <f t="shared" si="10"/>
        <v>186.25</v>
      </c>
      <c r="J55" s="228">
        <f t="shared" si="9"/>
        <v>206.41</v>
      </c>
      <c r="K55" s="228">
        <f t="shared" si="9"/>
        <v>211.98</v>
      </c>
      <c r="L55" s="228">
        <f t="shared" si="9"/>
        <v>212.28</v>
      </c>
      <c r="M55" s="228">
        <f t="shared" si="9"/>
        <v>216.43</v>
      </c>
      <c r="N55" s="228">
        <f t="shared" si="9"/>
        <v>212.84</v>
      </c>
      <c r="O55" s="228">
        <f t="shared" si="9"/>
        <v>205.69</v>
      </c>
      <c r="P55" s="228">
        <f t="shared" si="9"/>
        <v>192.1</v>
      </c>
      <c r="Q55" s="228">
        <f t="shared" ref="Q55" si="11">TRUNC(+Q54/30,2)</f>
        <v>164.65</v>
      </c>
      <c r="R55" s="228">
        <f t="array" ref="R55">AVERAGE(IF(C55:Q55&lt;&gt;0,C55:Q55,""))</f>
        <v>197.80266666666668</v>
      </c>
      <c r="S55" s="229">
        <f>SUMPRODUCT(C55:P55,$C$219:$P$219)/SUM($C$219:$P$219)</f>
        <v>214.77235430741416</v>
      </c>
    </row>
    <row r="56" spans="1:19" ht="11.1" customHeight="1" x14ac:dyDescent="0.2">
      <c r="B56" s="193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9"/>
    </row>
    <row r="57" spans="1:19" x14ac:dyDescent="0.2">
      <c r="A57" s="192" t="s">
        <v>29</v>
      </c>
      <c r="B57" s="193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9"/>
    </row>
    <row r="58" spans="1:19" x14ac:dyDescent="0.2">
      <c r="B58" s="193" t="s">
        <v>83</v>
      </c>
      <c r="C58" s="228">
        <f>'Survey Template'!C77</f>
        <v>812.28</v>
      </c>
      <c r="D58" s="228">
        <f>'Survey Template'!D77</f>
        <v>466.88</v>
      </c>
      <c r="E58" s="228">
        <f>'Survey Template'!E77</f>
        <v>586.54999999999995</v>
      </c>
      <c r="F58" s="228">
        <f>'Survey Template'!F77</f>
        <v>482.39</v>
      </c>
      <c r="G58" s="228">
        <f>'Survey Template'!G77</f>
        <v>451.57</v>
      </c>
      <c r="H58" s="228">
        <f>'Survey Template'!H77</f>
        <v>451.57</v>
      </c>
      <c r="I58" s="228">
        <f>'Survey Template'!I77</f>
        <v>451.57</v>
      </c>
      <c r="J58" s="228">
        <f>'Survey Template'!J77</f>
        <v>598.92999999999995</v>
      </c>
      <c r="K58" s="228">
        <f>'Survey Template'!K77</f>
        <v>514.01</v>
      </c>
      <c r="L58" s="228">
        <f>'Survey Template'!L77</f>
        <v>616.13</v>
      </c>
      <c r="M58" s="228">
        <f>'Survey Template'!M77</f>
        <v>498.69</v>
      </c>
      <c r="N58" s="228">
        <f>'Survey Template'!N77</f>
        <v>562.34</v>
      </c>
      <c r="O58" s="228">
        <f>'Survey Template'!O77</f>
        <v>707.9</v>
      </c>
      <c r="P58" s="228">
        <f>'Survey Template'!P77</f>
        <v>714.3</v>
      </c>
      <c r="Q58" s="228">
        <f>'Survey Template'!Q77</f>
        <v>615.07000000000005</v>
      </c>
      <c r="R58" s="228">
        <f t="array" ref="R58">AVERAGE(IF(C58:Q58&lt;&gt;0,C58:Q58,""))</f>
        <v>568.67866666666669</v>
      </c>
      <c r="S58" s="229"/>
    </row>
    <row r="59" spans="1:19" x14ac:dyDescent="0.2">
      <c r="B59" s="238" t="s">
        <v>157</v>
      </c>
      <c r="C59" s="228">
        <f>'Survey Template'!C78</f>
        <v>44.17</v>
      </c>
      <c r="D59" s="228">
        <f>'Survey Template'!D78</f>
        <v>33.119999999999997</v>
      </c>
      <c r="E59" s="228">
        <f>'Survey Template'!E78</f>
        <v>49.59</v>
      </c>
      <c r="F59" s="228">
        <f>'Survey Template'!F78</f>
        <v>36.380000000000003</v>
      </c>
      <c r="G59" s="228">
        <f>'Survey Template'!G78</f>
        <v>46.88</v>
      </c>
      <c r="H59" s="228">
        <f>'Survey Template'!H78</f>
        <v>35.14</v>
      </c>
      <c r="I59" s="228">
        <f>'Survey Template'!I78</f>
        <v>35.14</v>
      </c>
      <c r="J59" s="228">
        <f>'Survey Template'!J78</f>
        <v>40.130000000000003</v>
      </c>
      <c r="K59" s="228">
        <f>'Survey Template'!K78</f>
        <v>38.880000000000003</v>
      </c>
      <c r="L59" s="228">
        <f>'Survey Template'!L78</f>
        <v>44.2</v>
      </c>
      <c r="M59" s="228">
        <f>'Survey Template'!M78</f>
        <v>52.29</v>
      </c>
      <c r="N59" s="228">
        <f>'Survey Template'!N78</f>
        <v>37.630000000000003</v>
      </c>
      <c r="O59" s="228">
        <f>'Survey Template'!O78</f>
        <v>36.380000000000003</v>
      </c>
      <c r="P59" s="228">
        <f>'Survey Template'!P78</f>
        <v>40.130000000000003</v>
      </c>
      <c r="Q59" s="228">
        <f>'Survey Template'!Q78</f>
        <v>0</v>
      </c>
      <c r="R59" s="228">
        <f t="array" ref="R59">AVERAGE(IF(C59:Q59&lt;&gt;0,C59:Q59,""))</f>
        <v>40.718571428571423</v>
      </c>
      <c r="S59" s="229"/>
    </row>
    <row r="60" spans="1:19" ht="13.5" thickBot="1" x14ac:dyDescent="0.25">
      <c r="B60" s="193" t="s">
        <v>25</v>
      </c>
      <c r="C60" s="231">
        <f>'Survey Template'!C100</f>
        <v>40.61</v>
      </c>
      <c r="D60" s="231">
        <f>'Survey Template'!D100</f>
        <v>40.61</v>
      </c>
      <c r="E60" s="231">
        <f>'Survey Template'!E100</f>
        <v>29.32</v>
      </c>
      <c r="F60" s="231">
        <f>'Survey Template'!F100</f>
        <v>24.11</v>
      </c>
      <c r="G60" s="231">
        <f>'Survey Template'!G100</f>
        <v>22.57</v>
      </c>
      <c r="H60" s="231">
        <f>'Survey Template'!H100</f>
        <v>22.57</v>
      </c>
      <c r="I60" s="231">
        <f>'Survey Template'!I100</f>
        <v>22.57</v>
      </c>
      <c r="J60" s="231">
        <f>'Survey Template'!J100</f>
        <v>29.85</v>
      </c>
      <c r="K60" s="231">
        <f>'Survey Template'!K100</f>
        <v>25.7</v>
      </c>
      <c r="L60" s="231">
        <f>'Survey Template'!L100</f>
        <v>30.71</v>
      </c>
      <c r="M60" s="231">
        <f>'Survey Template'!M100</f>
        <v>24.93</v>
      </c>
      <c r="N60" s="231">
        <f>'Survey Template'!N100</f>
        <v>28.11</v>
      </c>
      <c r="O60" s="231">
        <f>'Survey Template'!O100</f>
        <v>35.46</v>
      </c>
      <c r="P60" s="231">
        <f>'Survey Template'!P100</f>
        <v>35.71</v>
      </c>
      <c r="Q60" s="231">
        <f>'Survey Template'!Q100</f>
        <v>30.75</v>
      </c>
      <c r="R60" s="228">
        <f t="array" ref="R60">AVERAGE(IF(C60:Q60&lt;&gt;0,C60:Q60,""))</f>
        <v>29.571999999999996</v>
      </c>
      <c r="S60" s="229"/>
    </row>
    <row r="61" spans="1:19" x14ac:dyDescent="0.2">
      <c r="B61" s="193" t="s">
        <v>17</v>
      </c>
      <c r="C61" s="228">
        <f>SUM(C58:C60)</f>
        <v>897.06</v>
      </c>
      <c r="D61" s="228">
        <f>SUM(D58:D60)</f>
        <v>540.61</v>
      </c>
      <c r="E61" s="228">
        <f t="shared" ref="E61:O61" si="12">SUM(E58:E60)</f>
        <v>665.46</v>
      </c>
      <c r="F61" s="228">
        <f t="shared" si="12"/>
        <v>542.88</v>
      </c>
      <c r="G61" s="228">
        <f t="shared" si="12"/>
        <v>521.02</v>
      </c>
      <c r="H61" s="228">
        <f t="shared" ref="H61:I61" si="13">SUM(H58:H60)</f>
        <v>509.28</v>
      </c>
      <c r="I61" s="228">
        <f t="shared" si="13"/>
        <v>509.28</v>
      </c>
      <c r="J61" s="228">
        <f t="shared" si="12"/>
        <v>668.91</v>
      </c>
      <c r="K61" s="228">
        <f t="shared" si="12"/>
        <v>578.59</v>
      </c>
      <c r="L61" s="228">
        <f t="shared" si="12"/>
        <v>691.04000000000008</v>
      </c>
      <c r="M61" s="228">
        <f t="shared" si="12"/>
        <v>575.91</v>
      </c>
      <c r="N61" s="228">
        <f t="shared" si="12"/>
        <v>628.08000000000004</v>
      </c>
      <c r="O61" s="228">
        <f t="shared" si="12"/>
        <v>779.74</v>
      </c>
      <c r="P61" s="228">
        <f>SUM(P58:P60)</f>
        <v>790.14</v>
      </c>
      <c r="Q61" s="228">
        <f>SUM(Q58:Q60)</f>
        <v>645.82000000000005</v>
      </c>
      <c r="R61" s="228">
        <f t="array" ref="R61">AVERAGE(IF(C61:Q61&lt;&gt;0,C61:Q61,""))</f>
        <v>636.25466666666659</v>
      </c>
      <c r="S61" s="229"/>
    </row>
    <row r="62" spans="1:19" x14ac:dyDescent="0.2">
      <c r="B62" s="193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9"/>
    </row>
    <row r="63" spans="1:19" x14ac:dyDescent="0.2">
      <c r="A63" s="192" t="s">
        <v>31</v>
      </c>
      <c r="B63" s="193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9"/>
    </row>
    <row r="64" spans="1:19" x14ac:dyDescent="0.2">
      <c r="B64" s="193" t="s">
        <v>27</v>
      </c>
      <c r="C64" s="228">
        <f t="shared" ref="C64:Q64" si="14">30*(C12+C14+C45+C61)+2*(C27)</f>
        <v>28589.999999999996</v>
      </c>
      <c r="D64" s="228">
        <f t="shared" si="14"/>
        <v>16578.599999999999</v>
      </c>
      <c r="E64" s="228">
        <f t="shared" si="14"/>
        <v>21673</v>
      </c>
      <c r="F64" s="228">
        <f t="shared" si="14"/>
        <v>17715.399999999998</v>
      </c>
      <c r="G64" s="228">
        <f t="shared" si="14"/>
        <v>17324.3</v>
      </c>
      <c r="H64" s="228">
        <f t="shared" si="14"/>
        <v>16735.599999999999</v>
      </c>
      <c r="I64" s="228">
        <f t="shared" si="14"/>
        <v>16502.2</v>
      </c>
      <c r="J64" s="228">
        <f t="shared" si="14"/>
        <v>21748.999999999996</v>
      </c>
      <c r="K64" s="228">
        <f t="shared" si="14"/>
        <v>19241.099999999999</v>
      </c>
      <c r="L64" s="228">
        <f t="shared" si="14"/>
        <v>22466.700000000004</v>
      </c>
      <c r="M64" s="228">
        <f t="shared" si="14"/>
        <v>18892.080000000002</v>
      </c>
      <c r="N64" s="228">
        <f t="shared" si="14"/>
        <v>20789.100000000002</v>
      </c>
      <c r="O64" s="228">
        <f t="shared" si="14"/>
        <v>25161.9</v>
      </c>
      <c r="P64" s="228">
        <f t="shared" si="14"/>
        <v>24953.699999999997</v>
      </c>
      <c r="Q64" s="228">
        <f t="shared" si="14"/>
        <v>21004.500000000004</v>
      </c>
      <c r="R64" s="228">
        <f t="array" ref="R64">AVERAGE(IF(C64:Q64&lt;&gt;0,C64:Q64,""))</f>
        <v>20625.145333333337</v>
      </c>
      <c r="S64" s="229"/>
    </row>
    <row r="65" spans="1:20" x14ac:dyDescent="0.2">
      <c r="B65" s="193" t="s">
        <v>28</v>
      </c>
      <c r="C65" s="228">
        <f>TRUNC(+C64/30,2)</f>
        <v>953</v>
      </c>
      <c r="D65" s="228">
        <f>TRUNC(+D64/30,2)</f>
        <v>552.62</v>
      </c>
      <c r="E65" s="228">
        <f t="shared" ref="E65:P65" si="15">TRUNC(+E64/30,2)</f>
        <v>722.43</v>
      </c>
      <c r="F65" s="228">
        <f t="shared" si="15"/>
        <v>590.51</v>
      </c>
      <c r="G65" s="228">
        <f t="shared" si="15"/>
        <v>577.47</v>
      </c>
      <c r="H65" s="228">
        <f t="shared" ref="H65:I65" si="16">TRUNC(+H64/30,2)</f>
        <v>557.85</v>
      </c>
      <c r="I65" s="228">
        <f t="shared" si="16"/>
        <v>550.07000000000005</v>
      </c>
      <c r="J65" s="228">
        <f t="shared" si="15"/>
        <v>724.96</v>
      </c>
      <c r="K65" s="228">
        <f t="shared" si="15"/>
        <v>641.37</v>
      </c>
      <c r="L65" s="228">
        <f t="shared" si="15"/>
        <v>748.89</v>
      </c>
      <c r="M65" s="228">
        <f t="shared" si="15"/>
        <v>629.73</v>
      </c>
      <c r="N65" s="228">
        <f t="shared" si="15"/>
        <v>692.97</v>
      </c>
      <c r="O65" s="228">
        <f t="shared" si="15"/>
        <v>838.73</v>
      </c>
      <c r="P65" s="228">
        <f t="shared" si="15"/>
        <v>831.79</v>
      </c>
      <c r="Q65" s="228">
        <f t="shared" ref="Q65" si="17">TRUNC(+Q64/30,2)</f>
        <v>700.15</v>
      </c>
      <c r="R65" s="228">
        <f t="array" ref="R65">AVERAGE(IF(C65:Q65&lt;&gt;0,C65:Q65,""))</f>
        <v>687.50266666666664</v>
      </c>
      <c r="S65" s="229"/>
    </row>
    <row r="66" spans="1:20" ht="6" customHeight="1" x14ac:dyDescent="0.2">
      <c r="B66" s="193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</row>
    <row r="67" spans="1:20" ht="15.75" x14ac:dyDescent="0.25">
      <c r="A67" s="195" t="s">
        <v>32</v>
      </c>
      <c r="B67" s="197"/>
      <c r="R67" s="228"/>
    </row>
    <row r="68" spans="1:20" x14ac:dyDescent="0.2">
      <c r="A68" s="192" t="s">
        <v>33</v>
      </c>
      <c r="R68" s="228"/>
    </row>
    <row r="69" spans="1:20" x14ac:dyDescent="0.2">
      <c r="B69" s="193" t="s">
        <v>30</v>
      </c>
      <c r="C69" s="228">
        <f>'Survey Template'!C15</f>
        <v>448.73</v>
      </c>
      <c r="D69" s="228"/>
      <c r="E69" s="228">
        <f>'Survey Template'!E15</f>
        <v>403.51</v>
      </c>
      <c r="F69" s="228">
        <f>'Survey Template'!F15</f>
        <v>334.13</v>
      </c>
      <c r="G69" s="228">
        <f>'Survey Template'!G15</f>
        <v>347.91</v>
      </c>
      <c r="H69" s="228">
        <f>'Survey Template'!H15</f>
        <v>347.91</v>
      </c>
      <c r="I69" s="228">
        <f>'Survey Template'!I15</f>
        <v>347.91</v>
      </c>
      <c r="J69" s="228">
        <f>'Survey Template'!J15</f>
        <v>303.70999999999998</v>
      </c>
      <c r="K69" s="228">
        <f>'Survey Template'!K15</f>
        <v>295.33999999999997</v>
      </c>
      <c r="L69" s="228">
        <f>'Survey Template'!L15</f>
        <v>288.16000000000003</v>
      </c>
      <c r="M69" s="228">
        <f>'Survey Template'!M15</f>
        <v>379.95</v>
      </c>
      <c r="N69" s="228">
        <f>'Survey Template'!N15</f>
        <v>408.1</v>
      </c>
      <c r="O69" s="228">
        <f>'Survey Template'!O15</f>
        <v>290.60000000000002</v>
      </c>
      <c r="P69" s="228">
        <f>'Survey Template'!P15</f>
        <v>0</v>
      </c>
      <c r="Q69" s="228">
        <f>'Survey Template'!Q15</f>
        <v>385</v>
      </c>
      <c r="R69" s="228">
        <f t="array" ref="R69">AVERAGE(IF(C69:Q69&lt;&gt;0,C69:Q69,""))</f>
        <v>352.38153846153847</v>
      </c>
      <c r="S69" s="229">
        <f>SUMPRODUCT(C69:O69,$C$219:$O$219)/SUM($C$219:$O$219)</f>
        <v>392.94797388476076</v>
      </c>
    </row>
    <row r="70" spans="1:20" ht="13.5" thickBot="1" x14ac:dyDescent="0.25">
      <c r="B70" s="193" t="s">
        <v>25</v>
      </c>
      <c r="C70" s="231">
        <f>'Survey Template'!C36</f>
        <v>22.43</v>
      </c>
      <c r="D70" s="231"/>
      <c r="E70" s="231">
        <f>'Survey Template'!E36</f>
        <v>20.170000000000002</v>
      </c>
      <c r="F70" s="231">
        <f>'Survey Template'!F36</f>
        <v>16.7</v>
      </c>
      <c r="G70" s="231">
        <f>'Survey Template'!G36</f>
        <v>17.39</v>
      </c>
      <c r="H70" s="231">
        <f>'Survey Template'!H36</f>
        <v>17.39</v>
      </c>
      <c r="I70" s="231">
        <f>'Survey Template'!I36</f>
        <v>17.39</v>
      </c>
      <c r="J70" s="231">
        <f>'Survey Template'!J36</f>
        <v>15.18</v>
      </c>
      <c r="K70" s="231">
        <f>'Survey Template'!K36</f>
        <v>14.76</v>
      </c>
      <c r="L70" s="231">
        <f>'Survey Template'!L36</f>
        <v>14.4</v>
      </c>
      <c r="M70" s="231">
        <f>'Survey Template'!M36</f>
        <v>18.989999999999998</v>
      </c>
      <c r="N70" s="231">
        <f>'Survey Template'!N36</f>
        <v>20.399999999999999</v>
      </c>
      <c r="O70" s="231">
        <f>'Survey Template'!O36</f>
        <v>14.52</v>
      </c>
      <c r="P70" s="231">
        <f>'Survey Template'!P36</f>
        <v>0</v>
      </c>
      <c r="Q70" s="231">
        <f>'Survey Template'!Q36</f>
        <v>19.25</v>
      </c>
      <c r="R70" s="228">
        <f t="array" ref="R70">AVERAGE(IF(C70:Q70&lt;&gt;0,C70:Q70,""))</f>
        <v>17.613076923076925</v>
      </c>
      <c r="S70" s="229">
        <f>SUMPRODUCT(C70:O70,$C$219:$O$219)/SUM($C$219:$O$219)</f>
        <v>19.641053043606131</v>
      </c>
    </row>
    <row r="71" spans="1:20" x14ac:dyDescent="0.2">
      <c r="B71" s="191" t="s">
        <v>17</v>
      </c>
      <c r="C71" s="228">
        <f>SUM(C69:C70)</f>
        <v>471.16</v>
      </c>
      <c r="D71" s="228"/>
      <c r="E71" s="228">
        <f t="shared" ref="E71:N71" si="18">SUM(E69:E70)</f>
        <v>423.68</v>
      </c>
      <c r="F71" s="228">
        <f t="shared" si="18"/>
        <v>350.83</v>
      </c>
      <c r="G71" s="228">
        <f t="shared" si="18"/>
        <v>365.3</v>
      </c>
      <c r="H71" s="228">
        <f t="shared" ref="H71:I71" si="19">SUM(H69:H70)</f>
        <v>365.3</v>
      </c>
      <c r="I71" s="228">
        <f t="shared" si="19"/>
        <v>365.3</v>
      </c>
      <c r="J71" s="228">
        <f t="shared" si="18"/>
        <v>318.89</v>
      </c>
      <c r="K71" s="228">
        <f t="shared" si="18"/>
        <v>310.09999999999997</v>
      </c>
      <c r="L71" s="228">
        <f t="shared" si="18"/>
        <v>302.56</v>
      </c>
      <c r="M71" s="228">
        <f t="shared" si="18"/>
        <v>398.94</v>
      </c>
      <c r="N71" s="228">
        <f t="shared" si="18"/>
        <v>428.5</v>
      </c>
      <c r="O71" s="228">
        <f>SUM(O69:O70)</f>
        <v>305.12</v>
      </c>
      <c r="P71" s="228">
        <f t="shared" ref="P71:Q71" si="20">SUM(P69:P70)</f>
        <v>0</v>
      </c>
      <c r="Q71" s="228">
        <f t="shared" si="20"/>
        <v>404.25</v>
      </c>
      <c r="R71" s="228">
        <f t="array" ref="R71">AVERAGE(IF(C71:Q71&lt;&gt;0,C71:Q71,""))</f>
        <v>369.99461538461532</v>
      </c>
      <c r="S71" s="229">
        <f>SUMPRODUCT(C71:O71,$C$219:$O$219)/SUM($C$219:$O$219)</f>
        <v>412.58902692836693</v>
      </c>
    </row>
    <row r="72" spans="1:20" ht="6" customHeight="1" x14ac:dyDescent="0.2"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</row>
    <row r="73" spans="1:20" x14ac:dyDescent="0.2">
      <c r="A73" s="192" t="s">
        <v>34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</row>
    <row r="74" spans="1:20" x14ac:dyDescent="0.2">
      <c r="B74" s="193" t="s">
        <v>35</v>
      </c>
      <c r="C74" s="228">
        <f>24*(C12+C15+C45+C71)+2*(C27)</f>
        <v>12681.84</v>
      </c>
      <c r="D74" s="228"/>
      <c r="E74" s="228">
        <f t="shared" ref="E74:O74" si="21">24*(E12+E15+E45+E71)+2*(E27)</f>
        <v>11543.68</v>
      </c>
      <c r="F74" s="228">
        <f t="shared" si="21"/>
        <v>9866.0799999999981</v>
      </c>
      <c r="G74" s="228">
        <f>24*(G12+G15+G45+G71)+2*(G27)</f>
        <v>10428.32</v>
      </c>
      <c r="H74" s="228">
        <f t="shared" si="21"/>
        <v>10226.32</v>
      </c>
      <c r="I74" s="228">
        <f t="shared" si="21"/>
        <v>10039.6</v>
      </c>
      <c r="J74" s="228">
        <f t="shared" si="21"/>
        <v>9029.48</v>
      </c>
      <c r="K74" s="228">
        <f t="shared" si="21"/>
        <v>9062.4</v>
      </c>
      <c r="L74" s="228">
        <f t="shared" si="21"/>
        <v>8871.5999999999985</v>
      </c>
      <c r="M74" s="228">
        <f t="shared" si="21"/>
        <v>11273.22</v>
      </c>
      <c r="N74" s="228">
        <f t="shared" si="21"/>
        <v>11841.36</v>
      </c>
      <c r="O74" s="228">
        <f t="shared" si="21"/>
        <v>8961.119999999999</v>
      </c>
      <c r="P74" s="228"/>
      <c r="Q74" s="228">
        <f>24*(Q12+Q15+Q45+Q71)+2*(Q27)</f>
        <v>11341.92</v>
      </c>
      <c r="R74" s="228">
        <f t="array" ref="R74">AVERAGE(IF(C74:Q74&lt;&gt;0,C74:Q74,""))</f>
        <v>10397.456923076921</v>
      </c>
      <c r="S74" s="229">
        <f>SUMPRODUCT(C74:O74,$C$219:$O$219)/SUM($C$219:$O$219)</f>
        <v>11535.552819996021</v>
      </c>
    </row>
    <row r="75" spans="1:20" x14ac:dyDescent="0.2">
      <c r="B75" s="193" t="s">
        <v>28</v>
      </c>
      <c r="C75" s="228">
        <f>+C74/24</f>
        <v>528.41</v>
      </c>
      <c r="D75" s="228"/>
      <c r="E75" s="228">
        <f>+E74/24</f>
        <v>480.98666666666668</v>
      </c>
      <c r="F75" s="228">
        <f t="shared" ref="F75:O75" si="22">+F74/24</f>
        <v>411.08666666666659</v>
      </c>
      <c r="G75" s="228">
        <f t="shared" si="22"/>
        <v>434.51333333333332</v>
      </c>
      <c r="H75" s="228">
        <f t="shared" ref="H75:I75" si="23">+H74/24</f>
        <v>426.09666666666664</v>
      </c>
      <c r="I75" s="228">
        <f t="shared" si="23"/>
        <v>418.31666666666666</v>
      </c>
      <c r="J75" s="228">
        <f t="shared" si="22"/>
        <v>376.2283333333333</v>
      </c>
      <c r="K75" s="228">
        <f t="shared" si="22"/>
        <v>377.59999999999997</v>
      </c>
      <c r="L75" s="228">
        <f t="shared" si="22"/>
        <v>369.64999999999992</v>
      </c>
      <c r="M75" s="228">
        <f t="shared" si="22"/>
        <v>469.71749999999997</v>
      </c>
      <c r="N75" s="228">
        <f t="shared" si="22"/>
        <v>493.39000000000004</v>
      </c>
      <c r="O75" s="228">
        <f t="shared" si="22"/>
        <v>373.37999999999994</v>
      </c>
      <c r="P75" s="228"/>
      <c r="Q75" s="228">
        <f t="shared" ref="Q75" si="24">+Q74/24</f>
        <v>472.58</v>
      </c>
      <c r="R75" s="228">
        <f t="array" ref="R75">AVERAGE(IF(C75:Q75&lt;&gt;0,C75:Q75,""))</f>
        <v>433.22737179487183</v>
      </c>
      <c r="S75" s="229">
        <f>SUMPRODUCT(C75:O75,$C$219:$O$219)/SUM($C$219:$O$219)</f>
        <v>480.64803416650091</v>
      </c>
    </row>
    <row r="76" spans="1:20" x14ac:dyDescent="0.2">
      <c r="B76" s="196"/>
      <c r="R76" s="228"/>
    </row>
    <row r="77" spans="1:20" x14ac:dyDescent="0.2">
      <c r="A77" s="192" t="s">
        <v>36</v>
      </c>
      <c r="R77" s="228"/>
    </row>
    <row r="78" spans="1:20" x14ac:dyDescent="0.2">
      <c r="B78" s="193" t="s">
        <v>83</v>
      </c>
      <c r="C78" s="228">
        <f>'Survey Template'!C79</f>
        <v>1138.94</v>
      </c>
      <c r="D78" s="228"/>
      <c r="E78" s="228">
        <f>'Survey Template'!E79</f>
        <v>1004.85</v>
      </c>
      <c r="F78" s="228">
        <f>'Survey Template'!F79</f>
        <v>921.15</v>
      </c>
      <c r="G78" s="228">
        <f>'Survey Template'!G79</f>
        <v>772.43</v>
      </c>
      <c r="H78" s="228">
        <f>'Survey Template'!H79</f>
        <v>772.43</v>
      </c>
      <c r="I78" s="228">
        <f>'Survey Template'!I79</f>
        <v>772.43</v>
      </c>
      <c r="J78" s="228">
        <f>'Survey Template'!J79</f>
        <v>927.51</v>
      </c>
      <c r="K78" s="228">
        <f>'Survey Template'!K79</f>
        <v>923.57</v>
      </c>
      <c r="L78" s="228">
        <f>'Survey Template'!L79</f>
        <v>1073.31</v>
      </c>
      <c r="M78" s="228">
        <f>'Survey Template'!M79</f>
        <v>900</v>
      </c>
      <c r="N78" s="228">
        <f>'Survey Template'!N79</f>
        <v>932.61</v>
      </c>
      <c r="O78" s="228">
        <f>'Survey Template'!O79</f>
        <v>1173.73</v>
      </c>
      <c r="P78" s="228"/>
      <c r="Q78" s="228">
        <f>'Survey Template'!Q79</f>
        <v>993</v>
      </c>
      <c r="R78" s="228">
        <f t="array" ref="R78">AVERAGE(IF(C78:Q78&lt;&gt;0,C78:Q78,""))</f>
        <v>946.61230769230781</v>
      </c>
      <c r="T78" s="228"/>
    </row>
    <row r="79" spans="1:20" ht="13.5" thickBot="1" x14ac:dyDescent="0.25">
      <c r="B79" s="193" t="s">
        <v>25</v>
      </c>
      <c r="C79" s="231">
        <f>'Survey Template'!C101</f>
        <v>56.94</v>
      </c>
      <c r="D79" s="231"/>
      <c r="E79" s="231">
        <f>'Survey Template'!E101</f>
        <v>50.230000000000004</v>
      </c>
      <c r="F79" s="231">
        <f>'Survey Template'!F101</f>
        <v>46.05</v>
      </c>
      <c r="G79" s="231">
        <f>'Survey Template'!G101</f>
        <v>38.61</v>
      </c>
      <c r="H79" s="231">
        <f>'Survey Template'!H101</f>
        <v>38.61</v>
      </c>
      <c r="I79" s="231">
        <f>'Survey Template'!I101</f>
        <v>38.61</v>
      </c>
      <c r="J79" s="231">
        <f>'Survey Template'!J101</f>
        <v>46.37</v>
      </c>
      <c r="K79" s="231">
        <f>'Survey Template'!K101</f>
        <v>46.17</v>
      </c>
      <c r="L79" s="231">
        <f>'Survey Template'!L101</f>
        <v>53.65</v>
      </c>
      <c r="M79" s="231">
        <f>'Survey Template'!M101</f>
        <v>44.99</v>
      </c>
      <c r="N79" s="231">
        <f>'Survey Template'!N101</f>
        <v>46.63</v>
      </c>
      <c r="O79" s="231">
        <f>'Survey Template'!O101</f>
        <v>58.67</v>
      </c>
      <c r="P79" s="231"/>
      <c r="Q79" s="231">
        <f>'Survey Template'!Q101</f>
        <v>49.65</v>
      </c>
      <c r="R79" s="228">
        <f t="array" ref="R79">AVERAGE(IF(C79:Q79&lt;&gt;0,C79:Q79,""))</f>
        <v>47.321538461538459</v>
      </c>
    </row>
    <row r="80" spans="1:20" x14ac:dyDescent="0.2">
      <c r="B80" s="191" t="s">
        <v>17</v>
      </c>
      <c r="C80" s="228">
        <f>SUM(C78:C79)</f>
        <v>1195.8800000000001</v>
      </c>
      <c r="D80" s="228"/>
      <c r="E80" s="228">
        <f>SUM(E78:E79)</f>
        <v>1055.08</v>
      </c>
      <c r="F80" s="228">
        <f t="shared" ref="F80:O80" si="25">SUM(F78:F79)</f>
        <v>967.19999999999993</v>
      </c>
      <c r="G80" s="228">
        <f t="shared" si="25"/>
        <v>811.04</v>
      </c>
      <c r="H80" s="228">
        <f t="shared" ref="H80:I80" si="26">SUM(H78:H79)</f>
        <v>811.04</v>
      </c>
      <c r="I80" s="228">
        <f t="shared" si="26"/>
        <v>811.04</v>
      </c>
      <c r="J80" s="228">
        <f t="shared" si="25"/>
        <v>973.88</v>
      </c>
      <c r="K80" s="228">
        <f t="shared" si="25"/>
        <v>969.74</v>
      </c>
      <c r="L80" s="228">
        <f t="shared" si="25"/>
        <v>1126.96</v>
      </c>
      <c r="M80" s="228">
        <f t="shared" si="25"/>
        <v>944.99</v>
      </c>
      <c r="N80" s="228">
        <f t="shared" si="25"/>
        <v>979.24</v>
      </c>
      <c r="O80" s="228">
        <f t="shared" si="25"/>
        <v>1232.4000000000001</v>
      </c>
      <c r="P80" s="228">
        <f t="shared" ref="P80:Q80" si="27">SUM(P78:P79)</f>
        <v>0</v>
      </c>
      <c r="Q80" s="228">
        <f t="shared" si="27"/>
        <v>1042.6500000000001</v>
      </c>
      <c r="R80" s="228">
        <f t="array" ref="R80">AVERAGE(IF(C80:Q80&lt;&gt;0,C80:Q80,""))</f>
        <v>993.93384615384616</v>
      </c>
    </row>
    <row r="81" spans="1:20" x14ac:dyDescent="0.2"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</row>
    <row r="82" spans="1:20" x14ac:dyDescent="0.2">
      <c r="A82" s="192" t="s">
        <v>37</v>
      </c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</row>
    <row r="83" spans="1:20" x14ac:dyDescent="0.2">
      <c r="B83" s="193" t="s">
        <v>35</v>
      </c>
      <c r="C83" s="228">
        <f>24*(C12+C16+C45+C80)+2*C27</f>
        <v>30075.120000000003</v>
      </c>
      <c r="D83" s="228"/>
      <c r="E83" s="228">
        <f t="shared" ref="E83:O83" si="28">24*(E12+E16+E45+E80)+2*E27</f>
        <v>26697.279999999999</v>
      </c>
      <c r="F83" s="228">
        <f t="shared" si="28"/>
        <v>24658.959999999999</v>
      </c>
      <c r="G83" s="228">
        <f t="shared" si="28"/>
        <v>21126.079999999998</v>
      </c>
      <c r="H83" s="228">
        <f t="shared" si="28"/>
        <v>20924.079999999998</v>
      </c>
      <c r="I83" s="228">
        <f t="shared" si="28"/>
        <v>20737.36</v>
      </c>
      <c r="J83" s="228">
        <f t="shared" si="28"/>
        <v>24749.239999999998</v>
      </c>
      <c r="K83" s="228">
        <f t="shared" si="28"/>
        <v>24893.760000000002</v>
      </c>
      <c r="L83" s="228">
        <f t="shared" si="28"/>
        <v>28657.199999999997</v>
      </c>
      <c r="M83" s="228">
        <f t="shared" si="28"/>
        <v>24378.420000000002</v>
      </c>
      <c r="N83" s="228">
        <f t="shared" si="28"/>
        <v>25059.120000000003</v>
      </c>
      <c r="O83" s="228">
        <f t="shared" si="28"/>
        <v>31215.840000000004</v>
      </c>
      <c r="P83" s="228"/>
      <c r="Q83" s="228">
        <f>24*(Q12+Q16+Q45+Q80)+2*Q27</f>
        <v>26663.52</v>
      </c>
      <c r="R83" s="228">
        <f t="array" ref="R83">AVERAGE(IF(C83:Q83&lt;&gt;0,C83:Q83,""))</f>
        <v>25371.998461538467</v>
      </c>
    </row>
    <row r="84" spans="1:20" x14ac:dyDescent="0.2">
      <c r="B84" s="193" t="s">
        <v>28</v>
      </c>
      <c r="C84" s="228">
        <f>+C83/24</f>
        <v>1253.1300000000001</v>
      </c>
      <c r="D84" s="228"/>
      <c r="E84" s="228">
        <f t="shared" ref="E84:O84" si="29">+E83/24</f>
        <v>1112.3866666666665</v>
      </c>
      <c r="F84" s="228">
        <f t="shared" si="29"/>
        <v>1027.4566666666667</v>
      </c>
      <c r="G84" s="228">
        <f t="shared" si="29"/>
        <v>880.25333333333322</v>
      </c>
      <c r="H84" s="228">
        <f t="shared" ref="H84:I84" si="30">+H83/24</f>
        <v>871.83666666666659</v>
      </c>
      <c r="I84" s="228">
        <f t="shared" si="30"/>
        <v>864.05666666666673</v>
      </c>
      <c r="J84" s="228">
        <f t="shared" si="29"/>
        <v>1031.2183333333332</v>
      </c>
      <c r="K84" s="228">
        <f t="shared" si="29"/>
        <v>1037.24</v>
      </c>
      <c r="L84" s="228">
        <f t="shared" si="29"/>
        <v>1194.05</v>
      </c>
      <c r="M84" s="228">
        <f t="shared" si="29"/>
        <v>1015.7675</v>
      </c>
      <c r="N84" s="228">
        <f t="shared" si="29"/>
        <v>1044.1300000000001</v>
      </c>
      <c r="O84" s="228">
        <f t="shared" si="29"/>
        <v>1300.6600000000001</v>
      </c>
      <c r="P84" s="228"/>
      <c r="Q84" s="228">
        <f t="shared" ref="Q84" si="31">+Q83/24</f>
        <v>1110.98</v>
      </c>
      <c r="R84" s="228">
        <f t="array" ref="R84">AVERAGE(IF(C84:Q84&lt;&gt;0,C84:Q84,""))</f>
        <v>1057.1666025641025</v>
      </c>
    </row>
    <row r="85" spans="1:20" ht="15.75" x14ac:dyDescent="0.25">
      <c r="A85" s="195" t="s">
        <v>38</v>
      </c>
      <c r="B85" s="197"/>
      <c r="R85" s="228"/>
    </row>
    <row r="86" spans="1:20" x14ac:dyDescent="0.2">
      <c r="A86" s="192" t="s">
        <v>39</v>
      </c>
      <c r="R86" s="228"/>
    </row>
    <row r="87" spans="1:20" x14ac:dyDescent="0.2">
      <c r="B87" s="193" t="s">
        <v>30</v>
      </c>
      <c r="C87" s="228">
        <f>'Survey Template'!C17</f>
        <v>652.47</v>
      </c>
      <c r="D87" s="228"/>
      <c r="E87" s="228">
        <f>'Survey Template'!E17</f>
        <v>602.36</v>
      </c>
      <c r="F87" s="228">
        <f>'Survey Template'!F17</f>
        <v>379.76</v>
      </c>
      <c r="G87" s="228">
        <f>'Survey Template'!G17</f>
        <v>0</v>
      </c>
      <c r="H87" s="228"/>
      <c r="I87" s="228"/>
      <c r="J87" s="228">
        <f>'Survey Template'!J17</f>
        <v>0</v>
      </c>
      <c r="K87" s="228">
        <f>'Survey Template'!K17</f>
        <v>0</v>
      </c>
      <c r="L87" s="228">
        <f>'Survey Template'!L17</f>
        <v>0</v>
      </c>
      <c r="M87" s="228">
        <f>'Survey Template'!M17</f>
        <v>593.49</v>
      </c>
      <c r="N87" s="228">
        <f>'Survey Template'!N17</f>
        <v>0</v>
      </c>
      <c r="O87" s="228">
        <f>'Survey Template'!O17</f>
        <v>0</v>
      </c>
      <c r="P87" s="228">
        <f>'Survey Template'!P17</f>
        <v>0</v>
      </c>
      <c r="Q87" s="228">
        <f>'Survey Template'!Q17</f>
        <v>0</v>
      </c>
      <c r="R87" s="228">
        <f t="array" ref="R87">AVERAGE(IF(C87:Q87&lt;&gt;0,C87:Q87,""))</f>
        <v>557.02</v>
      </c>
      <c r="T87" s="228"/>
    </row>
    <row r="88" spans="1:20" ht="13.5" thickBot="1" x14ac:dyDescent="0.25">
      <c r="B88" s="193" t="s">
        <v>25</v>
      </c>
      <c r="C88" s="231">
        <f>'Survey Template'!C38</f>
        <v>32.619999999999997</v>
      </c>
      <c r="D88" s="231"/>
      <c r="E88" s="231">
        <f>'Survey Template'!E38</f>
        <v>30.11</v>
      </c>
      <c r="F88" s="231">
        <f>'Survey Template'!F38</f>
        <v>18.98</v>
      </c>
      <c r="G88" s="231">
        <f>'Survey Template'!G38</f>
        <v>0</v>
      </c>
      <c r="H88" s="231"/>
      <c r="I88" s="231"/>
      <c r="J88" s="231">
        <f>'Survey Template'!J38</f>
        <v>0</v>
      </c>
      <c r="K88" s="231">
        <f>'Survey Template'!K38</f>
        <v>0</v>
      </c>
      <c r="L88" s="231">
        <f>'Survey Template'!L38</f>
        <v>0</v>
      </c>
      <c r="M88" s="231">
        <f>'Survey Template'!M38</f>
        <v>29.67</v>
      </c>
      <c r="N88" s="231">
        <f>'Survey Template'!N38</f>
        <v>0</v>
      </c>
      <c r="O88" s="231">
        <f>'Survey Template'!O38</f>
        <v>0</v>
      </c>
      <c r="P88" s="231">
        <f>'Survey Template'!P38</f>
        <v>0</v>
      </c>
      <c r="Q88" s="231">
        <f>'Survey Template'!Q38</f>
        <v>0</v>
      </c>
      <c r="R88" s="228">
        <f t="array" ref="R88">AVERAGE(IF(C88:Q88&lt;&gt;0,C88:Q88,""))</f>
        <v>27.844999999999999</v>
      </c>
    </row>
    <row r="89" spans="1:20" x14ac:dyDescent="0.2">
      <c r="B89" s="191" t="s">
        <v>17</v>
      </c>
      <c r="C89" s="228">
        <f>SUM(C87:C88)</f>
        <v>685.09</v>
      </c>
      <c r="D89" s="228"/>
      <c r="E89" s="228">
        <f>SUM(E87:E88)</f>
        <v>632.47</v>
      </c>
      <c r="F89" s="228">
        <f>SUM(F87:F88)</f>
        <v>398.74</v>
      </c>
      <c r="G89" s="228"/>
      <c r="H89" s="228"/>
      <c r="I89" s="228"/>
      <c r="J89" s="228"/>
      <c r="K89" s="228"/>
      <c r="L89" s="228"/>
      <c r="M89" s="228">
        <f>SUM(M87:M88)</f>
        <v>623.16</v>
      </c>
      <c r="N89" s="228"/>
      <c r="O89" s="228"/>
      <c r="P89" s="228"/>
      <c r="Q89" s="228"/>
      <c r="R89" s="228">
        <f t="array" ref="R89">AVERAGE(IF(C89:Q89&lt;&gt;0,C89:Q89,""))</f>
        <v>584.86500000000001</v>
      </c>
    </row>
    <row r="90" spans="1:20" ht="4.5" customHeight="1" x14ac:dyDescent="0.2"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</row>
    <row r="91" spans="1:20" x14ac:dyDescent="0.2">
      <c r="A91" s="192" t="s">
        <v>40</v>
      </c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</row>
    <row r="92" spans="1:20" x14ac:dyDescent="0.2">
      <c r="B92" s="193" t="s">
        <v>35</v>
      </c>
      <c r="C92" s="228">
        <f>24*(C12+C17+C45+C89)+2*(C27)</f>
        <v>17784.72</v>
      </c>
      <c r="D92" s="228"/>
      <c r="E92" s="228">
        <f>24*(E12+E17+E45+E89)+2*(E27)</f>
        <v>16554.64</v>
      </c>
      <c r="F92" s="228">
        <f>24*(F12+F17+F45+F89)+2*(F27)</f>
        <v>11070.64</v>
      </c>
      <c r="G92" s="228"/>
      <c r="H92" s="228"/>
      <c r="I92" s="228"/>
      <c r="J92" s="228"/>
      <c r="K92" s="228"/>
      <c r="L92" s="228"/>
      <c r="M92" s="228">
        <f>24*(M12+M17+M45+M89)+2*(M27)</f>
        <v>16910.82</v>
      </c>
      <c r="N92" s="228"/>
      <c r="O92" s="228"/>
      <c r="P92" s="228"/>
      <c r="Q92" s="228"/>
      <c r="R92" s="228">
        <f t="array" ref="R92">AVERAGE(IF(C92:Q92&lt;&gt;0,C92:Q92,""))</f>
        <v>15580.205</v>
      </c>
    </row>
    <row r="93" spans="1:20" x14ac:dyDescent="0.2">
      <c r="B93" s="193" t="s">
        <v>28</v>
      </c>
      <c r="C93" s="228">
        <f>+C92/24</f>
        <v>741.03000000000009</v>
      </c>
      <c r="D93" s="228"/>
      <c r="E93" s="228">
        <f>+E92/24</f>
        <v>689.77666666666664</v>
      </c>
      <c r="F93" s="228">
        <f>+F92/24</f>
        <v>461.27666666666664</v>
      </c>
      <c r="G93" s="228"/>
      <c r="H93" s="228"/>
      <c r="I93" s="228"/>
      <c r="J93" s="228"/>
      <c r="K93" s="228"/>
      <c r="L93" s="228"/>
      <c r="M93" s="228">
        <f>+M92/24</f>
        <v>704.61749999999995</v>
      </c>
      <c r="N93" s="228"/>
      <c r="O93" s="228"/>
      <c r="P93" s="228"/>
      <c r="Q93" s="228"/>
      <c r="R93" s="228">
        <f t="array" ref="R93">AVERAGE(IF(C93:Q93&lt;&gt;0,C93:Q93,""))</f>
        <v>649.17520833333333</v>
      </c>
    </row>
    <row r="94" spans="1:20" x14ac:dyDescent="0.2">
      <c r="B94" s="196"/>
      <c r="R94" s="228"/>
    </row>
    <row r="95" spans="1:20" x14ac:dyDescent="0.2">
      <c r="A95" s="192" t="s">
        <v>41</v>
      </c>
      <c r="R95" s="228"/>
    </row>
    <row r="96" spans="1:20" x14ac:dyDescent="0.2">
      <c r="B96" s="193" t="s">
        <v>83</v>
      </c>
      <c r="C96" s="228">
        <f>'Survey Template'!C81</f>
        <v>1179.6099999999999</v>
      </c>
      <c r="D96" s="228"/>
      <c r="E96" s="228">
        <f>'Survey Template'!E81</f>
        <v>1237.67</v>
      </c>
      <c r="F96" s="228">
        <f>'Survey Template'!F81</f>
        <v>991.22</v>
      </c>
      <c r="G96" s="228">
        <f>'Survey Template'!G81</f>
        <v>0</v>
      </c>
      <c r="H96" s="228"/>
      <c r="I96" s="228"/>
      <c r="J96" s="228">
        <f>'Survey Template'!J81</f>
        <v>0</v>
      </c>
      <c r="K96" s="228">
        <f>'Survey Template'!K81</f>
        <v>0</v>
      </c>
      <c r="L96" s="228">
        <f>'Survey Template'!L81</f>
        <v>0</v>
      </c>
      <c r="M96" s="228">
        <f>'Survey Template'!M81</f>
        <v>1031.0999999999999</v>
      </c>
      <c r="N96" s="228">
        <f>'Survey Template'!N81</f>
        <v>0</v>
      </c>
      <c r="O96" s="228">
        <f>'Survey Template'!O81</f>
        <v>0</v>
      </c>
      <c r="P96" s="228">
        <v>0</v>
      </c>
      <c r="Q96" s="228"/>
      <c r="R96" s="228">
        <f t="array" ref="R96">AVERAGE(IF(C96:Q96&lt;&gt;0,C96:Q96,""))</f>
        <v>1109.9000000000001</v>
      </c>
    </row>
    <row r="97" spans="1:18" ht="13.5" thickBot="1" x14ac:dyDescent="0.25">
      <c r="B97" s="193" t="s">
        <v>25</v>
      </c>
      <c r="C97" s="231">
        <f>'Survey Template'!C103</f>
        <v>58.97</v>
      </c>
      <c r="D97" s="231"/>
      <c r="E97" s="231">
        <f>'Survey Template'!E103</f>
        <v>61.87</v>
      </c>
      <c r="F97" s="231">
        <f>'Survey Template'!F103</f>
        <v>49.55</v>
      </c>
      <c r="G97" s="231">
        <f>'Survey Template'!G103</f>
        <v>0</v>
      </c>
      <c r="H97" s="231"/>
      <c r="I97" s="231"/>
      <c r="J97" s="231">
        <f>'Survey Template'!J103</f>
        <v>0</v>
      </c>
      <c r="K97" s="231">
        <f>'Survey Template'!K103</f>
        <v>0</v>
      </c>
      <c r="L97" s="231">
        <f>'Survey Template'!L103</f>
        <v>0</v>
      </c>
      <c r="M97" s="231">
        <f>'Survey Template'!M103</f>
        <v>51.55</v>
      </c>
      <c r="N97" s="231">
        <f>'Survey Template'!N103</f>
        <v>0</v>
      </c>
      <c r="O97" s="231">
        <f>'Survey Template'!O103</f>
        <v>0</v>
      </c>
      <c r="P97" s="231">
        <v>0</v>
      </c>
      <c r="Q97" s="230"/>
      <c r="R97" s="228">
        <f t="array" ref="R97">AVERAGE(IF(C97:Q97&lt;&gt;0,C97:Q97,""))</f>
        <v>55.484999999999999</v>
      </c>
    </row>
    <row r="98" spans="1:18" x14ac:dyDescent="0.2">
      <c r="B98" s="191" t="s">
        <v>17</v>
      </c>
      <c r="C98" s="228">
        <f>SUM(C96:C97)</f>
        <v>1238.58</v>
      </c>
      <c r="D98" s="228"/>
      <c r="E98" s="228">
        <f>SUM(E96:E97)</f>
        <v>1299.54</v>
      </c>
      <c r="F98" s="228">
        <f>SUM(F96:F97)</f>
        <v>1040.77</v>
      </c>
      <c r="G98" s="228">
        <f t="shared" ref="G98:M98" si="32">SUM(G96:G97)</f>
        <v>0</v>
      </c>
      <c r="H98" s="228"/>
      <c r="I98" s="228"/>
      <c r="J98" s="228">
        <f t="shared" si="32"/>
        <v>0</v>
      </c>
      <c r="K98" s="228">
        <f t="shared" si="32"/>
        <v>0</v>
      </c>
      <c r="L98" s="228">
        <f t="shared" si="32"/>
        <v>0</v>
      </c>
      <c r="M98" s="228">
        <f t="shared" si="32"/>
        <v>1082.6499999999999</v>
      </c>
      <c r="N98" s="228"/>
      <c r="O98" s="228"/>
      <c r="P98" s="228"/>
      <c r="Q98" s="228"/>
      <c r="R98" s="228">
        <f t="array" ref="R98">AVERAGE(IF(C98:Q98&lt;&gt;0,C98:Q98,""))</f>
        <v>1165.385</v>
      </c>
    </row>
    <row r="99" spans="1:18" x14ac:dyDescent="0.2"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</row>
    <row r="100" spans="1:18" x14ac:dyDescent="0.2">
      <c r="A100" s="192" t="s">
        <v>42</v>
      </c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</row>
    <row r="101" spans="1:18" x14ac:dyDescent="0.2">
      <c r="B101" s="193" t="s">
        <v>35</v>
      </c>
      <c r="C101" s="228">
        <f>24*(C12+C17+C45+C98)+2*C27</f>
        <v>31068.48</v>
      </c>
      <c r="D101" s="228"/>
      <c r="E101" s="228">
        <f>24*(E12+E17+E45+E98)+2*E27</f>
        <v>32564.32</v>
      </c>
      <c r="F101" s="228">
        <f>24*(F12+F17+F45+F98)+2*F27</f>
        <v>26479.359999999997</v>
      </c>
      <c r="G101" s="228"/>
      <c r="H101" s="228"/>
      <c r="I101" s="228"/>
      <c r="J101" s="228"/>
      <c r="K101" s="228"/>
      <c r="L101" s="228"/>
      <c r="M101" s="228">
        <f>24*(M12+M17+M45+M98)+2*M27</f>
        <v>27938.579999999998</v>
      </c>
      <c r="N101" s="228"/>
      <c r="O101" s="228"/>
      <c r="P101" s="228"/>
      <c r="Q101" s="228"/>
      <c r="R101" s="228">
        <f t="array" ref="R101">AVERAGE(IF(C101:Q101&lt;&gt;0,C101:Q101,""))</f>
        <v>29512.685000000001</v>
      </c>
    </row>
    <row r="102" spans="1:18" x14ac:dyDescent="0.2">
      <c r="B102" s="193" t="s">
        <v>28</v>
      </c>
      <c r="C102" s="228">
        <f>+C101/24</f>
        <v>1294.52</v>
      </c>
      <c r="D102" s="228"/>
      <c r="E102" s="228">
        <f t="shared" ref="E102:M102" si="33">+E101/24</f>
        <v>1356.8466666666666</v>
      </c>
      <c r="F102" s="228">
        <f t="shared" si="33"/>
        <v>1103.3066666666666</v>
      </c>
      <c r="G102" s="228">
        <f t="shared" si="33"/>
        <v>0</v>
      </c>
      <c r="H102" s="228"/>
      <c r="I102" s="228"/>
      <c r="J102" s="228"/>
      <c r="K102" s="228"/>
      <c r="L102" s="228">
        <f t="shared" si="33"/>
        <v>0</v>
      </c>
      <c r="M102" s="228">
        <f t="shared" si="33"/>
        <v>1164.1074999999998</v>
      </c>
      <c r="N102" s="228"/>
      <c r="O102" s="228"/>
      <c r="P102" s="228"/>
      <c r="Q102" s="228"/>
      <c r="R102" s="228">
        <f t="array" ref="R102">AVERAGE(IF(C102:Q102&lt;&gt;0,C102:Q102,""))</f>
        <v>1229.6952083333333</v>
      </c>
    </row>
    <row r="103" spans="1:18" x14ac:dyDescent="0.2">
      <c r="B103" s="196"/>
      <c r="J103" s="228"/>
      <c r="R103" s="228"/>
    </row>
    <row r="104" spans="1:18" ht="15.75" x14ac:dyDescent="0.25">
      <c r="A104" s="195" t="s">
        <v>43</v>
      </c>
      <c r="B104" s="197"/>
      <c r="K104" s="228"/>
      <c r="R104" s="228"/>
    </row>
    <row r="105" spans="1:18" x14ac:dyDescent="0.2">
      <c r="A105" s="192" t="s">
        <v>44</v>
      </c>
      <c r="R105" s="228"/>
    </row>
    <row r="106" spans="1:18" x14ac:dyDescent="0.2">
      <c r="B106" s="193" t="s">
        <v>30</v>
      </c>
      <c r="C106" s="228">
        <f>'Survey Template'!C18</f>
        <v>32743.7</v>
      </c>
      <c r="D106" s="228"/>
      <c r="E106" s="228">
        <f>'Survey Template'!E18</f>
        <v>21139.74</v>
      </c>
      <c r="F106" s="228">
        <f>'Survey Template'!F18</f>
        <v>0</v>
      </c>
      <c r="G106" s="228">
        <f>'Survey Template'!G18</f>
        <v>29174.65</v>
      </c>
      <c r="H106" s="228"/>
      <c r="I106" s="228"/>
      <c r="J106" s="228">
        <f>'Survey Template'!J18</f>
        <v>27292</v>
      </c>
      <c r="K106" s="228">
        <f>'Survey Template'!K18</f>
        <v>0</v>
      </c>
      <c r="L106" s="228">
        <f>'Survey Template'!L18</f>
        <v>25490.799999999999</v>
      </c>
      <c r="M106" s="228">
        <f>'Survey Template'!M18</f>
        <v>32736.83</v>
      </c>
      <c r="N106" s="228">
        <f>'Survey Template'!N18</f>
        <v>0</v>
      </c>
      <c r="O106" s="228">
        <f>'Survey Template'!O18</f>
        <v>0</v>
      </c>
      <c r="P106" s="228">
        <f>'Survey Template'!P18</f>
        <v>0</v>
      </c>
      <c r="Q106" s="228"/>
      <c r="R106" s="228">
        <f t="array" ref="R106">AVERAGE(IF(C106:Q106&lt;&gt;0,C106:Q106,""))</f>
        <v>28096.286666666663</v>
      </c>
    </row>
    <row r="107" spans="1:18" ht="13.5" thickBot="1" x14ac:dyDescent="0.25">
      <c r="B107" s="193" t="s">
        <v>25</v>
      </c>
      <c r="C107" s="231">
        <f>'Survey Template'!C39</f>
        <v>1637.18</v>
      </c>
      <c r="D107" s="231"/>
      <c r="E107" s="231">
        <f>'Survey Template'!E39</f>
        <v>1056.98</v>
      </c>
      <c r="F107" s="231">
        <f>'Survey Template'!F39</f>
        <v>0</v>
      </c>
      <c r="G107" s="231">
        <f>'Survey Template'!G39</f>
        <v>1458.73</v>
      </c>
      <c r="H107" s="231"/>
      <c r="I107" s="231"/>
      <c r="J107" s="231">
        <f>'Survey Template'!J39</f>
        <v>1091.68</v>
      </c>
      <c r="K107" s="231">
        <f>'Survey Template'!K39</f>
        <v>0</v>
      </c>
      <c r="L107" s="231">
        <f>'Survey Template'!L39</f>
        <v>1274.4000000000001</v>
      </c>
      <c r="M107" s="231">
        <f>'Survey Template'!M39</f>
        <v>1636.84</v>
      </c>
      <c r="N107" s="231">
        <f>'Survey Template'!N39</f>
        <v>0</v>
      </c>
      <c r="O107" s="231">
        <f>'Survey Template'!O39</f>
        <v>0</v>
      </c>
      <c r="P107" s="231">
        <f>'Survey Template'!P39</f>
        <v>0</v>
      </c>
      <c r="Q107" s="230"/>
      <c r="R107" s="228">
        <f t="array" ref="R107">AVERAGE(IF(C107:Q107&lt;&gt;0,C107:Q107,""))</f>
        <v>1359.3016666666665</v>
      </c>
    </row>
    <row r="108" spans="1:18" x14ac:dyDescent="0.2">
      <c r="B108" s="191" t="s">
        <v>17</v>
      </c>
      <c r="C108" s="228">
        <f>SUM(C106:C107)</f>
        <v>34380.879999999997</v>
      </c>
      <c r="D108" s="228"/>
      <c r="E108" s="228">
        <f>SUM(E106:E107)</f>
        <v>22196.720000000001</v>
      </c>
      <c r="F108" s="228"/>
      <c r="G108" s="228">
        <f>SUM(G106:G107)</f>
        <v>30633.38</v>
      </c>
      <c r="H108" s="228"/>
      <c r="I108" s="228"/>
      <c r="J108" s="228">
        <f>SUM(J106:J107)</f>
        <v>28383.68</v>
      </c>
      <c r="K108" s="228"/>
      <c r="L108" s="228">
        <f>SUM(L106:L107)</f>
        <v>26765.200000000001</v>
      </c>
      <c r="M108" s="228">
        <f>SUM(M106:M107)</f>
        <v>34373.67</v>
      </c>
      <c r="N108" s="228"/>
      <c r="O108" s="228"/>
      <c r="P108" s="228"/>
      <c r="Q108" s="228"/>
      <c r="R108" s="228">
        <f t="array" ref="R108">AVERAGE(IF(C108:Q108&lt;&gt;0,C108:Q108,""))</f>
        <v>29455.588333333337</v>
      </c>
    </row>
    <row r="109" spans="1:18" ht="6" customHeight="1" x14ac:dyDescent="0.2"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</row>
    <row r="110" spans="1:18" x14ac:dyDescent="0.2">
      <c r="A110" s="192" t="s">
        <v>45</v>
      </c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</row>
    <row r="111" spans="1:18" x14ac:dyDescent="0.2">
      <c r="B111" s="193" t="s">
        <v>46</v>
      </c>
      <c r="C111" s="228">
        <f>C108+C32+C30+40*C45+2*C27+'Survey Template'!C189</f>
        <v>36565.979999999996</v>
      </c>
      <c r="D111" s="228"/>
      <c r="E111" s="228">
        <f>E108+E32+E30+40*E45+2*E27+E36</f>
        <v>24258.800000000003</v>
      </c>
      <c r="F111" s="228"/>
      <c r="G111" s="228">
        <f>G108+G30+G32+40*(G45)+2*G27+G36</f>
        <v>32611.460000000003</v>
      </c>
      <c r="H111" s="228"/>
      <c r="I111" s="228"/>
      <c r="J111" s="228">
        <f>J108+J30+'Survey Template'!J177+'Survey Template'!J126</f>
        <v>30606.720000000005</v>
      </c>
      <c r="K111" s="228"/>
      <c r="L111" s="228">
        <f>L108+L32+L30+40*(L45)+2*L27+'Survey Template'!L189</f>
        <v>31122.799999999999</v>
      </c>
      <c r="M111" s="228">
        <f>M108+M32+M30+40*(M45)*1+'Survey Template'!M189+1636.84</f>
        <v>37647.089999999997</v>
      </c>
      <c r="N111" s="228"/>
      <c r="O111" s="228"/>
      <c r="P111" s="228"/>
      <c r="Q111" s="228"/>
      <c r="R111" s="228">
        <f t="array" ref="R111">AVERAGE(IF(C111:Q111&lt;&gt;0,C111:Q111,""))</f>
        <v>32135.475000000002</v>
      </c>
    </row>
    <row r="112" spans="1:18" x14ac:dyDescent="0.2">
      <c r="B112" s="193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</row>
    <row r="113" spans="1:18" x14ac:dyDescent="0.2">
      <c r="A113" s="192" t="s">
        <v>47</v>
      </c>
      <c r="R113" s="228"/>
    </row>
    <row r="114" spans="1:18" x14ac:dyDescent="0.2">
      <c r="B114" s="193" t="s">
        <v>83</v>
      </c>
      <c r="C114" s="228">
        <f>'Survey Template'!C82</f>
        <v>60591.56</v>
      </c>
      <c r="D114" s="228"/>
      <c r="E114" s="228">
        <f>'Survey Template'!E82</f>
        <v>54045.64</v>
      </c>
      <c r="F114" s="228">
        <f>'Survey Template'!F82</f>
        <v>0</v>
      </c>
      <c r="G114" s="228">
        <f>'Survey Template'!G82</f>
        <v>49355.29</v>
      </c>
      <c r="H114" s="228"/>
      <c r="I114" s="228"/>
      <c r="J114" s="228">
        <f>'Survey Template'!J82</f>
        <v>60710</v>
      </c>
      <c r="K114" s="228">
        <f>'Survey Template'!K82</f>
        <v>0</v>
      </c>
      <c r="L114" s="228">
        <f>'Survey Template'!L82</f>
        <v>51084.800000000003</v>
      </c>
      <c r="M114" s="228">
        <f>'Survey Template'!M82</f>
        <v>62736.83</v>
      </c>
      <c r="N114" s="228">
        <f>'Survey Template'!N82</f>
        <v>0</v>
      </c>
      <c r="O114" s="228">
        <f>'Survey Template'!O82</f>
        <v>0</v>
      </c>
      <c r="P114" s="228">
        <v>0</v>
      </c>
      <c r="Q114" s="228"/>
      <c r="R114" s="228">
        <f t="array" ref="R114">AVERAGE(IF(C114:Q114&lt;&gt;0,C114:Q114,""))</f>
        <v>56420.686666666668</v>
      </c>
    </row>
    <row r="115" spans="1:18" ht="13.5" thickBot="1" x14ac:dyDescent="0.25">
      <c r="B115" s="193" t="s">
        <v>25</v>
      </c>
      <c r="C115" s="231">
        <f>'Survey Template'!C104</f>
        <v>1392.38</v>
      </c>
      <c r="D115" s="231"/>
      <c r="E115" s="231">
        <f>'Survey Template'!E104</f>
        <v>2702.27</v>
      </c>
      <c r="F115" s="231">
        <f>'Survey Template'!F104</f>
        <v>0</v>
      </c>
      <c r="G115" s="231">
        <f>'Survey Template'!G104</f>
        <v>2467.75</v>
      </c>
      <c r="H115" s="231"/>
      <c r="I115" s="231"/>
      <c r="J115" s="231">
        <f>'Survey Template'!J104</f>
        <v>2428.4</v>
      </c>
      <c r="K115" s="231">
        <f>'Survey Template'!K104</f>
        <v>0</v>
      </c>
      <c r="L115" s="231">
        <f>'Survey Template'!L104</f>
        <v>2554</v>
      </c>
      <c r="M115" s="231">
        <f>'Survey Template'!M104</f>
        <v>3136.84</v>
      </c>
      <c r="N115" s="231">
        <v>0</v>
      </c>
      <c r="O115" s="231">
        <v>0</v>
      </c>
      <c r="P115" s="231">
        <v>0</v>
      </c>
      <c r="Q115" s="230"/>
      <c r="R115" s="228">
        <f t="array" ref="R115">AVERAGE(IF(C115:Q115&lt;&gt;0,C115:Q115,""))</f>
        <v>2446.94</v>
      </c>
    </row>
    <row r="116" spans="1:18" x14ac:dyDescent="0.2">
      <c r="B116" s="191" t="s">
        <v>17</v>
      </c>
      <c r="C116" s="228">
        <f>SUM(C114:C115)</f>
        <v>61983.939999999995</v>
      </c>
      <c r="D116" s="228"/>
      <c r="E116" s="228">
        <f t="shared" ref="E116:K116" si="34">SUM(E114:E115)</f>
        <v>56747.909999999996</v>
      </c>
      <c r="F116" s="228">
        <f t="shared" si="34"/>
        <v>0</v>
      </c>
      <c r="G116" s="228">
        <f t="shared" si="34"/>
        <v>51823.040000000001</v>
      </c>
      <c r="H116" s="228"/>
      <c r="I116" s="228"/>
      <c r="J116" s="228">
        <f t="shared" si="34"/>
        <v>63138.400000000001</v>
      </c>
      <c r="K116" s="228">
        <f t="shared" si="34"/>
        <v>0</v>
      </c>
      <c r="L116" s="228">
        <f>SUM(L114:L115)</f>
        <v>53638.8</v>
      </c>
      <c r="M116" s="228">
        <f>SUM(M114:M115)</f>
        <v>65873.67</v>
      </c>
      <c r="N116" s="228"/>
      <c r="O116" s="228"/>
      <c r="P116" s="228"/>
      <c r="Q116" s="228"/>
      <c r="R116" s="228">
        <f t="array" ref="R116">AVERAGE(IF(C116:Q116&lt;&gt;0,C116:Q116,""))</f>
        <v>58867.626666666656</v>
      </c>
    </row>
    <row r="117" spans="1:18" x14ac:dyDescent="0.2"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</row>
    <row r="118" spans="1:18" x14ac:dyDescent="0.2">
      <c r="A118" s="192" t="s">
        <v>48</v>
      </c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</row>
    <row r="119" spans="1:18" x14ac:dyDescent="0.2">
      <c r="B119" s="193" t="s">
        <v>46</v>
      </c>
      <c r="C119" s="228">
        <f>C116+C32+C31+40*(C45)+2*C27+C107+'Survey Template'!C190</f>
        <v>65806.22</v>
      </c>
      <c r="D119" s="228"/>
      <c r="E119" s="228">
        <f>E116+E32+E31+40*(E45)+2*E27+E36</f>
        <v>58809.99</v>
      </c>
      <c r="F119" s="228"/>
      <c r="G119" s="228">
        <f>G116+G32+G31+40*(G45)+2*G27+G36</f>
        <v>53801.120000000003</v>
      </c>
      <c r="H119" s="228"/>
      <c r="I119" s="228"/>
      <c r="J119" s="228">
        <f>J116+J31+'Survey Template'!J126+'Survey Template'!J177</f>
        <v>65361.440000000002</v>
      </c>
      <c r="K119" s="228"/>
      <c r="L119" s="228">
        <f>L116+L32+L31+40*(L45)+2*L27+'Survey Template'!L190</f>
        <v>57996.4</v>
      </c>
      <c r="M119" s="228">
        <f>M116+M32+M31+40*(M45)+'Survey Template'!M190+1636.84</f>
        <v>69147.089999999982</v>
      </c>
      <c r="N119" s="228"/>
      <c r="O119" s="228"/>
      <c r="P119" s="228"/>
      <c r="Q119" s="228"/>
      <c r="R119" s="228">
        <f t="array" ref="R119">AVERAGE(IF(C119:Q119&lt;&gt;0,C119:Q119,""))</f>
        <v>61820.376666666656</v>
      </c>
    </row>
    <row r="120" spans="1:18" x14ac:dyDescent="0.2">
      <c r="B120" s="196"/>
      <c r="C120" s="239"/>
      <c r="D120" s="239"/>
      <c r="R120" s="228"/>
    </row>
    <row r="121" spans="1:18" ht="15.75" x14ac:dyDescent="0.25">
      <c r="A121" s="195" t="s">
        <v>49</v>
      </c>
      <c r="B121" s="197"/>
      <c r="C121" s="227"/>
      <c r="D121" s="227"/>
      <c r="R121" s="228"/>
    </row>
    <row r="122" spans="1:18" x14ac:dyDescent="0.2">
      <c r="A122" s="192" t="s">
        <v>50</v>
      </c>
      <c r="R122" s="228"/>
    </row>
    <row r="123" spans="1:18" x14ac:dyDescent="0.2">
      <c r="B123" s="193" t="s">
        <v>30</v>
      </c>
      <c r="C123" s="228">
        <f>'Survey Template'!C20</f>
        <v>25248.16</v>
      </c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>
        <f t="array" ref="R123">AVERAGE(IF(C123:Q123&lt;&gt;0,C123:Q123,""))</f>
        <v>25248.16</v>
      </c>
    </row>
    <row r="124" spans="1:18" ht="13.5" thickBot="1" x14ac:dyDescent="0.25">
      <c r="B124" s="193" t="s">
        <v>25</v>
      </c>
      <c r="C124" s="231">
        <f>'Survey Template'!C41</f>
        <v>1262.4000000000001</v>
      </c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0"/>
      <c r="R124" s="228">
        <f t="array" ref="R124">AVERAGE(IF(C124:Q124&lt;&gt;0,C124:Q124,""))</f>
        <v>1262.4000000000001</v>
      </c>
    </row>
    <row r="125" spans="1:18" x14ac:dyDescent="0.2">
      <c r="B125" s="191" t="s">
        <v>17</v>
      </c>
      <c r="C125" s="228">
        <f>SUM(C123:C124)</f>
        <v>26510.560000000001</v>
      </c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>
        <f t="array" ref="R125">AVERAGE(IF(C125:Q125&lt;&gt;0,C125:Q125,""))</f>
        <v>26510.560000000001</v>
      </c>
    </row>
    <row r="126" spans="1:18" ht="6" customHeight="1" x14ac:dyDescent="0.2"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</row>
    <row r="127" spans="1:18" x14ac:dyDescent="0.2">
      <c r="A127" s="192" t="s">
        <v>51</v>
      </c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</row>
    <row r="128" spans="1:18" x14ac:dyDescent="0.2">
      <c r="B128" s="193" t="s">
        <v>46</v>
      </c>
      <c r="C128" s="228">
        <f>C125+C32+C30+40*(C45)+2*C27+'Survey Template'!C189</f>
        <v>28695.660000000003</v>
      </c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>
        <f t="array" ref="R128">AVERAGE(IF(C128:Q128&lt;&gt;0,C128:Q128,""))</f>
        <v>28695.660000000003</v>
      </c>
    </row>
    <row r="129" spans="1:18" ht="9" customHeight="1" x14ac:dyDescent="0.2">
      <c r="B129" s="193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</row>
    <row r="130" spans="1:18" x14ac:dyDescent="0.2">
      <c r="A130" s="192" t="s">
        <v>52</v>
      </c>
      <c r="R130" s="228"/>
    </row>
    <row r="131" spans="1:18" x14ac:dyDescent="0.2">
      <c r="B131" s="193" t="s">
        <v>83</v>
      </c>
      <c r="C131" s="228">
        <f>'Survey Template'!C84</f>
        <v>45224.56</v>
      </c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>
        <f t="array" ref="R131">AVERAGE(IF(C131:Q131&lt;&gt;0,C131:Q131,""))</f>
        <v>45224.56</v>
      </c>
    </row>
    <row r="132" spans="1:18" ht="13.5" thickBot="1" x14ac:dyDescent="0.25">
      <c r="B132" s="193" t="s">
        <v>25</v>
      </c>
      <c r="C132" s="231">
        <f>'Survey Template'!C106</f>
        <v>2261.1999999999998</v>
      </c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0"/>
      <c r="R132" s="228">
        <f t="array" ref="R132">AVERAGE(IF(C132:Q132&lt;&gt;0,C132:Q132,""))</f>
        <v>2261.1999999999998</v>
      </c>
    </row>
    <row r="133" spans="1:18" x14ac:dyDescent="0.2">
      <c r="B133" s="191" t="s">
        <v>17</v>
      </c>
      <c r="C133" s="228">
        <f>SUM(C131:C132)</f>
        <v>47485.759999999995</v>
      </c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>
        <f t="array" ref="R133">AVERAGE(IF(C133:Q133&lt;&gt;0,C133:Q133,""))</f>
        <v>47485.759999999995</v>
      </c>
    </row>
    <row r="134" spans="1:18" x14ac:dyDescent="0.2"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</row>
    <row r="135" spans="1:18" x14ac:dyDescent="0.2">
      <c r="A135" s="192" t="s">
        <v>53</v>
      </c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</row>
    <row r="136" spans="1:18" x14ac:dyDescent="0.2">
      <c r="B136" s="193" t="s">
        <v>46</v>
      </c>
      <c r="C136" s="228">
        <f>C133+C32+C31+40*(C45)+2*C27+'Survey Template'!C190</f>
        <v>49670.859999999993</v>
      </c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>
        <f t="array" ref="R136">AVERAGE(IF(C136:Q136&lt;&gt;0,C136:Q136,""))</f>
        <v>49670.859999999993</v>
      </c>
    </row>
    <row r="137" spans="1:18" ht="3.75" customHeight="1" x14ac:dyDescent="0.2">
      <c r="B137" s="193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</row>
    <row r="138" spans="1:18" ht="15.75" x14ac:dyDescent="0.25">
      <c r="A138" s="195" t="s">
        <v>54</v>
      </c>
      <c r="B138" s="197"/>
      <c r="C138" s="227"/>
      <c r="D138" s="227"/>
      <c r="R138" s="228"/>
    </row>
    <row r="139" spans="1:18" x14ac:dyDescent="0.2">
      <c r="A139" s="192" t="s">
        <v>55</v>
      </c>
      <c r="R139" s="228"/>
    </row>
    <row r="140" spans="1:18" x14ac:dyDescent="0.2">
      <c r="B140" s="193" t="s">
        <v>30</v>
      </c>
      <c r="C140" s="228">
        <f>'Survey Template'!C23</f>
        <v>37563.519999999997</v>
      </c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>
        <f t="array" ref="R140">AVERAGE(IF(C140:Q140&lt;&gt;0,C140:Q140,""))</f>
        <v>37563.519999999997</v>
      </c>
    </row>
    <row r="141" spans="1:18" ht="13.5" thickBot="1" x14ac:dyDescent="0.25">
      <c r="B141" s="193" t="s">
        <v>25</v>
      </c>
      <c r="C141" s="231">
        <f>'Survey Template'!C44</f>
        <v>1878.16</v>
      </c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0"/>
      <c r="R141" s="228">
        <f t="array" ref="R141">AVERAGE(IF(C141:Q141&lt;&gt;0,C141:Q141,""))</f>
        <v>1878.16</v>
      </c>
    </row>
    <row r="142" spans="1:18" x14ac:dyDescent="0.2">
      <c r="B142" s="191" t="s">
        <v>17</v>
      </c>
      <c r="C142" s="228">
        <f>SUM(C140:C141)</f>
        <v>39441.68</v>
      </c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>
        <f t="array" ref="R142">AVERAGE(IF(C142:Q142&lt;&gt;0,C142:Q142,""))</f>
        <v>39441.68</v>
      </c>
    </row>
    <row r="143" spans="1:18" ht="6" customHeight="1" x14ac:dyDescent="0.2"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</row>
    <row r="144" spans="1:18" x14ac:dyDescent="0.2">
      <c r="A144" s="192" t="s">
        <v>56</v>
      </c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</row>
    <row r="145" spans="1:18" x14ac:dyDescent="0.2">
      <c r="B145" s="193" t="s">
        <v>46</v>
      </c>
      <c r="C145" s="228">
        <f>C142+C32+C30+40*(C45)+2*C27+'Survey Template'!C189</f>
        <v>41626.78</v>
      </c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>
        <f t="array" ref="R145">AVERAGE(IF(C145:Q145&lt;&gt;0,C145:Q145,""))</f>
        <v>41626.78</v>
      </c>
    </row>
    <row r="146" spans="1:18" x14ac:dyDescent="0.2">
      <c r="B146" s="193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</row>
    <row r="147" spans="1:18" x14ac:dyDescent="0.2">
      <c r="A147" s="192" t="s">
        <v>57</v>
      </c>
      <c r="R147" s="228"/>
    </row>
    <row r="148" spans="1:18" x14ac:dyDescent="0.2">
      <c r="B148" s="193" t="s">
        <v>83</v>
      </c>
      <c r="C148" s="228">
        <f>'Survey Template'!C87</f>
        <v>62783.3</v>
      </c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>
        <f t="array" ref="R148">AVERAGE(IF(C148:Q148&lt;&gt;0,C148:Q148,""))</f>
        <v>62783.3</v>
      </c>
    </row>
    <row r="149" spans="1:18" ht="13.5" thickBot="1" x14ac:dyDescent="0.25">
      <c r="B149" s="193" t="s">
        <v>25</v>
      </c>
      <c r="C149" s="231">
        <f>'Survey Template'!C109</f>
        <v>3139.14</v>
      </c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0"/>
      <c r="R149" s="228">
        <f t="array" ref="R149">AVERAGE(IF(C149:Q149&lt;&gt;0,C149:Q149,""))</f>
        <v>3139.14</v>
      </c>
    </row>
    <row r="150" spans="1:18" x14ac:dyDescent="0.2">
      <c r="B150" s="191" t="s">
        <v>17</v>
      </c>
      <c r="C150" s="228">
        <f>SUM(C148:C149)</f>
        <v>65922.44</v>
      </c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>
        <f t="array" ref="R150">AVERAGE(IF(C150:Q150&lt;&gt;0,C150:Q150,""))</f>
        <v>65922.44</v>
      </c>
    </row>
    <row r="151" spans="1:18" x14ac:dyDescent="0.2"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</row>
    <row r="152" spans="1:18" x14ac:dyDescent="0.2">
      <c r="A152" s="192" t="s">
        <v>58</v>
      </c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</row>
    <row r="153" spans="1:18" x14ac:dyDescent="0.2">
      <c r="B153" s="193" t="s">
        <v>46</v>
      </c>
      <c r="C153" s="228">
        <f>C150+C32+C31+40*(C45)+2*C27+'Survey Template'!C190</f>
        <v>68107.539999999994</v>
      </c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>
        <f t="array" ref="R153">AVERAGE(IF(C153:Q153&lt;&gt;0,C153:Q153,""))</f>
        <v>68107.539999999994</v>
      </c>
    </row>
    <row r="154" spans="1:18" ht="4.5" customHeight="1" x14ac:dyDescent="0.2">
      <c r="B154" s="196"/>
      <c r="R154" s="228"/>
    </row>
    <row r="155" spans="1:18" ht="15.75" x14ac:dyDescent="0.25">
      <c r="A155" s="195" t="s">
        <v>114</v>
      </c>
      <c r="B155" s="197"/>
      <c r="C155" s="227"/>
      <c r="D155" s="227"/>
      <c r="R155" s="228"/>
    </row>
    <row r="156" spans="1:18" x14ac:dyDescent="0.2">
      <c r="A156" s="192" t="s">
        <v>115</v>
      </c>
      <c r="R156" s="228"/>
    </row>
    <row r="157" spans="1:18" x14ac:dyDescent="0.2">
      <c r="B157" s="193" t="s">
        <v>30</v>
      </c>
      <c r="C157" s="228">
        <f>'Survey Template'!C21</f>
        <v>19844.740000000002</v>
      </c>
      <c r="D157" s="228"/>
      <c r="E157" s="228"/>
      <c r="F157" s="228"/>
      <c r="G157" s="228">
        <f>'Survey Template'!G21</f>
        <v>16610</v>
      </c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>
        <f t="array" ref="R157">AVERAGE(IF(C157:Q157&lt;&gt;0,C157:Q157,""))</f>
        <v>18227.370000000003</v>
      </c>
    </row>
    <row r="158" spans="1:18" ht="13.5" thickBot="1" x14ac:dyDescent="0.25">
      <c r="B158" s="193" t="s">
        <v>25</v>
      </c>
      <c r="C158" s="231">
        <f>'Survey Template'!C42</f>
        <v>992.22</v>
      </c>
      <c r="D158" s="231"/>
      <c r="E158" s="231"/>
      <c r="F158" s="231"/>
      <c r="G158" s="231">
        <f>'Survey Template'!G42</f>
        <v>830.5</v>
      </c>
      <c r="H158" s="231"/>
      <c r="I158" s="231"/>
      <c r="J158" s="231"/>
      <c r="K158" s="231"/>
      <c r="L158" s="231"/>
      <c r="M158" s="231"/>
      <c r="N158" s="231"/>
      <c r="O158" s="231"/>
      <c r="P158" s="231"/>
      <c r="Q158" s="230"/>
      <c r="R158" s="228">
        <f t="array" ref="R158">AVERAGE(IF(C158:Q158&lt;&gt;0,C158:Q158,""))</f>
        <v>911.36</v>
      </c>
    </row>
    <row r="159" spans="1:18" x14ac:dyDescent="0.2">
      <c r="B159" s="191" t="s">
        <v>17</v>
      </c>
      <c r="C159" s="228">
        <f>SUM(C157:C158)</f>
        <v>20836.960000000003</v>
      </c>
      <c r="D159" s="228"/>
      <c r="E159" s="228"/>
      <c r="F159" s="228"/>
      <c r="G159" s="228">
        <f>SUM(G157:G158)</f>
        <v>17440.5</v>
      </c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>
        <f t="array" ref="R159">AVERAGE(IF(C159:Q159&lt;&gt;0,C159:Q159,""))</f>
        <v>19138.730000000003</v>
      </c>
    </row>
    <row r="160" spans="1:18" x14ac:dyDescent="0.2"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</row>
    <row r="161" spans="1:18" x14ac:dyDescent="0.2">
      <c r="A161" s="192" t="s">
        <v>116</v>
      </c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</row>
    <row r="162" spans="1:18" x14ac:dyDescent="0.2">
      <c r="B162" s="193" t="s">
        <v>46</v>
      </c>
      <c r="C162" s="228">
        <f>C159+C33+C36+36*(C45)+2*C27</f>
        <v>22819.300000000003</v>
      </c>
      <c r="D162" s="228"/>
      <c r="E162" s="228"/>
      <c r="F162" s="228">
        <f>F74</f>
        <v>9866.0799999999981</v>
      </c>
      <c r="G162" s="228">
        <f>G159+G33+G36+40*(G45)+2*G27</f>
        <v>19418.580000000002</v>
      </c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>
        <f t="array" ref="R162">AVERAGE(IF(C162:Q162&lt;&gt;0,C162:Q162,""))</f>
        <v>17367.986666666668</v>
      </c>
    </row>
    <row r="163" spans="1:18" s="207" customFormat="1" hidden="1" x14ac:dyDescent="0.2">
      <c r="B163" s="209" t="s">
        <v>112</v>
      </c>
      <c r="C163" s="208"/>
      <c r="D163" s="208"/>
      <c r="R163" s="228" t="e">
        <f t="array" ref="R163">AVERAGE(IF(C163:Q163&lt;&gt;0,C163:Q163,""))</f>
        <v>#DIV/0!</v>
      </c>
    </row>
    <row r="164" spans="1:18" x14ac:dyDescent="0.2">
      <c r="B164" s="196"/>
      <c r="R164" s="228"/>
    </row>
    <row r="165" spans="1:18" x14ac:dyDescent="0.2">
      <c r="A165" s="192" t="s">
        <v>171</v>
      </c>
      <c r="R165" s="228"/>
    </row>
    <row r="166" spans="1:18" x14ac:dyDescent="0.2">
      <c r="B166" s="193" t="s">
        <v>83</v>
      </c>
      <c r="C166" s="228">
        <f>'Survey Template'!C85</f>
        <v>41886.14</v>
      </c>
      <c r="D166" s="228"/>
      <c r="E166" s="228"/>
      <c r="F166" s="228"/>
      <c r="G166" s="228">
        <f>'Survey Template'!G85</f>
        <v>34355</v>
      </c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>
        <f t="array" ref="R166">AVERAGE(IF(C166:Q166&lt;&gt;0,C166:Q166,""))</f>
        <v>38120.57</v>
      </c>
    </row>
    <row r="167" spans="1:18" ht="13.5" thickBot="1" x14ac:dyDescent="0.25">
      <c r="B167" s="193" t="s">
        <v>25</v>
      </c>
      <c r="C167" s="231">
        <f>'Survey Template'!C107</f>
        <v>1102.06</v>
      </c>
      <c r="D167" s="231"/>
      <c r="E167" s="231"/>
      <c r="F167" s="231"/>
      <c r="G167" s="231">
        <f>'Survey Template'!G107</f>
        <v>1717.75</v>
      </c>
      <c r="H167" s="231"/>
      <c r="I167" s="231"/>
      <c r="J167" s="231"/>
      <c r="K167" s="231"/>
      <c r="L167" s="231"/>
      <c r="M167" s="231"/>
      <c r="N167" s="231"/>
      <c r="O167" s="231"/>
      <c r="P167" s="231"/>
      <c r="Q167" s="230"/>
      <c r="R167" s="228">
        <f t="array" ref="R167">AVERAGE(IF(C167:Q167&lt;&gt;0,C167:Q167,""))</f>
        <v>1409.905</v>
      </c>
    </row>
    <row r="168" spans="1:18" x14ac:dyDescent="0.2">
      <c r="B168" s="191" t="s">
        <v>17</v>
      </c>
      <c r="C168" s="228">
        <f>SUM(C166:C167)</f>
        <v>42988.2</v>
      </c>
      <c r="D168" s="228"/>
      <c r="E168" s="228"/>
      <c r="F168" s="228"/>
      <c r="G168" s="228">
        <f>SUM(G166:G167)</f>
        <v>36072.75</v>
      </c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>
        <f t="array" ref="R168">AVERAGE(IF(C168:Q168&lt;&gt;0,C168:Q168,""))</f>
        <v>39530.474999999999</v>
      </c>
    </row>
    <row r="169" spans="1:18" x14ac:dyDescent="0.2"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</row>
    <row r="170" spans="1:18" x14ac:dyDescent="0.2">
      <c r="A170" s="192" t="s">
        <v>170</v>
      </c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</row>
    <row r="171" spans="1:18" x14ac:dyDescent="0.2">
      <c r="B171" s="193" t="s">
        <v>46</v>
      </c>
      <c r="C171" s="228">
        <f>C168+C32+C36+36*(C45)+2*C27+C158</f>
        <v>45962.76</v>
      </c>
      <c r="D171" s="228"/>
      <c r="E171" s="228"/>
      <c r="F171" s="228">
        <f>F83</f>
        <v>24658.959999999999</v>
      </c>
      <c r="G171" s="228">
        <f>G168+G33+G36+40*(G45)</f>
        <v>37976.83</v>
      </c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>
        <f t="array" ref="R171">AVERAGE(IF(C171:Q171&lt;&gt;0,C171:Q171,""))</f>
        <v>36199.51666666667</v>
      </c>
    </row>
    <row r="172" spans="1:18" ht="5.0999999999999996" customHeight="1" x14ac:dyDescent="0.2">
      <c r="B172" s="196"/>
      <c r="R172" s="228"/>
    </row>
    <row r="173" spans="1:18" ht="15.75" x14ac:dyDescent="0.25">
      <c r="A173" s="195" t="s">
        <v>117</v>
      </c>
      <c r="B173" s="197"/>
      <c r="C173" s="227"/>
      <c r="D173" s="227"/>
      <c r="R173" s="228"/>
    </row>
    <row r="174" spans="1:18" x14ac:dyDescent="0.2">
      <c r="A174" s="192" t="s">
        <v>260</v>
      </c>
      <c r="R174" s="228"/>
    </row>
    <row r="175" spans="1:18" x14ac:dyDescent="0.2">
      <c r="B175" s="193" t="s">
        <v>30</v>
      </c>
      <c r="C175" s="228">
        <f>'Survey Template'!C22</f>
        <v>19522.3</v>
      </c>
      <c r="D175" s="228"/>
      <c r="E175" s="228"/>
      <c r="F175" s="228"/>
      <c r="G175" s="228">
        <f>'Survey Template'!G22</f>
        <v>17721.86</v>
      </c>
      <c r="H175" s="228"/>
      <c r="I175" s="228"/>
      <c r="J175" s="228"/>
      <c r="K175" s="228"/>
      <c r="L175" s="228">
        <f>'Survey Template'!L22</f>
        <v>19780</v>
      </c>
      <c r="M175" s="228">
        <f>'Survey Template'!M22</f>
        <v>18552.64</v>
      </c>
      <c r="N175" s="228"/>
      <c r="O175" s="228"/>
      <c r="P175" s="228"/>
      <c r="Q175" s="228"/>
      <c r="R175" s="228">
        <f t="array" ref="R175">AVERAGE(IF(C175:Q175&lt;&gt;0,C175:Q175,""))</f>
        <v>18894.2</v>
      </c>
    </row>
    <row r="176" spans="1:18" ht="13.5" thickBot="1" x14ac:dyDescent="0.25">
      <c r="B176" s="193" t="s">
        <v>25</v>
      </c>
      <c r="C176" s="231">
        <f>'Survey Template'!C43</f>
        <v>976.1</v>
      </c>
      <c r="D176" s="231"/>
      <c r="E176" s="231"/>
      <c r="F176" s="231"/>
      <c r="G176" s="231">
        <f>'Survey Template'!G43</f>
        <v>886.09</v>
      </c>
      <c r="H176" s="231"/>
      <c r="I176" s="231"/>
      <c r="J176" s="231"/>
      <c r="K176" s="231"/>
      <c r="L176" s="231">
        <f>'Survey Template'!L43</f>
        <v>576</v>
      </c>
      <c r="M176" s="231">
        <f>'Survey Template'!M43</f>
        <v>927.36</v>
      </c>
      <c r="N176" s="231"/>
      <c r="O176" s="231"/>
      <c r="P176" s="231"/>
      <c r="Q176" s="230"/>
      <c r="R176" s="228">
        <f t="array" ref="R176">AVERAGE(IF(C176:Q176&lt;&gt;0,C176:Q176,""))</f>
        <v>841.38750000000005</v>
      </c>
    </row>
    <row r="177" spans="1:18" x14ac:dyDescent="0.2">
      <c r="B177" s="191" t="s">
        <v>17</v>
      </c>
      <c r="C177" s="228">
        <f>SUM(C175:C176)</f>
        <v>20498.399999999998</v>
      </c>
      <c r="D177" s="228"/>
      <c r="E177" s="228"/>
      <c r="F177" s="228"/>
      <c r="G177" s="228">
        <f>SUM(G175:G176)</f>
        <v>18607.95</v>
      </c>
      <c r="H177" s="228"/>
      <c r="I177" s="228"/>
      <c r="J177" s="228"/>
      <c r="K177" s="228"/>
      <c r="L177" s="228">
        <f>SUM(L175:L176)</f>
        <v>20356</v>
      </c>
      <c r="M177" s="228">
        <f>SUM(M175:M176)</f>
        <v>19480</v>
      </c>
      <c r="N177" s="228"/>
      <c r="O177" s="228"/>
      <c r="P177" s="228"/>
      <c r="Q177" s="228"/>
      <c r="R177" s="228">
        <f t="array" ref="R177">AVERAGE(IF(C177:Q177&lt;&gt;0,C177:Q177,""))</f>
        <v>19735.587500000001</v>
      </c>
    </row>
    <row r="178" spans="1:18" x14ac:dyDescent="0.2"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</row>
    <row r="179" spans="1:18" x14ac:dyDescent="0.2">
      <c r="A179" s="192" t="s">
        <v>118</v>
      </c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</row>
    <row r="180" spans="1:18" x14ac:dyDescent="0.2">
      <c r="B180" s="193" t="s">
        <v>46</v>
      </c>
      <c r="C180" s="228">
        <f>C177+C39+40*(C19+C45)+2*C27</f>
        <v>22507.78</v>
      </c>
      <c r="D180" s="228"/>
      <c r="E180" s="228"/>
      <c r="F180" s="228"/>
      <c r="G180" s="228">
        <f>G177+G39+G34+40*(G45)</f>
        <v>21398.120000000003</v>
      </c>
      <c r="H180" s="228"/>
      <c r="I180" s="228"/>
      <c r="J180" s="228"/>
      <c r="K180" s="228"/>
      <c r="L180" s="228">
        <f>L177+L32+L39+40*(L19+L45)</f>
        <v>21202.400000000001</v>
      </c>
      <c r="M180" s="228">
        <f>M177+M32+M39+40*(M19+M45)</f>
        <v>20909.599999999999</v>
      </c>
      <c r="N180" s="228"/>
      <c r="O180" s="228"/>
      <c r="P180" s="228"/>
      <c r="Q180" s="228"/>
      <c r="R180" s="228">
        <f t="array" ref="R180">AVERAGE(IF(C180:Q180&lt;&gt;0,C180:Q180,""))</f>
        <v>21504.474999999999</v>
      </c>
    </row>
    <row r="181" spans="1:18" x14ac:dyDescent="0.2">
      <c r="B181" s="193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</row>
    <row r="182" spans="1:18" x14ac:dyDescent="0.2">
      <c r="A182" s="192" t="s">
        <v>176</v>
      </c>
      <c r="R182" s="228"/>
    </row>
    <row r="183" spans="1:18" x14ac:dyDescent="0.2">
      <c r="B183" s="193" t="s">
        <v>83</v>
      </c>
      <c r="C183" s="228">
        <f>'Survey Template'!C86</f>
        <v>28322.3</v>
      </c>
      <c r="D183" s="228"/>
      <c r="E183" s="228">
        <f>'Survey Template'!E86</f>
        <v>0</v>
      </c>
      <c r="F183" s="228">
        <f>'Survey Template'!F86</f>
        <v>0</v>
      </c>
      <c r="G183" s="228">
        <f>'Survey Template'!G86</f>
        <v>24729.119999999999</v>
      </c>
      <c r="H183" s="228"/>
      <c r="I183" s="228"/>
      <c r="J183" s="228">
        <f>'Survey Template'!J86</f>
        <v>0</v>
      </c>
      <c r="K183" s="228">
        <f>'Survey Template'!K86</f>
        <v>0</v>
      </c>
      <c r="L183" s="228">
        <f>'Survey Template'!L86</f>
        <v>51186</v>
      </c>
      <c r="M183" s="228">
        <f>'Survey Template'!M86</f>
        <v>35194.239999999998</v>
      </c>
      <c r="N183" s="228">
        <f>'Survey Template'!N86</f>
        <v>0</v>
      </c>
      <c r="O183" s="228">
        <f>'Survey Template'!O86</f>
        <v>0</v>
      </c>
      <c r="P183" s="228"/>
      <c r="Q183" s="228"/>
      <c r="R183" s="228">
        <f t="array" ref="R183">AVERAGE(IF(C183:Q183&lt;&gt;0,C183:Q183,""))</f>
        <v>34857.915000000001</v>
      </c>
    </row>
    <row r="184" spans="1:18" ht="13.5" thickBot="1" x14ac:dyDescent="0.25">
      <c r="B184" s="193" t="s">
        <v>25</v>
      </c>
      <c r="C184" s="231">
        <f>'Survey Template'!C108</f>
        <v>1416.1</v>
      </c>
      <c r="D184" s="231"/>
      <c r="E184" s="231">
        <f>'Survey Template'!E108</f>
        <v>0</v>
      </c>
      <c r="F184" s="231">
        <f>'Survey Template'!F108</f>
        <v>0</v>
      </c>
      <c r="G184" s="231">
        <f>'Survey Template'!G108</f>
        <v>1236.45</v>
      </c>
      <c r="H184" s="231"/>
      <c r="I184" s="231"/>
      <c r="J184" s="231">
        <f>'Survey Template'!J108</f>
        <v>0</v>
      </c>
      <c r="K184" s="231">
        <f>'Survey Template'!K108</f>
        <v>0</v>
      </c>
      <c r="L184" s="231">
        <f>'Survey Template'!L108</f>
        <v>2146</v>
      </c>
      <c r="M184" s="231">
        <f>'Survey Template'!M108</f>
        <v>1759.36</v>
      </c>
      <c r="N184" s="231">
        <f>'Survey Template'!N108</f>
        <v>0</v>
      </c>
      <c r="O184" s="231">
        <f>'Survey Template'!O108</f>
        <v>0</v>
      </c>
      <c r="P184" s="231"/>
      <c r="Q184" s="230"/>
      <c r="R184" s="228">
        <f t="array" ref="R184">AVERAGE(IF(C184:Q184&lt;&gt;0,C184:Q184,""))</f>
        <v>1639.4775</v>
      </c>
    </row>
    <row r="185" spans="1:18" x14ac:dyDescent="0.2">
      <c r="B185" s="191" t="s">
        <v>17</v>
      </c>
      <c r="C185" s="228">
        <f>SUM(C183:C184)</f>
        <v>29738.399999999998</v>
      </c>
      <c r="D185" s="228"/>
      <c r="E185" s="228"/>
      <c r="F185" s="228"/>
      <c r="G185" s="228">
        <f>SUM(G183:G184)</f>
        <v>25965.57</v>
      </c>
      <c r="H185" s="228"/>
      <c r="I185" s="228"/>
      <c r="J185" s="228"/>
      <c r="K185" s="228"/>
      <c r="L185" s="228">
        <f>SUM(L183:L184)</f>
        <v>53332</v>
      </c>
      <c r="M185" s="228">
        <f>SUM(M183:M184)</f>
        <v>36953.599999999999</v>
      </c>
      <c r="N185" s="228"/>
      <c r="O185" s="228"/>
      <c r="P185" s="228"/>
      <c r="Q185" s="228"/>
      <c r="R185" s="228">
        <f t="array" ref="R185">AVERAGE(IF(C185:Q185&lt;&gt;0,C185:Q185,""))</f>
        <v>36497.392500000002</v>
      </c>
    </row>
    <row r="186" spans="1:18" x14ac:dyDescent="0.2">
      <c r="C186" s="228"/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</row>
    <row r="187" spans="1:18" x14ac:dyDescent="0.2">
      <c r="A187" s="192" t="s">
        <v>172</v>
      </c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</row>
    <row r="188" spans="1:18" x14ac:dyDescent="0.2">
      <c r="B188" s="193" t="s">
        <v>46</v>
      </c>
      <c r="C188" s="228">
        <f>C185+C34+C40+40*(C19+C45)</f>
        <v>30008.799999999999</v>
      </c>
      <c r="D188" s="228"/>
      <c r="E188" s="228"/>
      <c r="F188" s="228"/>
      <c r="G188" s="228">
        <f>G185+G34+G40+40*(G45)+2*G27</f>
        <v>27196.06</v>
      </c>
      <c r="H188" s="228"/>
      <c r="I188" s="228"/>
      <c r="J188" s="228"/>
      <c r="K188" s="228"/>
      <c r="L188" s="228">
        <f>L185+40*(L19+L45)+2*L27</f>
        <v>54178.400000000001</v>
      </c>
      <c r="M188" s="228">
        <f>M185+40*(M19+M45)+2*M27</f>
        <v>38768.579999999994</v>
      </c>
      <c r="N188" s="228"/>
      <c r="O188" s="228"/>
      <c r="P188" s="228"/>
      <c r="Q188" s="228"/>
      <c r="R188" s="228">
        <f t="array" ref="R188">AVERAGE(IF(C188:Q188&lt;&gt;0,C188:Q188,""))</f>
        <v>37537.96</v>
      </c>
    </row>
    <row r="189" spans="1:18" x14ac:dyDescent="0.2">
      <c r="B189" s="193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  <c r="M189" s="228"/>
      <c r="N189" s="228"/>
      <c r="O189" s="228"/>
      <c r="P189" s="228"/>
      <c r="Q189" s="228"/>
      <c r="R189" s="228"/>
    </row>
    <row r="190" spans="1:18" ht="15.75" x14ac:dyDescent="0.25">
      <c r="A190" s="195" t="s">
        <v>123</v>
      </c>
      <c r="B190" s="197"/>
      <c r="C190" s="227"/>
      <c r="D190" s="227"/>
      <c r="R190" s="228"/>
    </row>
    <row r="191" spans="1:18" x14ac:dyDescent="0.2">
      <c r="A191" s="192" t="s">
        <v>261</v>
      </c>
      <c r="R191" s="228"/>
    </row>
    <row r="192" spans="1:18" x14ac:dyDescent="0.2">
      <c r="B192" s="193" t="s">
        <v>30</v>
      </c>
      <c r="C192" s="228">
        <f>'Survey Template'!C24</f>
        <v>13201.82</v>
      </c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>
        <f t="array" ref="R192">AVERAGE(IF(C192:Q192&lt;&gt;0,C192:Q192,""))</f>
        <v>13201.82</v>
      </c>
    </row>
    <row r="193" spans="1:18" ht="13.5" thickBot="1" x14ac:dyDescent="0.25">
      <c r="B193" s="193" t="s">
        <v>25</v>
      </c>
      <c r="C193" s="231">
        <f>'Survey Template'!C45</f>
        <v>660.08</v>
      </c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0"/>
      <c r="R193" s="228">
        <f t="array" ref="R193">AVERAGE(IF(C193:Q193&lt;&gt;0,C193:Q193,""))</f>
        <v>660.08</v>
      </c>
    </row>
    <row r="194" spans="1:18" x14ac:dyDescent="0.2">
      <c r="B194" s="191" t="s">
        <v>17</v>
      </c>
      <c r="C194" s="228">
        <f>SUM(C192:C193)</f>
        <v>13861.9</v>
      </c>
      <c r="D194" s="228"/>
      <c r="E194" s="228"/>
      <c r="F194" s="228"/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>
        <f t="array" ref="R194">AVERAGE(IF(C194:Q194&lt;&gt;0,C194:Q194,""))</f>
        <v>13861.9</v>
      </c>
    </row>
    <row r="195" spans="1:18" ht="6" customHeight="1" x14ac:dyDescent="0.2">
      <c r="C195" s="228"/>
      <c r="D195" s="228"/>
      <c r="E195" s="228"/>
      <c r="F195" s="228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</row>
    <row r="196" spans="1:18" x14ac:dyDescent="0.2">
      <c r="A196" s="192" t="s">
        <v>131</v>
      </c>
      <c r="C196" s="228"/>
      <c r="D196" s="228"/>
      <c r="E196" s="228"/>
      <c r="F196" s="228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</row>
    <row r="197" spans="1:18" x14ac:dyDescent="0.2">
      <c r="B197" s="193" t="s">
        <v>46</v>
      </c>
      <c r="C197" s="228">
        <f>C194+C32+C42+24*(C45)</f>
        <v>15235.96</v>
      </c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>
        <f t="array" ref="R197">AVERAGE(IF(C197:Q197&lt;&gt;0,C197:Q197,""))</f>
        <v>15235.96</v>
      </c>
    </row>
    <row r="198" spans="1:18" x14ac:dyDescent="0.2">
      <c r="B198" s="193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</row>
    <row r="199" spans="1:18" x14ac:dyDescent="0.2">
      <c r="A199" s="192" t="s">
        <v>262</v>
      </c>
      <c r="R199" s="228"/>
    </row>
    <row r="200" spans="1:18" x14ac:dyDescent="0.2">
      <c r="B200" s="193" t="s">
        <v>83</v>
      </c>
      <c r="C200" s="228">
        <f>'Survey Template'!C88</f>
        <v>29767.06</v>
      </c>
      <c r="D200" s="228"/>
      <c r="E200" s="228"/>
      <c r="F200" s="228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>
        <f t="array" ref="R200">AVERAGE(IF(C200:Q200&lt;&gt;0,C200:Q200,""))</f>
        <v>29767.06</v>
      </c>
    </row>
    <row r="201" spans="1:18" ht="13.5" thickBot="1" x14ac:dyDescent="0.25">
      <c r="B201" s="193" t="s">
        <v>25</v>
      </c>
      <c r="C201" s="231">
        <f>'Survey Template'!C110</f>
        <v>1488.3400000000001</v>
      </c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0"/>
      <c r="R201" s="228">
        <f t="array" ref="R201">AVERAGE(IF(C201:Q201&lt;&gt;0,C201:Q201,""))</f>
        <v>1488.3400000000001</v>
      </c>
    </row>
    <row r="202" spans="1:18" x14ac:dyDescent="0.2">
      <c r="B202" s="191" t="s">
        <v>17</v>
      </c>
      <c r="C202" s="228">
        <f>SUM(C200:C201)</f>
        <v>31255.4</v>
      </c>
      <c r="D202" s="228"/>
      <c r="E202" s="228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>
        <f t="array" ref="R202">AVERAGE(IF(C202:Q202&lt;&gt;0,C202:Q202,""))</f>
        <v>31255.4</v>
      </c>
    </row>
    <row r="203" spans="1:18" x14ac:dyDescent="0.2">
      <c r="C203" s="228"/>
      <c r="D203" s="228"/>
      <c r="E203" s="228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</row>
    <row r="204" spans="1:18" x14ac:dyDescent="0.2">
      <c r="A204" s="192" t="s">
        <v>175</v>
      </c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</row>
    <row r="205" spans="1:18" x14ac:dyDescent="0.2">
      <c r="B205" s="193" t="s">
        <v>46</v>
      </c>
      <c r="C205" s="228">
        <f>C202+C42+C32+24*(C45)</f>
        <v>32629.460000000003</v>
      </c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>
        <f t="array" ref="R205">AVERAGE(IF(C205:Q205&lt;&gt;0,C205:Q205,""))</f>
        <v>32629.460000000003</v>
      </c>
    </row>
    <row r="206" spans="1:18" ht="7.5" customHeight="1" x14ac:dyDescent="0.2">
      <c r="R206" s="228"/>
    </row>
    <row r="207" spans="1:18" ht="15.75" x14ac:dyDescent="0.25">
      <c r="A207" s="195" t="s">
        <v>121</v>
      </c>
      <c r="B207" s="197"/>
      <c r="C207" s="227"/>
      <c r="D207" s="227"/>
      <c r="R207" s="228"/>
    </row>
    <row r="208" spans="1:18" x14ac:dyDescent="0.2">
      <c r="A208" s="192" t="s">
        <v>263</v>
      </c>
      <c r="R208" s="228"/>
    </row>
    <row r="209" spans="1:18" x14ac:dyDescent="0.2">
      <c r="B209" s="193" t="s">
        <v>30</v>
      </c>
      <c r="C209" s="228"/>
      <c r="D209" s="228"/>
      <c r="E209" s="228"/>
      <c r="F209" s="228"/>
      <c r="G209" s="228"/>
      <c r="H209" s="228"/>
      <c r="I209" s="228"/>
      <c r="J209" s="228"/>
      <c r="K209" s="228"/>
      <c r="L209" s="228"/>
      <c r="M209" s="228">
        <f>'Survey Template'!M19</f>
        <v>21286.080000000002</v>
      </c>
      <c r="N209" s="228">
        <f>'Survey Template'!N19</f>
        <v>13713.28</v>
      </c>
      <c r="O209" s="228"/>
      <c r="P209" s="228"/>
      <c r="Q209" s="228"/>
      <c r="R209" s="228">
        <f t="array" ref="R209">AVERAGE(IF(C209:Q209&lt;&gt;0,C209:Q209,""))</f>
        <v>17499.68</v>
      </c>
    </row>
    <row r="210" spans="1:18" ht="13.5" thickBot="1" x14ac:dyDescent="0.25">
      <c r="B210" s="193" t="s">
        <v>25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>
        <f>'Survey Template'!M40</f>
        <v>1064</v>
      </c>
      <c r="N210" s="231">
        <f>'Survey Template'!N40</f>
        <v>685.44</v>
      </c>
      <c r="O210" s="231"/>
      <c r="P210" s="231"/>
      <c r="Q210" s="230"/>
      <c r="R210" s="228">
        <f t="array" ref="R210">AVERAGE(IF(C210:Q210&lt;&gt;0,C210:Q210,""))</f>
        <v>874.72</v>
      </c>
    </row>
    <row r="211" spans="1:18" x14ac:dyDescent="0.2">
      <c r="B211" s="191" t="s">
        <v>17</v>
      </c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>
        <f>SUM(M209:M210)</f>
        <v>22350.080000000002</v>
      </c>
      <c r="N211" s="228">
        <f>SUM(N209:N210)</f>
        <v>14398.720000000001</v>
      </c>
      <c r="O211" s="228"/>
      <c r="P211" s="228"/>
      <c r="Q211" s="228"/>
      <c r="R211" s="228">
        <f t="array" ref="R211">AVERAGE(IF(C211:Q211&lt;&gt;0,C211:Q211,""))</f>
        <v>18374.400000000001</v>
      </c>
    </row>
    <row r="212" spans="1:18" ht="4.5" customHeight="1" x14ac:dyDescent="0.2">
      <c r="C212" s="228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</row>
    <row r="213" spans="1:18" x14ac:dyDescent="0.2">
      <c r="A213" s="192" t="s">
        <v>128</v>
      </c>
      <c r="C213" s="228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</row>
    <row r="214" spans="1:18" x14ac:dyDescent="0.2">
      <c r="B214" s="193" t="s">
        <v>46</v>
      </c>
      <c r="C214" s="228"/>
      <c r="D214" s="228"/>
      <c r="E214" s="228"/>
      <c r="F214" s="228"/>
      <c r="G214" s="228"/>
      <c r="H214" s="228"/>
      <c r="I214" s="228"/>
      <c r="J214" s="228"/>
      <c r="K214" s="228"/>
      <c r="L214" s="228"/>
      <c r="M214" s="228">
        <f>+M211+32*(M12+M18+M45)+2*M27</f>
        <v>24942.820000000003</v>
      </c>
      <c r="N214" s="228">
        <f>+N211+32*(N12+N18+N45)+2*N27</f>
        <v>16307.2</v>
      </c>
      <c r="O214" s="228"/>
      <c r="P214" s="228"/>
      <c r="Q214" s="228"/>
      <c r="R214" s="228">
        <f t="array" ref="R214">AVERAGE(IF(C214:Q214&lt;&gt;0,C214:Q214,""))</f>
        <v>20625.010000000002</v>
      </c>
    </row>
    <row r="215" spans="1:18" ht="6.75" customHeight="1" x14ac:dyDescent="0.2">
      <c r="B215" s="196"/>
      <c r="R215" s="228"/>
    </row>
    <row r="216" spans="1:18" x14ac:dyDescent="0.2">
      <c r="A216" s="192" t="s">
        <v>173</v>
      </c>
      <c r="R216" s="228"/>
    </row>
    <row r="217" spans="1:18" x14ac:dyDescent="0.2">
      <c r="B217" s="193" t="s">
        <v>83</v>
      </c>
      <c r="C217" s="228"/>
      <c r="D217" s="228"/>
      <c r="E217" s="228"/>
      <c r="F217" s="228"/>
      <c r="G217" s="228"/>
      <c r="H217" s="228"/>
      <c r="I217" s="228"/>
      <c r="J217" s="228"/>
      <c r="K217" s="228"/>
      <c r="L217" s="228"/>
      <c r="M217" s="228">
        <f>'Survey Template'!M83</f>
        <v>37927.68</v>
      </c>
      <c r="N217" s="228">
        <f>'Survey Template'!N83</f>
        <v>32535.68</v>
      </c>
      <c r="O217" s="228"/>
      <c r="P217" s="228"/>
      <c r="Q217" s="228"/>
      <c r="R217" s="228">
        <f t="array" ref="R217">AVERAGE(IF(C217:Q217&lt;&gt;0,C217:Q217,""))</f>
        <v>35231.68</v>
      </c>
    </row>
    <row r="218" spans="1:18" ht="13.5" thickBot="1" x14ac:dyDescent="0.25">
      <c r="B218" s="193" t="s">
        <v>25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>
        <f>'Survey Template'!M105</f>
        <v>1896</v>
      </c>
      <c r="N218" s="231">
        <f>'Survey Template'!N105</f>
        <v>1626.56</v>
      </c>
      <c r="O218" s="231"/>
      <c r="P218" s="231"/>
      <c r="Q218" s="230"/>
      <c r="R218" s="228">
        <f t="array" ref="R218">AVERAGE(IF(C218:Q218&lt;&gt;0,C218:Q218,""))</f>
        <v>1761.28</v>
      </c>
    </row>
    <row r="219" spans="1:18" x14ac:dyDescent="0.2">
      <c r="B219" s="191" t="s">
        <v>17</v>
      </c>
      <c r="C219" s="228"/>
      <c r="D219" s="228"/>
      <c r="E219" s="228"/>
      <c r="F219" s="228"/>
      <c r="G219" s="228"/>
      <c r="H219" s="228"/>
      <c r="I219" s="228"/>
      <c r="J219" s="228"/>
      <c r="K219" s="228"/>
      <c r="L219" s="228"/>
      <c r="M219" s="228">
        <f>SUM(M217:M218)</f>
        <v>39823.68</v>
      </c>
      <c r="N219" s="228">
        <f>SUM(N217:N218)</f>
        <v>34162.239999999998</v>
      </c>
      <c r="O219" s="228"/>
      <c r="P219" s="228"/>
      <c r="Q219" s="228"/>
      <c r="R219" s="228">
        <f t="array" ref="R219">AVERAGE(IF(C219:Q219&lt;&gt;0,C219:Q219,""))</f>
        <v>36992.959999999999</v>
      </c>
    </row>
    <row r="220" spans="1:18" x14ac:dyDescent="0.2">
      <c r="A220" s="192" t="s">
        <v>174</v>
      </c>
      <c r="C220" s="228"/>
      <c r="D220" s="228"/>
      <c r="E220" s="228"/>
      <c r="F220" s="228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</row>
    <row r="221" spans="1:18" x14ac:dyDescent="0.2">
      <c r="B221" s="193" t="s">
        <v>46</v>
      </c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>
        <f>+M219+32*(M12+M18+M45)+2*M27</f>
        <v>42416.42</v>
      </c>
      <c r="N221" s="228">
        <f>+N219+32*(N12+N18+N45)+2*N27</f>
        <v>36070.720000000001</v>
      </c>
      <c r="O221" s="228"/>
      <c r="P221" s="228"/>
      <c r="Q221" s="228"/>
      <c r="R221" s="228">
        <f t="array" ref="R221">AVERAGE(IF(C221:Q221&lt;&gt;0,C221:Q221,""))</f>
        <v>39243.57</v>
      </c>
    </row>
    <row r="222" spans="1:18" x14ac:dyDescent="0.2">
      <c r="A222" s="206" t="s">
        <v>264</v>
      </c>
    </row>
    <row r="223" spans="1:18" x14ac:dyDescent="0.2">
      <c r="A223" s="206" t="s">
        <v>266</v>
      </c>
    </row>
    <row r="224" spans="1:18" x14ac:dyDescent="0.2">
      <c r="A224" s="206"/>
    </row>
  </sheetData>
  <phoneticPr fontId="0" type="noConversion"/>
  <printOptions horizontalCentered="1"/>
  <pageMargins left="0.25" right="0.25" top="0.5" bottom="0.5" header="0.25" footer="0.25"/>
  <pageSetup paperSize="5" scale="83" fitToHeight="0" orientation="landscape" r:id="rId1"/>
  <headerFooter alignWithMargins="0">
    <oddFooter>&amp;ROffice of Planning and Institutional Research, &amp;F, &amp;D
Page &amp;P of &amp;N</oddFooter>
  </headerFooter>
  <rowBreaks count="5" manualBreakCount="5">
    <brk id="43" max="17" man="1"/>
    <brk id="84" max="17" man="1"/>
    <brk id="119" max="17" man="1"/>
    <brk id="153" max="17" man="1"/>
    <brk id="189" max="1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3"/>
  <sheetViews>
    <sheetView showRowColHeaders="0" zoomScaleNormal="100" zoomScaleSheetLayoutView="100" workbookViewId="0">
      <pane xSplit="2" ySplit="9" topLeftCell="D165" activePane="bottomRight" state="frozen"/>
      <selection activeCell="G60" sqref="G60"/>
      <selection pane="topRight" activeCell="G60" sqref="G60"/>
      <selection pane="bottomLeft" activeCell="G60" sqref="G60"/>
      <selection pane="bottomRight" activeCell="L175" sqref="L175"/>
    </sheetView>
  </sheetViews>
  <sheetFormatPr defaultColWidth="9.140625" defaultRowHeight="12.75" x14ac:dyDescent="0.2"/>
  <cols>
    <col min="1" max="1" width="35.5703125" style="235" customWidth="1"/>
    <col min="2" max="2" width="52.140625" style="235" customWidth="1"/>
    <col min="3" max="3" width="10.7109375" style="235" bestFit="1" customWidth="1"/>
    <col min="4" max="4" width="10.42578125" style="235" customWidth="1"/>
    <col min="5" max="5" width="10.7109375" style="235" bestFit="1" customWidth="1"/>
    <col min="6" max="6" width="8" style="235" customWidth="1"/>
    <col min="7" max="7" width="12.5703125" style="235" customWidth="1"/>
    <col min="8" max="9" width="9.5703125" style="235" customWidth="1"/>
    <col min="10" max="10" width="10.7109375" style="235" bestFit="1" customWidth="1"/>
    <col min="11" max="11" width="8" style="235" customWidth="1"/>
    <col min="12" max="12" width="10.140625" style="235" customWidth="1"/>
    <col min="13" max="13" width="11.28515625" style="235" customWidth="1"/>
    <col min="14" max="14" width="10.28515625" style="235" customWidth="1"/>
    <col min="15" max="15" width="9.7109375" style="235" bestFit="1" customWidth="1"/>
    <col min="16" max="16" width="11.42578125" style="419" customWidth="1"/>
    <col min="17" max="17" width="11.7109375" style="181" bestFit="1" customWidth="1"/>
    <col min="18" max="16384" width="9.140625" style="235"/>
  </cols>
  <sheetData>
    <row r="1" spans="1:17" ht="18" x14ac:dyDescent="0.25">
      <c r="A1" s="179" t="s">
        <v>311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80"/>
    </row>
    <row r="2" spans="1:17" ht="15" x14ac:dyDescent="0.25">
      <c r="A2" s="182" t="s">
        <v>165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83"/>
    </row>
    <row r="3" spans="1:17" ht="7.5" customHeight="1" x14ac:dyDescent="0.25">
      <c r="A3" s="198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83"/>
    </row>
    <row r="4" spans="1:17" ht="15.75" x14ac:dyDescent="0.25">
      <c r="A4" s="443" t="s">
        <v>215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198"/>
      <c r="O4" s="199"/>
      <c r="P4" s="183"/>
    </row>
    <row r="5" spans="1:17" ht="15" x14ac:dyDescent="0.2">
      <c r="A5" s="443" t="s">
        <v>216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4"/>
      <c r="O5" s="444"/>
      <c r="P5" s="444"/>
    </row>
    <row r="6" spans="1:17" ht="15" x14ac:dyDescent="0.2">
      <c r="A6" s="443" t="s">
        <v>214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183"/>
    </row>
    <row r="7" spans="1:17" ht="15.75" x14ac:dyDescent="0.25">
      <c r="A7" s="184"/>
      <c r="B7" s="185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8"/>
      <c r="O7" s="199"/>
      <c r="P7" s="183"/>
    </row>
    <row r="8" spans="1:17" s="186" customFormat="1" ht="15.75" thickBot="1" x14ac:dyDescent="0.25">
      <c r="A8" s="441"/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P8" s="187"/>
      <c r="Q8" s="188"/>
    </row>
    <row r="9" spans="1:17" ht="13.5" thickBot="1" x14ac:dyDescent="0.25">
      <c r="C9" s="420" t="s">
        <v>0</v>
      </c>
      <c r="D9" s="421" t="s">
        <v>309</v>
      </c>
      <c r="E9" s="421" t="s">
        <v>1</v>
      </c>
      <c r="F9" s="421" t="s">
        <v>2</v>
      </c>
      <c r="G9" s="421" t="s">
        <v>267</v>
      </c>
      <c r="H9" s="421" t="s">
        <v>276</v>
      </c>
      <c r="I9" s="421" t="s">
        <v>277</v>
      </c>
      <c r="J9" s="421" t="s">
        <v>4</v>
      </c>
      <c r="K9" s="421" t="s">
        <v>5</v>
      </c>
      <c r="L9" s="421" t="s">
        <v>6</v>
      </c>
      <c r="M9" s="421" t="s">
        <v>7</v>
      </c>
      <c r="N9" s="421" t="s">
        <v>8</v>
      </c>
      <c r="O9" s="421" t="s">
        <v>9</v>
      </c>
      <c r="P9" s="421" t="s">
        <v>10</v>
      </c>
      <c r="Q9" s="422" t="s">
        <v>308</v>
      </c>
    </row>
    <row r="10" spans="1:17" x14ac:dyDescent="0.2">
      <c r="A10" s="202" t="s">
        <v>65</v>
      </c>
      <c r="C10" s="201"/>
      <c r="D10" s="201"/>
      <c r="E10" s="201"/>
      <c r="F10" s="201"/>
      <c r="G10" s="189"/>
      <c r="H10" s="189"/>
      <c r="I10" s="189"/>
      <c r="J10" s="201"/>
      <c r="K10" s="201"/>
      <c r="L10" s="201"/>
      <c r="M10" s="201"/>
      <c r="N10" s="201"/>
      <c r="O10" s="201"/>
      <c r="P10" s="189"/>
      <c r="Q10" s="240"/>
    </row>
    <row r="11" spans="1:17" ht="13.5" thickBot="1" x14ac:dyDescent="0.25">
      <c r="B11" s="202" t="s">
        <v>30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189"/>
      <c r="Q11" s="240"/>
    </row>
    <row r="12" spans="1:17" x14ac:dyDescent="0.2">
      <c r="B12" s="200" t="s">
        <v>148</v>
      </c>
      <c r="C12" s="241">
        <v>105.07</v>
      </c>
      <c r="D12" s="241">
        <v>78.8</v>
      </c>
      <c r="E12" s="241">
        <v>105.07</v>
      </c>
      <c r="F12" s="242">
        <v>105.07</v>
      </c>
      <c r="G12" s="242">
        <v>105.07</v>
      </c>
      <c r="H12" s="242">
        <v>105.07</v>
      </c>
      <c r="I12" s="242">
        <v>105.07</v>
      </c>
      <c r="J12" s="242">
        <v>105.07</v>
      </c>
      <c r="K12" s="242">
        <v>105.07</v>
      </c>
      <c r="L12" s="242">
        <v>105.07</v>
      </c>
      <c r="M12" s="243">
        <v>105.07</v>
      </c>
      <c r="N12" s="242">
        <v>105.07</v>
      </c>
      <c r="O12" s="242">
        <v>105.07</v>
      </c>
      <c r="P12" s="244">
        <v>105.07</v>
      </c>
      <c r="Q12" s="245">
        <v>105.07</v>
      </c>
    </row>
    <row r="13" spans="1:17" x14ac:dyDescent="0.2">
      <c r="B13" s="200" t="s">
        <v>282</v>
      </c>
      <c r="C13" s="246"/>
      <c r="D13" s="246"/>
      <c r="E13" s="247"/>
      <c r="F13" s="248">
        <v>-1.75</v>
      </c>
      <c r="G13" s="249"/>
      <c r="H13" s="249"/>
      <c r="I13" s="249"/>
      <c r="J13" s="249"/>
      <c r="K13" s="249"/>
      <c r="L13" s="249"/>
      <c r="M13" s="250"/>
      <c r="N13" s="249"/>
      <c r="O13" s="249">
        <v>-1.75</v>
      </c>
      <c r="P13" s="251"/>
      <c r="Q13" s="252"/>
    </row>
    <row r="14" spans="1:17" x14ac:dyDescent="0.2">
      <c r="B14" s="200" t="s">
        <v>157</v>
      </c>
      <c r="C14" s="253">
        <v>44.17</v>
      </c>
      <c r="D14" s="254">
        <v>33.119999999999997</v>
      </c>
      <c r="E14" s="255">
        <v>49.59</v>
      </c>
      <c r="F14" s="255">
        <v>36.380000000000003</v>
      </c>
      <c r="G14" s="255">
        <v>46.88</v>
      </c>
      <c r="H14" s="256">
        <v>35.14</v>
      </c>
      <c r="I14" s="256">
        <v>35.14</v>
      </c>
      <c r="J14" s="255">
        <v>40.130000000000003</v>
      </c>
      <c r="K14" s="255">
        <v>38.880000000000003</v>
      </c>
      <c r="L14" s="255">
        <v>44.2</v>
      </c>
      <c r="M14" s="257">
        <v>52.29</v>
      </c>
      <c r="N14" s="255">
        <v>37.630000000000003</v>
      </c>
      <c r="O14" s="255">
        <v>36.380000000000003</v>
      </c>
      <c r="P14" s="258">
        <v>40.130000000000003</v>
      </c>
      <c r="Q14" s="252"/>
    </row>
    <row r="15" spans="1:17" x14ac:dyDescent="0.2">
      <c r="B15" s="200" t="s">
        <v>149</v>
      </c>
      <c r="C15" s="259">
        <v>448.73</v>
      </c>
      <c r="D15" s="425"/>
      <c r="E15" s="260">
        <v>403.51</v>
      </c>
      <c r="F15" s="260">
        <v>334.13</v>
      </c>
      <c r="G15" s="261">
        <v>347.91</v>
      </c>
      <c r="H15" s="260">
        <v>347.91</v>
      </c>
      <c r="I15" s="260">
        <v>347.91</v>
      </c>
      <c r="J15" s="260">
        <v>303.70999999999998</v>
      </c>
      <c r="K15" s="262">
        <v>295.33999999999997</v>
      </c>
      <c r="L15" s="262">
        <v>288.16000000000003</v>
      </c>
      <c r="M15" s="263">
        <v>379.95</v>
      </c>
      <c r="N15" s="262">
        <v>408.1</v>
      </c>
      <c r="O15" s="262">
        <v>290.60000000000002</v>
      </c>
      <c r="P15" s="264"/>
      <c r="Q15" s="265">
        <v>385</v>
      </c>
    </row>
    <row r="16" spans="1:17" x14ac:dyDescent="0.2">
      <c r="B16" s="200" t="s">
        <v>285</v>
      </c>
      <c r="C16" s="259">
        <v>724.97</v>
      </c>
      <c r="D16" s="425"/>
      <c r="E16" s="266"/>
      <c r="F16" s="266"/>
      <c r="G16" s="267"/>
      <c r="H16" s="266"/>
      <c r="I16" s="266"/>
      <c r="J16" s="266"/>
      <c r="K16" s="268"/>
      <c r="L16" s="268"/>
      <c r="M16" s="263">
        <v>17160</v>
      </c>
      <c r="N16" s="268"/>
      <c r="O16" s="268"/>
      <c r="P16" s="264"/>
      <c r="Q16" s="269"/>
    </row>
    <row r="17" spans="2:17" x14ac:dyDescent="0.2">
      <c r="B17" s="200" t="s">
        <v>150</v>
      </c>
      <c r="C17" s="259">
        <v>652.47</v>
      </c>
      <c r="D17" s="425"/>
      <c r="E17" s="260">
        <v>602.36</v>
      </c>
      <c r="F17" s="260">
        <v>379.76</v>
      </c>
      <c r="G17" s="270"/>
      <c r="H17" s="271"/>
      <c r="I17" s="271"/>
      <c r="J17" s="271"/>
      <c r="K17" s="270"/>
      <c r="L17" s="270"/>
      <c r="M17" s="263">
        <v>593.49</v>
      </c>
      <c r="N17" s="270"/>
      <c r="O17" s="270"/>
      <c r="P17" s="264"/>
      <c r="Q17" s="269"/>
    </row>
    <row r="18" spans="2:17" x14ac:dyDescent="0.2">
      <c r="B18" s="200" t="s">
        <v>68</v>
      </c>
      <c r="C18" s="259">
        <v>32743.7</v>
      </c>
      <c r="D18" s="425"/>
      <c r="E18" s="260">
        <v>21139.74</v>
      </c>
      <c r="F18" s="270"/>
      <c r="G18" s="260">
        <v>29174.65</v>
      </c>
      <c r="H18" s="271"/>
      <c r="I18" s="271"/>
      <c r="J18" s="262">
        <v>27292</v>
      </c>
      <c r="K18" s="270"/>
      <c r="L18" s="262">
        <v>25490.799999999999</v>
      </c>
      <c r="M18" s="263">
        <v>32736.83</v>
      </c>
      <c r="N18" s="270"/>
      <c r="O18" s="270"/>
      <c r="P18" s="264"/>
      <c r="Q18" s="269"/>
    </row>
    <row r="19" spans="2:17" x14ac:dyDescent="0.2">
      <c r="B19" s="200" t="s">
        <v>164</v>
      </c>
      <c r="C19" s="272"/>
      <c r="D19" s="273"/>
      <c r="E19" s="270"/>
      <c r="F19" s="270"/>
      <c r="G19" s="270"/>
      <c r="H19" s="271"/>
      <c r="I19" s="271"/>
      <c r="J19" s="270"/>
      <c r="K19" s="270"/>
      <c r="L19" s="270"/>
      <c r="M19" s="274">
        <v>21286.080000000002</v>
      </c>
      <c r="N19" s="262">
        <v>13713.28</v>
      </c>
      <c r="O19" s="270"/>
      <c r="P19" s="264"/>
      <c r="Q19" s="269"/>
    </row>
    <row r="20" spans="2:17" x14ac:dyDescent="0.2">
      <c r="B20" s="200" t="s">
        <v>69</v>
      </c>
      <c r="C20" s="259">
        <v>25248.16</v>
      </c>
      <c r="D20" s="425"/>
      <c r="E20" s="270"/>
      <c r="F20" s="270"/>
      <c r="G20" s="270"/>
      <c r="H20" s="271"/>
      <c r="I20" s="271"/>
      <c r="J20" s="270"/>
      <c r="K20" s="270"/>
      <c r="L20" s="270"/>
      <c r="M20" s="270"/>
      <c r="N20" s="270"/>
      <c r="O20" s="270"/>
      <c r="P20" s="264"/>
      <c r="Q20" s="269"/>
    </row>
    <row r="21" spans="2:17" x14ac:dyDescent="0.2">
      <c r="B21" s="200" t="s">
        <v>122</v>
      </c>
      <c r="C21" s="259">
        <v>19844.740000000002</v>
      </c>
      <c r="D21" s="426"/>
      <c r="E21" s="275"/>
      <c r="F21" s="270"/>
      <c r="G21" s="260">
        <v>16610</v>
      </c>
      <c r="H21" s="276"/>
      <c r="I21" s="276"/>
      <c r="J21" s="275"/>
      <c r="K21" s="275"/>
      <c r="L21" s="275"/>
      <c r="M21" s="275"/>
      <c r="N21" s="275"/>
      <c r="O21" s="275"/>
      <c r="P21" s="277"/>
      <c r="Q21" s="278"/>
    </row>
    <row r="22" spans="2:17" x14ac:dyDescent="0.2">
      <c r="B22" s="200" t="s">
        <v>94</v>
      </c>
      <c r="C22" s="259">
        <v>19522.3</v>
      </c>
      <c r="D22" s="426"/>
      <c r="E22" s="275"/>
      <c r="F22" s="266"/>
      <c r="G22" s="260">
        <v>17721.86</v>
      </c>
      <c r="H22" s="276"/>
      <c r="I22" s="276"/>
      <c r="J22" s="275"/>
      <c r="K22" s="275"/>
      <c r="L22" s="279">
        <v>19780</v>
      </c>
      <c r="M22" s="263">
        <v>18552.64</v>
      </c>
      <c r="N22" s="280"/>
      <c r="O22" s="280"/>
      <c r="P22" s="277"/>
      <c r="Q22" s="278"/>
    </row>
    <row r="23" spans="2:17" x14ac:dyDescent="0.2">
      <c r="B23" s="200" t="s">
        <v>70</v>
      </c>
      <c r="C23" s="259">
        <v>37563.519999999997</v>
      </c>
      <c r="D23" s="425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64"/>
      <c r="Q23" s="269"/>
    </row>
    <row r="24" spans="2:17" x14ac:dyDescent="0.2">
      <c r="B24" s="200" t="s">
        <v>141</v>
      </c>
      <c r="C24" s="259">
        <v>13201.82</v>
      </c>
      <c r="D24" s="425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64"/>
      <c r="Q24" s="269"/>
    </row>
    <row r="25" spans="2:17" x14ac:dyDescent="0.2">
      <c r="B25" s="200" t="s">
        <v>153</v>
      </c>
      <c r="C25" s="259">
        <v>11551.56</v>
      </c>
      <c r="D25" s="425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64"/>
      <c r="Q25" s="269"/>
    </row>
    <row r="26" spans="2:17" x14ac:dyDescent="0.2">
      <c r="B26" s="281" t="s">
        <v>218</v>
      </c>
      <c r="C26" s="282">
        <v>590.87</v>
      </c>
      <c r="D26" s="427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64"/>
      <c r="Q26" s="269"/>
    </row>
    <row r="27" spans="2:17" x14ac:dyDescent="0.2">
      <c r="B27" s="281" t="s">
        <v>217</v>
      </c>
      <c r="C27" s="283">
        <v>539.49</v>
      </c>
      <c r="D27" s="428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5"/>
      <c r="Q27" s="286"/>
    </row>
    <row r="28" spans="2:17" x14ac:dyDescent="0.2">
      <c r="B28" s="287" t="s">
        <v>283</v>
      </c>
      <c r="C28" s="268"/>
      <c r="D28" s="268"/>
      <c r="E28" s="270"/>
      <c r="F28" s="270"/>
      <c r="G28" s="270"/>
      <c r="H28" s="270"/>
      <c r="I28" s="270"/>
      <c r="J28" s="270"/>
      <c r="K28" s="270"/>
      <c r="L28" s="274">
        <v>30435.3</v>
      </c>
      <c r="M28" s="288"/>
      <c r="N28" s="270"/>
      <c r="O28" s="270"/>
      <c r="P28" s="264"/>
      <c r="Q28" s="269"/>
    </row>
    <row r="29" spans="2:17" x14ac:dyDescent="0.2">
      <c r="B29" s="289" t="s">
        <v>289</v>
      </c>
      <c r="C29" s="268"/>
      <c r="D29" s="268"/>
      <c r="E29" s="270"/>
      <c r="F29" s="270"/>
      <c r="G29" s="270"/>
      <c r="H29" s="270"/>
      <c r="I29" s="270"/>
      <c r="J29" s="270"/>
      <c r="K29" s="270"/>
      <c r="L29" s="290"/>
      <c r="M29" s="274">
        <v>17186.560000000001</v>
      </c>
      <c r="N29" s="270"/>
      <c r="O29" s="270"/>
      <c r="P29" s="264"/>
      <c r="Q29" s="269"/>
    </row>
    <row r="30" spans="2:17" x14ac:dyDescent="0.2">
      <c r="B30" s="289" t="s">
        <v>290</v>
      </c>
      <c r="C30" s="268"/>
      <c r="D30" s="268"/>
      <c r="E30" s="270"/>
      <c r="F30" s="270"/>
      <c r="G30" s="270"/>
      <c r="H30" s="270"/>
      <c r="I30" s="270"/>
      <c r="J30" s="270"/>
      <c r="K30" s="270"/>
      <c r="L30" s="290"/>
      <c r="M30" s="274">
        <v>16311.36</v>
      </c>
      <c r="N30" s="270"/>
      <c r="O30" s="270"/>
      <c r="P30" s="264"/>
      <c r="Q30" s="269"/>
    </row>
    <row r="31" spans="2:17" x14ac:dyDescent="0.2">
      <c r="B31" s="289" t="s">
        <v>291</v>
      </c>
      <c r="C31" s="268"/>
      <c r="D31" s="268"/>
      <c r="E31" s="270"/>
      <c r="F31" s="270"/>
      <c r="G31" s="270"/>
      <c r="H31" s="270"/>
      <c r="I31" s="270"/>
      <c r="J31" s="270"/>
      <c r="K31" s="270"/>
      <c r="L31" s="290"/>
      <c r="M31" s="274">
        <v>19739.2</v>
      </c>
      <c r="N31" s="270"/>
      <c r="O31" s="270"/>
      <c r="P31" s="264"/>
      <c r="Q31" s="269"/>
    </row>
    <row r="32" spans="2:17" x14ac:dyDescent="0.2">
      <c r="B32" s="289" t="s">
        <v>292</v>
      </c>
      <c r="C32" s="268"/>
      <c r="D32" s="268"/>
      <c r="E32" s="270"/>
      <c r="F32" s="270"/>
      <c r="G32" s="270"/>
      <c r="H32" s="270"/>
      <c r="I32" s="270"/>
      <c r="J32" s="270"/>
      <c r="K32" s="270"/>
      <c r="L32" s="290"/>
      <c r="M32" s="274">
        <v>17959.36</v>
      </c>
      <c r="N32" s="270"/>
      <c r="O32" s="270"/>
      <c r="P32" s="264"/>
      <c r="Q32" s="269"/>
    </row>
    <row r="33" spans="2:17" x14ac:dyDescent="0.2">
      <c r="B33" s="28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2"/>
    </row>
    <row r="34" spans="2:17" ht="13.5" thickBot="1" x14ac:dyDescent="0.25">
      <c r="B34" s="202" t="s">
        <v>146</v>
      </c>
      <c r="C34" s="175"/>
      <c r="D34" s="175"/>
      <c r="E34" s="293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2:17" x14ac:dyDescent="0.2">
      <c r="B35" s="200" t="s">
        <v>91</v>
      </c>
      <c r="C35" s="294">
        <v>5.25</v>
      </c>
      <c r="D35" s="295">
        <v>5.25</v>
      </c>
      <c r="E35" s="242">
        <v>5.25</v>
      </c>
      <c r="F35" s="242">
        <v>5.16</v>
      </c>
      <c r="G35" s="242">
        <v>5.25</v>
      </c>
      <c r="H35" s="242">
        <v>5.25</v>
      </c>
      <c r="I35" s="242">
        <v>5.25</v>
      </c>
      <c r="J35" s="242">
        <v>5.16</v>
      </c>
      <c r="K35" s="242">
        <v>5.25</v>
      </c>
      <c r="L35" s="242">
        <v>5.16</v>
      </c>
      <c r="M35" s="296">
        <v>5.25</v>
      </c>
      <c r="N35" s="242">
        <v>5.25</v>
      </c>
      <c r="O35" s="242">
        <v>5.25</v>
      </c>
      <c r="P35" s="244">
        <v>5.25</v>
      </c>
      <c r="Q35" s="244">
        <v>5.25</v>
      </c>
    </row>
    <row r="36" spans="2:17" x14ac:dyDescent="0.2">
      <c r="B36" s="200" t="s">
        <v>66</v>
      </c>
      <c r="C36" s="259">
        <v>22.43</v>
      </c>
      <c r="D36" s="425"/>
      <c r="E36" s="260">
        <v>20.170000000000002</v>
      </c>
      <c r="F36" s="260">
        <v>16.7</v>
      </c>
      <c r="G36" s="260">
        <v>17.39</v>
      </c>
      <c r="H36" s="260">
        <v>17.39</v>
      </c>
      <c r="I36" s="260">
        <v>17.39</v>
      </c>
      <c r="J36" s="262">
        <v>15.18</v>
      </c>
      <c r="K36" s="262">
        <v>14.76</v>
      </c>
      <c r="L36" s="262">
        <v>14.4</v>
      </c>
      <c r="M36" s="263">
        <v>18.989999999999998</v>
      </c>
      <c r="N36" s="262">
        <v>20.399999999999999</v>
      </c>
      <c r="O36" s="262">
        <v>14.52</v>
      </c>
      <c r="P36" s="264"/>
      <c r="Q36" s="262">
        <v>19.25</v>
      </c>
    </row>
    <row r="37" spans="2:17" x14ac:dyDescent="0.2">
      <c r="B37" s="200" t="s">
        <v>286</v>
      </c>
      <c r="C37" s="259">
        <v>32.619999999999997</v>
      </c>
      <c r="D37" s="425"/>
      <c r="E37" s="266"/>
      <c r="F37" s="266"/>
      <c r="G37" s="266"/>
      <c r="H37" s="266"/>
      <c r="I37" s="266"/>
      <c r="J37" s="268"/>
      <c r="K37" s="268"/>
      <c r="L37" s="268"/>
      <c r="M37" s="263">
        <v>858</v>
      </c>
      <c r="N37" s="268"/>
      <c r="O37" s="268"/>
      <c r="P37" s="264"/>
      <c r="Q37" s="269"/>
    </row>
    <row r="38" spans="2:17" x14ac:dyDescent="0.2">
      <c r="B38" s="200" t="s">
        <v>67</v>
      </c>
      <c r="C38" s="259">
        <v>32.619999999999997</v>
      </c>
      <c r="D38" s="425"/>
      <c r="E38" s="260">
        <v>30.11</v>
      </c>
      <c r="F38" s="260">
        <v>18.98</v>
      </c>
      <c r="G38" s="270"/>
      <c r="H38" s="271"/>
      <c r="I38" s="271"/>
      <c r="J38" s="270"/>
      <c r="K38" s="270"/>
      <c r="L38" s="270"/>
      <c r="M38" s="263">
        <v>29.67</v>
      </c>
      <c r="N38" s="270"/>
      <c r="O38" s="270"/>
      <c r="P38" s="264"/>
      <c r="Q38" s="269"/>
    </row>
    <row r="39" spans="2:17" x14ac:dyDescent="0.2">
      <c r="B39" s="200" t="s">
        <v>68</v>
      </c>
      <c r="C39" s="259">
        <v>1637.18</v>
      </c>
      <c r="D39" s="425"/>
      <c r="E39" s="260">
        <v>1056.98</v>
      </c>
      <c r="F39" s="270"/>
      <c r="G39" s="260">
        <v>1458.73</v>
      </c>
      <c r="H39" s="271"/>
      <c r="I39" s="271"/>
      <c r="J39" s="262">
        <v>1091.68</v>
      </c>
      <c r="K39" s="270"/>
      <c r="L39" s="262">
        <v>1274.4000000000001</v>
      </c>
      <c r="M39" s="263">
        <v>1636.84</v>
      </c>
      <c r="N39" s="270"/>
      <c r="O39" s="270"/>
      <c r="P39" s="264"/>
      <c r="Q39" s="269"/>
    </row>
    <row r="40" spans="2:17" x14ac:dyDescent="0.2">
      <c r="B40" s="200" t="s">
        <v>164</v>
      </c>
      <c r="C40" s="272"/>
      <c r="D40" s="273"/>
      <c r="E40" s="270"/>
      <c r="F40" s="270"/>
      <c r="G40" s="270"/>
      <c r="H40" s="271"/>
      <c r="I40" s="271"/>
      <c r="J40" s="270"/>
      <c r="K40" s="270"/>
      <c r="L40" s="270"/>
      <c r="M40" s="274">
        <v>1064</v>
      </c>
      <c r="N40" s="262">
        <v>685.44</v>
      </c>
      <c r="O40" s="270"/>
      <c r="P40" s="264"/>
      <c r="Q40" s="269"/>
    </row>
    <row r="41" spans="2:17" x14ac:dyDescent="0.2">
      <c r="B41" s="200" t="s">
        <v>69</v>
      </c>
      <c r="C41" s="259">
        <v>1262.4000000000001</v>
      </c>
      <c r="D41" s="425"/>
      <c r="E41" s="270"/>
      <c r="F41" s="270"/>
      <c r="G41" s="270"/>
      <c r="H41" s="271"/>
      <c r="I41" s="271"/>
      <c r="J41" s="270"/>
      <c r="K41" s="270"/>
      <c r="L41" s="270"/>
      <c r="M41" s="270"/>
      <c r="N41" s="270"/>
      <c r="O41" s="270"/>
      <c r="P41" s="264"/>
      <c r="Q41" s="269"/>
    </row>
    <row r="42" spans="2:17" x14ac:dyDescent="0.2">
      <c r="B42" s="200" t="s">
        <v>122</v>
      </c>
      <c r="C42" s="259">
        <v>992.22</v>
      </c>
      <c r="D42" s="426"/>
      <c r="E42" s="275"/>
      <c r="F42" s="270"/>
      <c r="G42" s="260">
        <v>830.5</v>
      </c>
      <c r="H42" s="276"/>
      <c r="I42" s="276"/>
      <c r="J42" s="275"/>
      <c r="K42" s="275"/>
      <c r="L42" s="275"/>
      <c r="M42" s="275"/>
      <c r="N42" s="275"/>
      <c r="O42" s="275"/>
      <c r="P42" s="277"/>
      <c r="Q42" s="278"/>
    </row>
    <row r="43" spans="2:17" x14ac:dyDescent="0.2">
      <c r="B43" s="200" t="s">
        <v>94</v>
      </c>
      <c r="C43" s="259">
        <v>976.1</v>
      </c>
      <c r="D43" s="426"/>
      <c r="E43" s="275"/>
      <c r="F43" s="266"/>
      <c r="G43" s="260">
        <v>886.09</v>
      </c>
      <c r="H43" s="276"/>
      <c r="I43" s="276"/>
      <c r="J43" s="275"/>
      <c r="K43" s="275"/>
      <c r="L43" s="279">
        <v>576</v>
      </c>
      <c r="M43" s="263">
        <v>927.36</v>
      </c>
      <c r="N43" s="280"/>
      <c r="O43" s="280"/>
      <c r="P43" s="277"/>
      <c r="Q43" s="278"/>
    </row>
    <row r="44" spans="2:17" x14ac:dyDescent="0.2">
      <c r="B44" s="200" t="s">
        <v>70</v>
      </c>
      <c r="C44" s="259">
        <v>1878.16</v>
      </c>
      <c r="D44" s="425"/>
      <c r="E44" s="270"/>
      <c r="F44" s="270"/>
      <c r="G44" s="270"/>
      <c r="H44" s="270"/>
      <c r="I44" s="270"/>
      <c r="J44" s="270"/>
      <c r="K44" s="270"/>
      <c r="L44" s="270"/>
      <c r="M44" s="275"/>
      <c r="N44" s="275"/>
      <c r="O44" s="275"/>
      <c r="P44" s="264"/>
      <c r="Q44" s="269"/>
    </row>
    <row r="45" spans="2:17" x14ac:dyDescent="0.2">
      <c r="B45" s="200" t="s">
        <v>154</v>
      </c>
      <c r="C45" s="259">
        <v>660.08</v>
      </c>
      <c r="D45" s="425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64"/>
      <c r="Q45" s="269"/>
    </row>
    <row r="46" spans="2:17" x14ac:dyDescent="0.2">
      <c r="B46" s="200" t="s">
        <v>155</v>
      </c>
      <c r="C46" s="259">
        <v>577.56000000000006</v>
      </c>
      <c r="D46" s="425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64"/>
      <c r="Q46" s="269"/>
    </row>
    <row r="47" spans="2:17" x14ac:dyDescent="0.2">
      <c r="B47" s="281" t="s">
        <v>218</v>
      </c>
      <c r="C47" s="259">
        <v>29.54</v>
      </c>
      <c r="D47" s="425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64"/>
      <c r="Q47" s="269"/>
    </row>
    <row r="48" spans="2:17" x14ac:dyDescent="0.2">
      <c r="B48" s="281" t="s">
        <v>217</v>
      </c>
      <c r="C48" s="283">
        <v>26.97</v>
      </c>
      <c r="D48" s="428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5"/>
      <c r="Q48" s="286"/>
    </row>
    <row r="49" spans="2:17" x14ac:dyDescent="0.2">
      <c r="B49" s="200" t="s">
        <v>283</v>
      </c>
      <c r="C49" s="268"/>
      <c r="D49" s="268"/>
      <c r="E49" s="270"/>
      <c r="F49" s="270"/>
      <c r="G49" s="270"/>
      <c r="H49" s="270"/>
      <c r="I49" s="270"/>
      <c r="J49" s="270"/>
      <c r="K49" s="270"/>
      <c r="L49" s="274">
        <v>432</v>
      </c>
      <c r="M49" s="270"/>
      <c r="N49" s="270"/>
      <c r="O49" s="270"/>
      <c r="P49" s="264"/>
      <c r="Q49" s="269"/>
    </row>
    <row r="50" spans="2:17" x14ac:dyDescent="0.2">
      <c r="B50" s="289" t="s">
        <v>289</v>
      </c>
      <c r="C50" s="268"/>
      <c r="D50" s="268"/>
      <c r="E50" s="270"/>
      <c r="F50" s="270"/>
      <c r="G50" s="270"/>
      <c r="H50" s="270"/>
      <c r="I50" s="270"/>
      <c r="J50" s="270"/>
      <c r="K50" s="270"/>
      <c r="L50" s="290"/>
      <c r="M50" s="274">
        <v>859.2</v>
      </c>
      <c r="N50" s="270"/>
      <c r="O50" s="270"/>
      <c r="P50" s="264"/>
      <c r="Q50" s="269"/>
    </row>
    <row r="51" spans="2:17" x14ac:dyDescent="0.2">
      <c r="B51" s="289" t="s">
        <v>290</v>
      </c>
      <c r="C51" s="268"/>
      <c r="D51" s="268"/>
      <c r="E51" s="270"/>
      <c r="F51" s="270"/>
      <c r="G51" s="270"/>
      <c r="H51" s="270"/>
      <c r="I51" s="270"/>
      <c r="J51" s="270"/>
      <c r="K51" s="270"/>
      <c r="L51" s="290"/>
      <c r="M51" s="274">
        <v>815.36</v>
      </c>
      <c r="N51" s="270"/>
      <c r="O51" s="270"/>
      <c r="P51" s="264"/>
      <c r="Q51" s="269"/>
    </row>
    <row r="52" spans="2:17" x14ac:dyDescent="0.2">
      <c r="B52" s="289" t="s">
        <v>291</v>
      </c>
      <c r="C52" s="268"/>
      <c r="D52" s="268"/>
      <c r="E52" s="270"/>
      <c r="F52" s="270"/>
      <c r="G52" s="270"/>
      <c r="H52" s="270"/>
      <c r="I52" s="270"/>
      <c r="J52" s="270"/>
      <c r="K52" s="270"/>
      <c r="L52" s="290"/>
      <c r="M52" s="274">
        <v>986.88</v>
      </c>
      <c r="N52" s="270"/>
      <c r="O52" s="270"/>
      <c r="P52" s="264"/>
      <c r="Q52" s="269"/>
    </row>
    <row r="53" spans="2:17" x14ac:dyDescent="0.2">
      <c r="B53" s="289" t="s">
        <v>292</v>
      </c>
      <c r="C53" s="268"/>
      <c r="D53" s="268"/>
      <c r="E53" s="270"/>
      <c r="F53" s="270"/>
      <c r="G53" s="270"/>
      <c r="H53" s="270"/>
      <c r="I53" s="270"/>
      <c r="J53" s="270"/>
      <c r="K53" s="270"/>
      <c r="L53" s="290"/>
      <c r="M53" s="274">
        <v>897.92</v>
      </c>
      <c r="N53" s="270"/>
      <c r="O53" s="270"/>
      <c r="P53" s="264"/>
      <c r="Q53" s="269"/>
    </row>
    <row r="54" spans="2:17" ht="6.6" customHeight="1" x14ac:dyDescent="0.2">
      <c r="B54" s="281"/>
      <c r="C54" s="291"/>
      <c r="D54" s="291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8"/>
    </row>
    <row r="55" spans="2:17" ht="13.5" thickBot="1" x14ac:dyDescent="0.25">
      <c r="B55" s="202" t="s">
        <v>281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2:17" x14ac:dyDescent="0.2">
      <c r="B56" s="200" t="s">
        <v>91</v>
      </c>
      <c r="C56" s="299">
        <v>6.76</v>
      </c>
      <c r="D56" s="300">
        <v>6.76</v>
      </c>
      <c r="E56" s="301">
        <v>4.76</v>
      </c>
      <c r="F56" s="301">
        <v>6.76</v>
      </c>
      <c r="G56" s="302">
        <v>6.76</v>
      </c>
      <c r="H56" s="303">
        <v>6.76</v>
      </c>
      <c r="I56" s="303">
        <v>6.76</v>
      </c>
      <c r="J56" s="301">
        <v>6.76</v>
      </c>
      <c r="K56" s="302">
        <v>6.76</v>
      </c>
      <c r="L56" s="302">
        <v>6.76</v>
      </c>
      <c r="M56" s="302">
        <v>6.76</v>
      </c>
      <c r="N56" s="302">
        <v>6.76</v>
      </c>
      <c r="O56" s="301">
        <v>6.76</v>
      </c>
      <c r="P56" s="304">
        <v>6.14</v>
      </c>
      <c r="Q56" s="305">
        <v>4.76</v>
      </c>
    </row>
    <row r="57" spans="2:17" x14ac:dyDescent="0.2">
      <c r="B57" s="200" t="s">
        <v>66</v>
      </c>
      <c r="C57" s="306">
        <v>6.76</v>
      </c>
      <c r="D57" s="429"/>
      <c r="E57" s="308">
        <v>4.76</v>
      </c>
      <c r="F57" s="308">
        <v>6.76</v>
      </c>
      <c r="G57" s="274">
        <v>6.76</v>
      </c>
      <c r="H57" s="303">
        <v>6.76</v>
      </c>
      <c r="I57" s="303">
        <v>6.76</v>
      </c>
      <c r="J57" s="308">
        <v>6.76</v>
      </c>
      <c r="K57" s="274">
        <v>6.76</v>
      </c>
      <c r="L57" s="274">
        <v>6.76</v>
      </c>
      <c r="M57" s="274">
        <v>6.76</v>
      </c>
      <c r="N57" s="274">
        <v>6.76</v>
      </c>
      <c r="O57" s="308">
        <v>6.76</v>
      </c>
      <c r="P57" s="264"/>
      <c r="Q57" s="309">
        <v>4.76</v>
      </c>
    </row>
    <row r="58" spans="2:17" x14ac:dyDescent="0.2">
      <c r="B58" s="200" t="s">
        <v>286</v>
      </c>
      <c r="C58" s="306">
        <v>6.76</v>
      </c>
      <c r="D58" s="429"/>
      <c r="E58" s="290"/>
      <c r="F58" s="290"/>
      <c r="G58" s="290"/>
      <c r="H58" s="310"/>
      <c r="I58" s="310"/>
      <c r="J58" s="290"/>
      <c r="K58" s="290"/>
      <c r="L58" s="290"/>
      <c r="M58" s="308">
        <v>162.24</v>
      </c>
      <c r="N58" s="290"/>
      <c r="O58" s="290"/>
      <c r="P58" s="264"/>
      <c r="Q58" s="311"/>
    </row>
    <row r="59" spans="2:17" x14ac:dyDescent="0.2">
      <c r="B59" s="200" t="s">
        <v>67</v>
      </c>
      <c r="C59" s="306">
        <v>6.76</v>
      </c>
      <c r="D59" s="429"/>
      <c r="E59" s="308">
        <v>4.76</v>
      </c>
      <c r="F59" s="308">
        <v>6.76</v>
      </c>
      <c r="G59" s="270"/>
      <c r="H59" s="271"/>
      <c r="I59" s="271"/>
      <c r="J59" s="270"/>
      <c r="K59" s="270"/>
      <c r="L59" s="270"/>
      <c r="M59" s="274">
        <v>6.76</v>
      </c>
      <c r="N59" s="270"/>
      <c r="O59" s="270"/>
      <c r="P59" s="264"/>
      <c r="Q59" s="312"/>
    </row>
    <row r="60" spans="2:17" x14ac:dyDescent="0.2">
      <c r="B60" s="200" t="s">
        <v>235</v>
      </c>
      <c r="C60" s="259">
        <v>270.39999999999998</v>
      </c>
      <c r="D60" s="425"/>
      <c r="E60" s="313">
        <v>190.4</v>
      </c>
      <c r="F60" s="270"/>
      <c r="G60" s="274">
        <v>216.32</v>
      </c>
      <c r="H60" s="271"/>
      <c r="I60" s="271"/>
      <c r="J60" s="313">
        <v>270.39999999999998</v>
      </c>
      <c r="K60" s="270"/>
      <c r="L60" s="313">
        <v>270.39999999999998</v>
      </c>
      <c r="M60" s="313">
        <v>270.39999999999998</v>
      </c>
      <c r="N60" s="270"/>
      <c r="O60" s="270"/>
      <c r="P60" s="264"/>
      <c r="Q60" s="312"/>
    </row>
    <row r="61" spans="2:17" x14ac:dyDescent="0.2">
      <c r="B61" s="200" t="s">
        <v>164</v>
      </c>
      <c r="C61" s="272"/>
      <c r="D61" s="273"/>
      <c r="E61" s="270"/>
      <c r="F61" s="270"/>
      <c r="G61" s="270"/>
      <c r="H61" s="271"/>
      <c r="I61" s="271"/>
      <c r="J61" s="270"/>
      <c r="K61" s="270"/>
      <c r="L61" s="270"/>
      <c r="M61" s="274">
        <v>216.32</v>
      </c>
      <c r="N61" s="314"/>
      <c r="O61" s="270"/>
      <c r="P61" s="264"/>
      <c r="Q61" s="312"/>
    </row>
    <row r="62" spans="2:17" x14ac:dyDescent="0.2">
      <c r="B62" s="200" t="s">
        <v>234</v>
      </c>
      <c r="C62" s="259">
        <v>270.39999999999998</v>
      </c>
      <c r="D62" s="425"/>
      <c r="E62" s="270"/>
      <c r="F62" s="270"/>
      <c r="G62" s="270"/>
      <c r="H62" s="271"/>
      <c r="I62" s="271"/>
      <c r="J62" s="270"/>
      <c r="K62" s="270"/>
      <c r="L62" s="270"/>
      <c r="M62" s="270"/>
      <c r="N62" s="270"/>
      <c r="O62" s="270"/>
      <c r="P62" s="264"/>
      <c r="Q62" s="312"/>
    </row>
    <row r="63" spans="2:17" x14ac:dyDescent="0.2">
      <c r="B63" s="200" t="s">
        <v>236</v>
      </c>
      <c r="C63" s="259">
        <v>243.36</v>
      </c>
      <c r="D63" s="426"/>
      <c r="E63" s="275"/>
      <c r="F63" s="270"/>
      <c r="G63" s="274">
        <v>216.32</v>
      </c>
      <c r="H63" s="276"/>
      <c r="I63" s="276"/>
      <c r="J63" s="275"/>
      <c r="K63" s="275"/>
      <c r="L63" s="275"/>
      <c r="M63" s="275"/>
      <c r="N63" s="275"/>
      <c r="O63" s="275"/>
      <c r="P63" s="277"/>
      <c r="Q63" s="315"/>
    </row>
    <row r="64" spans="2:17" x14ac:dyDescent="0.2">
      <c r="B64" s="200" t="s">
        <v>94</v>
      </c>
      <c r="C64" s="439">
        <v>243.36</v>
      </c>
      <c r="D64" s="426"/>
      <c r="E64" s="275"/>
      <c r="F64" s="266"/>
      <c r="G64" s="260">
        <v>216.32</v>
      </c>
      <c r="H64" s="276"/>
      <c r="I64" s="276"/>
      <c r="J64" s="275"/>
      <c r="K64" s="275"/>
      <c r="L64" s="279">
        <v>270.39999999999998</v>
      </c>
      <c r="M64" s="263">
        <v>216.32</v>
      </c>
      <c r="N64" s="280"/>
      <c r="O64" s="280"/>
      <c r="P64" s="277"/>
      <c r="Q64" s="316"/>
    </row>
    <row r="65" spans="1:17" x14ac:dyDescent="0.2">
      <c r="B65" s="200" t="s">
        <v>70</v>
      </c>
      <c r="C65" s="259">
        <v>270.39999999999998</v>
      </c>
      <c r="D65" s="426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7"/>
      <c r="Q65" s="315"/>
    </row>
    <row r="66" spans="1:17" x14ac:dyDescent="0.2">
      <c r="B66" s="200" t="s">
        <v>154</v>
      </c>
      <c r="C66" s="259">
        <v>162.24</v>
      </c>
      <c r="D66" s="426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7"/>
      <c r="Q66" s="315"/>
    </row>
    <row r="67" spans="1:17" x14ac:dyDescent="0.2">
      <c r="B67" s="200" t="s">
        <v>155</v>
      </c>
      <c r="C67" s="259">
        <v>141.96</v>
      </c>
      <c r="D67" s="426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7"/>
      <c r="Q67" s="315"/>
    </row>
    <row r="68" spans="1:17" x14ac:dyDescent="0.2">
      <c r="B68" s="281" t="s">
        <v>220</v>
      </c>
      <c r="C68" s="259">
        <v>6.76</v>
      </c>
      <c r="D68" s="425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317"/>
      <c r="Q68" s="318"/>
    </row>
    <row r="69" spans="1:17" x14ac:dyDescent="0.2">
      <c r="B69" s="281" t="s">
        <v>219</v>
      </c>
      <c r="C69" s="283">
        <v>6.76</v>
      </c>
      <c r="D69" s="426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7"/>
      <c r="Q69" s="315"/>
    </row>
    <row r="70" spans="1:17" x14ac:dyDescent="0.2">
      <c r="B70" s="200" t="s">
        <v>283</v>
      </c>
      <c r="C70" s="268"/>
      <c r="D70" s="268"/>
      <c r="E70" s="270"/>
      <c r="F70" s="270"/>
      <c r="G70" s="270"/>
      <c r="H70" s="270"/>
      <c r="I70" s="270"/>
      <c r="J70" s="270"/>
      <c r="K70" s="270"/>
      <c r="L70" s="274">
        <v>202.8</v>
      </c>
      <c r="M70" s="270"/>
      <c r="N70" s="270"/>
      <c r="O70" s="270"/>
      <c r="P70" s="264"/>
      <c r="Q70" s="312"/>
    </row>
    <row r="71" spans="1:17" x14ac:dyDescent="0.2">
      <c r="B71" s="289" t="s">
        <v>289</v>
      </c>
      <c r="C71" s="268"/>
      <c r="D71" s="268"/>
      <c r="E71" s="270"/>
      <c r="F71" s="270"/>
      <c r="G71" s="270"/>
      <c r="H71" s="270"/>
      <c r="I71" s="270"/>
      <c r="J71" s="270"/>
      <c r="K71" s="270"/>
      <c r="L71" s="290"/>
      <c r="M71" s="274">
        <v>216.32</v>
      </c>
      <c r="N71" s="270"/>
      <c r="O71" s="270"/>
      <c r="P71" s="264"/>
      <c r="Q71" s="312"/>
    </row>
    <row r="72" spans="1:17" x14ac:dyDescent="0.2">
      <c r="B72" s="289" t="s">
        <v>290</v>
      </c>
      <c r="C72" s="268"/>
      <c r="D72" s="268"/>
      <c r="E72" s="270"/>
      <c r="F72" s="270"/>
      <c r="G72" s="270"/>
      <c r="H72" s="270"/>
      <c r="I72" s="270"/>
      <c r="J72" s="270"/>
      <c r="K72" s="270"/>
      <c r="L72" s="290"/>
      <c r="M72" s="274">
        <v>216.32</v>
      </c>
      <c r="N72" s="270"/>
      <c r="O72" s="270"/>
      <c r="P72" s="264"/>
      <c r="Q72" s="312"/>
    </row>
    <row r="73" spans="1:17" x14ac:dyDescent="0.2">
      <c r="B73" s="289" t="s">
        <v>291</v>
      </c>
      <c r="C73" s="268"/>
      <c r="D73" s="268"/>
      <c r="E73" s="270"/>
      <c r="F73" s="270"/>
      <c r="G73" s="270"/>
      <c r="H73" s="270"/>
      <c r="I73" s="270"/>
      <c r="J73" s="270"/>
      <c r="K73" s="270"/>
      <c r="L73" s="290"/>
      <c r="M73" s="274">
        <v>216.32</v>
      </c>
      <c r="N73" s="270"/>
      <c r="O73" s="270"/>
      <c r="P73" s="264"/>
      <c r="Q73" s="312"/>
    </row>
    <row r="74" spans="1:17" x14ac:dyDescent="0.2">
      <c r="B74" s="289" t="s">
        <v>292</v>
      </c>
      <c r="C74" s="268"/>
      <c r="D74" s="268"/>
      <c r="E74" s="270"/>
      <c r="F74" s="270"/>
      <c r="G74" s="270"/>
      <c r="H74" s="270"/>
      <c r="I74" s="270"/>
      <c r="J74" s="270"/>
      <c r="K74" s="270"/>
      <c r="L74" s="290"/>
      <c r="M74" s="274">
        <v>216.32</v>
      </c>
      <c r="N74" s="270"/>
      <c r="O74" s="270"/>
      <c r="P74" s="264"/>
      <c r="Q74" s="312"/>
    </row>
    <row r="75" spans="1:17" ht="8.25" customHeight="1" x14ac:dyDescent="0.2">
      <c r="B75" s="200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319"/>
      <c r="Q75" s="175"/>
    </row>
    <row r="76" spans="1:17" ht="15.75" thickBot="1" x14ac:dyDescent="0.3">
      <c r="A76" s="320" t="s">
        <v>312</v>
      </c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189"/>
      <c r="Q76" s="175"/>
    </row>
    <row r="77" spans="1:17" x14ac:dyDescent="0.2">
      <c r="B77" s="204" t="s">
        <v>211</v>
      </c>
      <c r="C77" s="321">
        <v>812.28</v>
      </c>
      <c r="D77" s="322">
        <v>466.88</v>
      </c>
      <c r="E77" s="296">
        <v>586.54999999999995</v>
      </c>
      <c r="F77" s="296">
        <v>482.39</v>
      </c>
      <c r="G77" s="296">
        <v>451.57</v>
      </c>
      <c r="H77" s="296">
        <v>451.57</v>
      </c>
      <c r="I77" s="296">
        <v>451.57</v>
      </c>
      <c r="J77" s="323">
        <v>598.92999999999995</v>
      </c>
      <c r="K77" s="296">
        <v>514.01</v>
      </c>
      <c r="L77" s="296">
        <v>616.13</v>
      </c>
      <c r="M77" s="243">
        <v>498.69</v>
      </c>
      <c r="N77" s="296">
        <v>562.34</v>
      </c>
      <c r="O77" s="296">
        <v>707.9</v>
      </c>
      <c r="P77" s="324">
        <v>714.3</v>
      </c>
      <c r="Q77" s="325">
        <v>615.07000000000005</v>
      </c>
    </row>
    <row r="78" spans="1:17" x14ac:dyDescent="0.2">
      <c r="B78" s="200" t="s">
        <v>157</v>
      </c>
      <c r="C78" s="326">
        <v>44.17</v>
      </c>
      <c r="D78" s="326">
        <v>33.119999999999997</v>
      </c>
      <c r="E78" s="326">
        <v>49.59</v>
      </c>
      <c r="F78" s="326">
        <v>36.380000000000003</v>
      </c>
      <c r="G78" s="326">
        <v>46.88</v>
      </c>
      <c r="H78" s="327">
        <v>35.14</v>
      </c>
      <c r="I78" s="327">
        <v>35.14</v>
      </c>
      <c r="J78" s="326">
        <v>40.130000000000003</v>
      </c>
      <c r="K78" s="326">
        <v>38.880000000000003</v>
      </c>
      <c r="L78" s="326">
        <v>44.2</v>
      </c>
      <c r="M78" s="326">
        <v>52.29</v>
      </c>
      <c r="N78" s="326">
        <v>37.630000000000003</v>
      </c>
      <c r="O78" s="326">
        <v>36.380000000000003</v>
      </c>
      <c r="P78" s="328">
        <v>40.130000000000003</v>
      </c>
      <c r="Q78" s="329"/>
    </row>
    <row r="79" spans="1:17" x14ac:dyDescent="0.2">
      <c r="B79" s="200" t="s">
        <v>212</v>
      </c>
      <c r="C79" s="330">
        <v>1138.94</v>
      </c>
      <c r="D79" s="429"/>
      <c r="E79" s="260">
        <v>1004.85</v>
      </c>
      <c r="F79" s="260">
        <v>921.15</v>
      </c>
      <c r="G79" s="260">
        <v>772.43</v>
      </c>
      <c r="H79" s="260">
        <v>772.43</v>
      </c>
      <c r="I79" s="260">
        <v>772.43</v>
      </c>
      <c r="J79" s="262">
        <v>927.51</v>
      </c>
      <c r="K79" s="262">
        <v>923.57</v>
      </c>
      <c r="L79" s="262">
        <v>1073.31</v>
      </c>
      <c r="M79" s="263">
        <v>900</v>
      </c>
      <c r="N79" s="262">
        <v>932.61</v>
      </c>
      <c r="O79" s="262">
        <v>1173.73</v>
      </c>
      <c r="P79" s="264"/>
      <c r="Q79" s="331">
        <v>993</v>
      </c>
    </row>
    <row r="80" spans="1:17" x14ac:dyDescent="0.2">
      <c r="B80" s="200" t="s">
        <v>287</v>
      </c>
      <c r="C80" s="330">
        <v>1339.73</v>
      </c>
      <c r="D80" s="430"/>
      <c r="E80" s="332"/>
      <c r="F80" s="332"/>
      <c r="G80" s="332"/>
      <c r="H80" s="332"/>
      <c r="I80" s="332"/>
      <c r="J80" s="249"/>
      <c r="K80" s="249"/>
      <c r="L80" s="249"/>
      <c r="M80" s="333">
        <v>17160</v>
      </c>
      <c r="N80" s="249"/>
      <c r="O80" s="249"/>
      <c r="P80" s="264"/>
      <c r="Q80" s="334"/>
    </row>
    <row r="81" spans="1:17" x14ac:dyDescent="0.2">
      <c r="B81" s="200" t="s">
        <v>213</v>
      </c>
      <c r="C81" s="259">
        <v>1179.6099999999999</v>
      </c>
      <c r="D81" s="431"/>
      <c r="E81" s="335">
        <v>1237.67</v>
      </c>
      <c r="F81" s="335">
        <v>991.22</v>
      </c>
      <c r="G81" s="336"/>
      <c r="H81" s="336"/>
      <c r="I81" s="336"/>
      <c r="J81" s="336"/>
      <c r="K81" s="336"/>
      <c r="L81" s="336"/>
      <c r="M81" s="333">
        <v>1031.0999999999999</v>
      </c>
      <c r="N81" s="336"/>
      <c r="O81" s="336"/>
      <c r="P81" s="264"/>
      <c r="Q81" s="337"/>
    </row>
    <row r="82" spans="1:17" x14ac:dyDescent="0.2">
      <c r="B82" s="200" t="s">
        <v>203</v>
      </c>
      <c r="C82" s="259">
        <v>60591.56</v>
      </c>
      <c r="D82" s="431"/>
      <c r="E82" s="335">
        <v>54045.64</v>
      </c>
      <c r="F82" s="270"/>
      <c r="G82" s="335">
        <v>49355.29</v>
      </c>
      <c r="H82" s="336"/>
      <c r="I82" s="336"/>
      <c r="J82" s="335">
        <v>60710</v>
      </c>
      <c r="K82" s="270"/>
      <c r="L82" s="338">
        <v>51084.800000000003</v>
      </c>
      <c r="M82" s="333">
        <v>62736.83</v>
      </c>
      <c r="N82" s="270"/>
      <c r="O82" s="270"/>
      <c r="P82" s="264"/>
      <c r="Q82" s="312"/>
    </row>
    <row r="83" spans="1:17" x14ac:dyDescent="0.2">
      <c r="B83" s="200" t="s">
        <v>204</v>
      </c>
      <c r="C83" s="272"/>
      <c r="D83" s="273"/>
      <c r="E83" s="270"/>
      <c r="F83" s="270"/>
      <c r="G83" s="270"/>
      <c r="H83" s="270"/>
      <c r="I83" s="270"/>
      <c r="J83" s="270"/>
      <c r="K83" s="270"/>
      <c r="L83" s="270"/>
      <c r="M83" s="274">
        <v>37927.68</v>
      </c>
      <c r="N83" s="338">
        <v>32535.68</v>
      </c>
      <c r="O83" s="270"/>
      <c r="P83" s="264"/>
      <c r="Q83" s="312"/>
    </row>
    <row r="84" spans="1:17" x14ac:dyDescent="0.2">
      <c r="B84" s="200" t="s">
        <v>205</v>
      </c>
      <c r="C84" s="259">
        <v>45224.56</v>
      </c>
      <c r="D84" s="425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64"/>
      <c r="Q84" s="312"/>
    </row>
    <row r="85" spans="1:17" x14ac:dyDescent="0.2">
      <c r="B85" s="200" t="s">
        <v>206</v>
      </c>
      <c r="C85" s="259">
        <v>41886.14</v>
      </c>
      <c r="D85" s="426"/>
      <c r="E85" s="275"/>
      <c r="F85" s="270"/>
      <c r="G85" s="335">
        <v>34355</v>
      </c>
      <c r="H85" s="270"/>
      <c r="I85" s="270"/>
      <c r="J85" s="275"/>
      <c r="K85" s="275"/>
      <c r="L85" s="275"/>
      <c r="M85" s="275"/>
      <c r="N85" s="275"/>
      <c r="O85" s="275"/>
      <c r="P85" s="277"/>
      <c r="Q85" s="315"/>
    </row>
    <row r="86" spans="1:17" x14ac:dyDescent="0.2">
      <c r="B86" s="200" t="s">
        <v>207</v>
      </c>
      <c r="C86" s="259">
        <v>28322.3</v>
      </c>
      <c r="D86" s="426"/>
      <c r="E86" s="275"/>
      <c r="F86" s="266"/>
      <c r="G86" s="260">
        <v>24729.119999999999</v>
      </c>
      <c r="H86" s="270"/>
      <c r="I86" s="270"/>
      <c r="J86" s="275"/>
      <c r="K86" s="275"/>
      <c r="L86" s="279">
        <v>51186</v>
      </c>
      <c r="M86" s="263">
        <v>35194.239999999998</v>
      </c>
      <c r="N86" s="280"/>
      <c r="O86" s="280"/>
      <c r="P86" s="277"/>
      <c r="Q86" s="316"/>
    </row>
    <row r="87" spans="1:17" x14ac:dyDescent="0.2">
      <c r="B87" s="200" t="s">
        <v>208</v>
      </c>
      <c r="C87" s="259">
        <v>62783.3</v>
      </c>
      <c r="D87" s="426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7"/>
      <c r="Q87" s="315"/>
    </row>
    <row r="88" spans="1:17" x14ac:dyDescent="0.2">
      <c r="B88" s="200" t="s">
        <v>209</v>
      </c>
      <c r="C88" s="259">
        <v>29767.06</v>
      </c>
      <c r="D88" s="426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7"/>
      <c r="Q88" s="315"/>
    </row>
    <row r="89" spans="1:17" x14ac:dyDescent="0.2">
      <c r="B89" s="200" t="s">
        <v>210</v>
      </c>
      <c r="C89" s="259">
        <v>26046.12</v>
      </c>
      <c r="D89" s="426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7"/>
      <c r="Q89" s="315"/>
    </row>
    <row r="90" spans="1:17" x14ac:dyDescent="0.2">
      <c r="A90" s="339"/>
      <c r="B90" s="281" t="s">
        <v>222</v>
      </c>
      <c r="C90" s="259">
        <v>1384.61</v>
      </c>
      <c r="D90" s="425"/>
      <c r="E90" s="271"/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317"/>
      <c r="Q90" s="318"/>
    </row>
    <row r="91" spans="1:17" ht="13.5" thickBot="1" x14ac:dyDescent="0.25">
      <c r="A91" s="339"/>
      <c r="B91" s="281" t="s">
        <v>221</v>
      </c>
      <c r="C91" s="340">
        <v>1229.7</v>
      </c>
      <c r="D91" s="428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317"/>
      <c r="Q91" s="318"/>
    </row>
    <row r="92" spans="1:17" x14ac:dyDescent="0.2">
      <c r="B92" s="200" t="s">
        <v>225</v>
      </c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341">
        <v>505</v>
      </c>
      <c r="O92" s="275"/>
      <c r="P92" s="277"/>
      <c r="Q92" s="315"/>
    </row>
    <row r="93" spans="1:17" x14ac:dyDescent="0.2">
      <c r="B93" s="200" t="s">
        <v>283</v>
      </c>
      <c r="C93" s="290"/>
      <c r="D93" s="290"/>
      <c r="E93" s="290"/>
      <c r="F93" s="290"/>
      <c r="G93" s="290"/>
      <c r="H93" s="290"/>
      <c r="I93" s="290"/>
      <c r="J93" s="290"/>
      <c r="K93" s="290"/>
      <c r="L93" s="342">
        <v>53989.8</v>
      </c>
      <c r="M93" s="290"/>
      <c r="N93" s="290"/>
      <c r="O93" s="290"/>
      <c r="P93" s="343"/>
      <c r="Q93" s="311"/>
    </row>
    <row r="94" spans="1:17" x14ac:dyDescent="0.2">
      <c r="B94" s="289" t="s">
        <v>289</v>
      </c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342">
        <v>32549.119999999999</v>
      </c>
      <c r="N94" s="290"/>
      <c r="O94" s="290"/>
      <c r="P94" s="343"/>
      <c r="Q94" s="311"/>
    </row>
    <row r="95" spans="1:17" x14ac:dyDescent="0.2">
      <c r="B95" s="289" t="s">
        <v>290</v>
      </c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342">
        <v>31673.919999999998</v>
      </c>
      <c r="N95" s="290"/>
      <c r="O95" s="290"/>
      <c r="P95" s="343"/>
      <c r="Q95" s="311"/>
    </row>
    <row r="96" spans="1:17" x14ac:dyDescent="0.2">
      <c r="B96" s="289" t="s">
        <v>291</v>
      </c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342">
        <v>36380.800000000003</v>
      </c>
      <c r="N96" s="290"/>
      <c r="O96" s="290"/>
      <c r="P96" s="343"/>
      <c r="Q96" s="311"/>
    </row>
    <row r="97" spans="1:17" x14ac:dyDescent="0.2">
      <c r="B97" s="289" t="s">
        <v>292</v>
      </c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342">
        <v>34600.959999999999</v>
      </c>
      <c r="N97" s="290"/>
      <c r="O97" s="290"/>
      <c r="P97" s="343"/>
      <c r="Q97" s="311"/>
    </row>
    <row r="98" spans="1:17" x14ac:dyDescent="0.2">
      <c r="B98" s="200"/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5"/>
    </row>
    <row r="99" spans="1:17" ht="13.5" thickBot="1" x14ac:dyDescent="0.25">
      <c r="A99" s="202" t="s">
        <v>146</v>
      </c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</row>
    <row r="100" spans="1:17" x14ac:dyDescent="0.2">
      <c r="B100" s="200" t="s">
        <v>91</v>
      </c>
      <c r="C100" s="346">
        <v>40.61</v>
      </c>
      <c r="D100" s="347">
        <v>40.61</v>
      </c>
      <c r="E100" s="296">
        <v>29.32</v>
      </c>
      <c r="F100" s="296">
        <v>24.11</v>
      </c>
      <c r="G100" s="296">
        <v>22.57</v>
      </c>
      <c r="H100" s="296">
        <v>22.57</v>
      </c>
      <c r="I100" s="296">
        <v>22.57</v>
      </c>
      <c r="J100" s="296">
        <v>29.85</v>
      </c>
      <c r="K100" s="296">
        <v>25.7</v>
      </c>
      <c r="L100" s="296">
        <v>30.71</v>
      </c>
      <c r="M100" s="243">
        <v>24.93</v>
      </c>
      <c r="N100" s="296">
        <v>28.11</v>
      </c>
      <c r="O100" s="296">
        <v>35.46</v>
      </c>
      <c r="P100" s="324">
        <v>35.71</v>
      </c>
      <c r="Q100" s="325">
        <v>30.75</v>
      </c>
    </row>
    <row r="101" spans="1:17" x14ac:dyDescent="0.2">
      <c r="B101" s="200" t="s">
        <v>66</v>
      </c>
      <c r="C101" s="259">
        <v>56.94</v>
      </c>
      <c r="D101" s="425"/>
      <c r="E101" s="260">
        <v>50.230000000000004</v>
      </c>
      <c r="F101" s="260">
        <v>46.05</v>
      </c>
      <c r="G101" s="262">
        <v>38.61</v>
      </c>
      <c r="H101" s="262">
        <v>38.61</v>
      </c>
      <c r="I101" s="262">
        <v>38.61</v>
      </c>
      <c r="J101" s="262">
        <v>46.37</v>
      </c>
      <c r="K101" s="262">
        <v>46.17</v>
      </c>
      <c r="L101" s="262">
        <v>53.65</v>
      </c>
      <c r="M101" s="263">
        <v>44.99</v>
      </c>
      <c r="N101" s="262">
        <v>46.63</v>
      </c>
      <c r="O101" s="262">
        <v>58.67</v>
      </c>
      <c r="P101" s="348">
        <v>0</v>
      </c>
      <c r="Q101" s="331">
        <v>49.65</v>
      </c>
    </row>
    <row r="102" spans="1:17" x14ac:dyDescent="0.2">
      <c r="B102" s="200" t="s">
        <v>286</v>
      </c>
      <c r="C102" s="259">
        <v>63.35</v>
      </c>
      <c r="D102" s="425"/>
      <c r="E102" s="266"/>
      <c r="F102" s="266"/>
      <c r="G102" s="268"/>
      <c r="H102" s="268"/>
      <c r="I102" s="268"/>
      <c r="J102" s="268"/>
      <c r="K102" s="268"/>
      <c r="L102" s="268"/>
      <c r="M102" s="263">
        <v>858</v>
      </c>
      <c r="N102" s="268"/>
      <c r="O102" s="268"/>
      <c r="P102" s="349"/>
      <c r="Q102" s="350"/>
    </row>
    <row r="103" spans="1:17" x14ac:dyDescent="0.2">
      <c r="B103" s="200" t="s">
        <v>67</v>
      </c>
      <c r="C103" s="259">
        <v>58.97</v>
      </c>
      <c r="D103" s="425"/>
      <c r="E103" s="260">
        <v>61.87</v>
      </c>
      <c r="F103" s="260">
        <v>49.55</v>
      </c>
      <c r="G103" s="270"/>
      <c r="H103" s="270"/>
      <c r="I103" s="270"/>
      <c r="J103" s="270"/>
      <c r="K103" s="270"/>
      <c r="L103" s="270"/>
      <c r="M103" s="263">
        <v>51.55</v>
      </c>
      <c r="N103" s="270"/>
      <c r="O103" s="270"/>
      <c r="P103" s="264"/>
      <c r="Q103" s="269"/>
    </row>
    <row r="104" spans="1:17" x14ac:dyDescent="0.2">
      <c r="B104" s="200" t="s">
        <v>68</v>
      </c>
      <c r="C104" s="439">
        <v>1392.38</v>
      </c>
      <c r="D104" s="425"/>
      <c r="E104" s="260">
        <v>2702.27</v>
      </c>
      <c r="F104" s="270"/>
      <c r="G104" s="260">
        <v>2467.75</v>
      </c>
      <c r="H104" s="270"/>
      <c r="I104" s="270"/>
      <c r="J104" s="260">
        <v>2428.4</v>
      </c>
      <c r="K104" s="270"/>
      <c r="L104" s="262">
        <v>2554</v>
      </c>
      <c r="M104" s="263">
        <v>3136.84</v>
      </c>
      <c r="N104" s="270"/>
      <c r="O104" s="270"/>
      <c r="P104" s="264"/>
      <c r="Q104" s="269"/>
    </row>
    <row r="105" spans="1:17" x14ac:dyDescent="0.2">
      <c r="B105" s="200" t="s">
        <v>164</v>
      </c>
      <c r="C105" s="272"/>
      <c r="D105" s="429"/>
      <c r="E105" s="270"/>
      <c r="F105" s="270"/>
      <c r="G105" s="270"/>
      <c r="H105" s="270"/>
      <c r="I105" s="270"/>
      <c r="J105" s="270"/>
      <c r="K105" s="270"/>
      <c r="L105" s="270"/>
      <c r="M105" s="274">
        <v>1896</v>
      </c>
      <c r="N105" s="262">
        <v>1626.56</v>
      </c>
      <c r="O105" s="270"/>
      <c r="P105" s="264"/>
      <c r="Q105" s="269"/>
    </row>
    <row r="106" spans="1:17" x14ac:dyDescent="0.2">
      <c r="B106" s="200" t="s">
        <v>69</v>
      </c>
      <c r="C106" s="259">
        <v>2261.1999999999998</v>
      </c>
      <c r="D106" s="425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64"/>
      <c r="Q106" s="269"/>
    </row>
    <row r="107" spans="1:17" x14ac:dyDescent="0.2">
      <c r="B107" s="200" t="s">
        <v>122</v>
      </c>
      <c r="C107" s="439">
        <v>1102.06</v>
      </c>
      <c r="D107" s="425"/>
      <c r="E107" s="270"/>
      <c r="F107" s="270"/>
      <c r="G107" s="260">
        <v>1717.75</v>
      </c>
      <c r="H107" s="270"/>
      <c r="I107" s="270"/>
      <c r="J107" s="270"/>
      <c r="K107" s="270"/>
      <c r="L107" s="270"/>
      <c r="M107" s="270"/>
      <c r="N107" s="270"/>
      <c r="O107" s="270"/>
      <c r="P107" s="264"/>
      <c r="Q107" s="269"/>
    </row>
    <row r="108" spans="1:17" x14ac:dyDescent="0.2">
      <c r="B108" s="200" t="s">
        <v>94</v>
      </c>
      <c r="C108" s="259">
        <v>1416.1</v>
      </c>
      <c r="D108" s="426"/>
      <c r="E108" s="275"/>
      <c r="F108" s="266"/>
      <c r="G108" s="260">
        <v>1236.45</v>
      </c>
      <c r="H108" s="270"/>
      <c r="I108" s="270"/>
      <c r="J108" s="275"/>
      <c r="K108" s="275"/>
      <c r="L108" s="279">
        <v>2146</v>
      </c>
      <c r="M108" s="263">
        <v>1759.36</v>
      </c>
      <c r="N108" s="280"/>
      <c r="O108" s="280"/>
      <c r="P108" s="264"/>
      <c r="Q108" s="269"/>
    </row>
    <row r="109" spans="1:17" x14ac:dyDescent="0.2">
      <c r="B109" s="200" t="s">
        <v>70</v>
      </c>
      <c r="C109" s="259">
        <v>3139.14</v>
      </c>
      <c r="D109" s="425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64"/>
      <c r="Q109" s="269"/>
    </row>
    <row r="110" spans="1:17" x14ac:dyDescent="0.2">
      <c r="B110" s="200" t="s">
        <v>154</v>
      </c>
      <c r="C110" s="259">
        <v>1488.3400000000001</v>
      </c>
      <c r="D110" s="426"/>
      <c r="E110" s="275"/>
      <c r="F110" s="275"/>
      <c r="G110" s="270"/>
      <c r="H110" s="275"/>
      <c r="I110" s="275"/>
      <c r="J110" s="275"/>
      <c r="K110" s="275"/>
      <c r="L110" s="275"/>
      <c r="M110" s="275"/>
      <c r="N110" s="275"/>
      <c r="O110" s="275"/>
      <c r="P110" s="277"/>
      <c r="Q110" s="278"/>
    </row>
    <row r="111" spans="1:17" x14ac:dyDescent="0.2">
      <c r="B111" s="200" t="s">
        <v>155</v>
      </c>
      <c r="C111" s="259">
        <v>1302.28</v>
      </c>
      <c r="D111" s="426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7"/>
      <c r="Q111" s="278"/>
    </row>
    <row r="112" spans="1:17" x14ac:dyDescent="0.2">
      <c r="B112" s="281" t="s">
        <v>220</v>
      </c>
      <c r="C112" s="259">
        <v>69.22</v>
      </c>
      <c r="D112" s="425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317"/>
      <c r="Q112" s="351"/>
    </row>
    <row r="113" spans="1:17" ht="13.5" thickBot="1" x14ac:dyDescent="0.25">
      <c r="A113" s="339"/>
      <c r="B113" s="281" t="s">
        <v>219</v>
      </c>
      <c r="C113" s="340">
        <v>61.48</v>
      </c>
      <c r="D113" s="428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317"/>
      <c r="Q113" s="351"/>
    </row>
    <row r="114" spans="1:17" x14ac:dyDescent="0.2">
      <c r="A114" s="339"/>
      <c r="B114" s="200" t="s">
        <v>226</v>
      </c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341">
        <v>25.25</v>
      </c>
      <c r="O114" s="275"/>
      <c r="P114" s="277"/>
      <c r="Q114" s="278"/>
    </row>
    <row r="115" spans="1:17" x14ac:dyDescent="0.2">
      <c r="A115" s="339"/>
      <c r="B115" s="200" t="s">
        <v>283</v>
      </c>
      <c r="C115" s="270"/>
      <c r="D115" s="270"/>
      <c r="E115" s="270"/>
      <c r="F115" s="270"/>
      <c r="G115" s="270"/>
      <c r="H115" s="270"/>
      <c r="I115" s="270"/>
      <c r="J115" s="270"/>
      <c r="K115" s="270"/>
      <c r="L115" s="274">
        <v>1609.5</v>
      </c>
      <c r="M115" s="270"/>
      <c r="N115" s="266"/>
      <c r="O115" s="270"/>
      <c r="P115" s="264"/>
      <c r="Q115" s="269"/>
    </row>
    <row r="116" spans="1:17" x14ac:dyDescent="0.2">
      <c r="A116" s="339"/>
      <c r="B116" s="289" t="s">
        <v>289</v>
      </c>
      <c r="C116" s="270"/>
      <c r="D116" s="270"/>
      <c r="E116" s="270"/>
      <c r="F116" s="270"/>
      <c r="G116" s="270"/>
      <c r="H116" s="270"/>
      <c r="I116" s="270"/>
      <c r="J116" s="270"/>
      <c r="K116" s="270"/>
      <c r="L116" s="290"/>
      <c r="M116" s="274">
        <v>1548.73</v>
      </c>
      <c r="N116" s="266"/>
      <c r="O116" s="270"/>
      <c r="P116" s="264"/>
      <c r="Q116" s="269"/>
    </row>
    <row r="117" spans="1:17" x14ac:dyDescent="0.2">
      <c r="A117" s="339"/>
      <c r="B117" s="289" t="s">
        <v>290</v>
      </c>
      <c r="C117" s="270"/>
      <c r="D117" s="270"/>
      <c r="E117" s="270"/>
      <c r="F117" s="270"/>
      <c r="G117" s="270"/>
      <c r="H117" s="270"/>
      <c r="I117" s="270"/>
      <c r="J117" s="270"/>
      <c r="K117" s="270"/>
      <c r="L117" s="290"/>
      <c r="M117" s="274">
        <v>1583.36</v>
      </c>
      <c r="N117" s="266"/>
      <c r="O117" s="270"/>
      <c r="P117" s="264"/>
      <c r="Q117" s="269"/>
    </row>
    <row r="118" spans="1:17" x14ac:dyDescent="0.2">
      <c r="A118" s="339"/>
      <c r="B118" s="289" t="s">
        <v>291</v>
      </c>
      <c r="C118" s="270"/>
      <c r="D118" s="270"/>
      <c r="E118" s="270"/>
      <c r="F118" s="270"/>
      <c r="G118" s="270"/>
      <c r="H118" s="270"/>
      <c r="I118" s="270"/>
      <c r="J118" s="270"/>
      <c r="K118" s="270"/>
      <c r="L118" s="290"/>
      <c r="M118" s="274">
        <v>1818.88</v>
      </c>
      <c r="N118" s="266"/>
      <c r="O118" s="270"/>
      <c r="P118" s="264"/>
      <c r="Q118" s="269"/>
    </row>
    <row r="119" spans="1:17" x14ac:dyDescent="0.2">
      <c r="A119" s="339"/>
      <c r="B119" s="289" t="s">
        <v>292</v>
      </c>
      <c r="C119" s="270"/>
      <c r="D119" s="270"/>
      <c r="E119" s="270"/>
      <c r="F119" s="270"/>
      <c r="G119" s="270"/>
      <c r="H119" s="270"/>
      <c r="I119" s="270"/>
      <c r="J119" s="270"/>
      <c r="K119" s="270"/>
      <c r="L119" s="290"/>
      <c r="M119" s="274">
        <v>1729.92</v>
      </c>
      <c r="N119" s="266"/>
      <c r="O119" s="270"/>
      <c r="P119" s="264"/>
      <c r="Q119" s="269"/>
    </row>
    <row r="120" spans="1:17" ht="6.75" customHeight="1" x14ac:dyDescent="0.2">
      <c r="A120" s="339"/>
      <c r="B120" s="352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7"/>
      <c r="Q120" s="175"/>
    </row>
    <row r="121" spans="1:17" ht="13.5" thickBot="1" x14ac:dyDescent="0.25">
      <c r="B121" s="202" t="s">
        <v>281</v>
      </c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</row>
    <row r="122" spans="1:17" x14ac:dyDescent="0.2">
      <c r="A122" s="353"/>
      <c r="B122" s="200" t="s">
        <v>91</v>
      </c>
      <c r="C122" s="299">
        <v>6.76</v>
      </c>
      <c r="D122" s="300">
        <v>6.76</v>
      </c>
      <c r="E122" s="301">
        <v>4.76</v>
      </c>
      <c r="F122" s="301">
        <v>6.76</v>
      </c>
      <c r="G122" s="302">
        <v>6.76</v>
      </c>
      <c r="H122" s="302">
        <v>6.76</v>
      </c>
      <c r="I122" s="302">
        <v>6.76</v>
      </c>
      <c r="J122" s="301">
        <v>6.76</v>
      </c>
      <c r="K122" s="302">
        <v>6.76</v>
      </c>
      <c r="L122" s="302">
        <v>6.76</v>
      </c>
      <c r="M122" s="302">
        <v>6.76</v>
      </c>
      <c r="N122" s="302">
        <v>6.76</v>
      </c>
      <c r="O122" s="301">
        <v>6.76</v>
      </c>
      <c r="P122" s="304">
        <v>6.14</v>
      </c>
      <c r="Q122" s="305">
        <v>4.76</v>
      </c>
    </row>
    <row r="123" spans="1:17" x14ac:dyDescent="0.2">
      <c r="A123" s="202"/>
      <c r="B123" s="200" t="s">
        <v>66</v>
      </c>
      <c r="C123" s="306">
        <v>6.76</v>
      </c>
      <c r="D123" s="429"/>
      <c r="E123" s="308">
        <v>4.76</v>
      </c>
      <c r="F123" s="308">
        <v>6.76</v>
      </c>
      <c r="G123" s="274">
        <v>6.76</v>
      </c>
      <c r="H123" s="274">
        <v>6.76</v>
      </c>
      <c r="I123" s="274">
        <v>6.76</v>
      </c>
      <c r="J123" s="308">
        <v>6.76</v>
      </c>
      <c r="K123" s="274">
        <v>6.76</v>
      </c>
      <c r="L123" s="274">
        <v>6.76</v>
      </c>
      <c r="M123" s="274">
        <v>6.76</v>
      </c>
      <c r="N123" s="274">
        <v>6.76</v>
      </c>
      <c r="O123" s="308">
        <v>6.76</v>
      </c>
      <c r="P123" s="264"/>
      <c r="Q123" s="309">
        <v>4.76</v>
      </c>
    </row>
    <row r="124" spans="1:17" x14ac:dyDescent="0.2">
      <c r="A124" s="202"/>
      <c r="B124" s="200" t="s">
        <v>286</v>
      </c>
      <c r="C124" s="307">
        <v>6.76</v>
      </c>
      <c r="D124" s="429"/>
      <c r="E124" s="290"/>
      <c r="F124" s="290"/>
      <c r="G124" s="290"/>
      <c r="H124" s="290"/>
      <c r="I124" s="290"/>
      <c r="J124" s="290"/>
      <c r="K124" s="290"/>
      <c r="L124" s="290"/>
      <c r="M124" s="308">
        <v>162.24</v>
      </c>
      <c r="N124" s="290"/>
      <c r="O124" s="290"/>
      <c r="P124" s="264"/>
      <c r="Q124" s="311"/>
    </row>
    <row r="125" spans="1:17" x14ac:dyDescent="0.2">
      <c r="B125" s="200" t="s">
        <v>67</v>
      </c>
      <c r="C125" s="308">
        <v>6.76</v>
      </c>
      <c r="D125" s="288"/>
      <c r="E125" s="342">
        <v>4.76</v>
      </c>
      <c r="F125" s="308">
        <v>6.76</v>
      </c>
      <c r="G125" s="270"/>
      <c r="H125" s="270"/>
      <c r="I125" s="270"/>
      <c r="J125" s="270"/>
      <c r="K125" s="270"/>
      <c r="L125" s="270"/>
      <c r="M125" s="274">
        <v>6.76</v>
      </c>
      <c r="N125" s="270"/>
      <c r="O125" s="270"/>
      <c r="P125" s="264"/>
      <c r="Q125" s="312"/>
    </row>
    <row r="126" spans="1:17" x14ac:dyDescent="0.2">
      <c r="B126" s="200" t="s">
        <v>238</v>
      </c>
      <c r="C126" s="259">
        <v>270.39999999999998</v>
      </c>
      <c r="D126" s="425"/>
      <c r="E126" s="313">
        <v>190.4</v>
      </c>
      <c r="F126" s="270"/>
      <c r="G126" s="274">
        <v>216.32</v>
      </c>
      <c r="H126" s="270"/>
      <c r="I126" s="270"/>
      <c r="J126" s="313">
        <v>270.39999999999998</v>
      </c>
      <c r="K126" s="270"/>
      <c r="L126" s="262">
        <v>270.39999999999998</v>
      </c>
      <c r="M126" s="262">
        <v>270.39999999999998</v>
      </c>
      <c r="N126" s="270"/>
      <c r="O126" s="270"/>
      <c r="P126" s="264"/>
      <c r="Q126" s="312"/>
    </row>
    <row r="127" spans="1:17" x14ac:dyDescent="0.2">
      <c r="B127" s="200" t="s">
        <v>239</v>
      </c>
      <c r="C127" s="272"/>
      <c r="D127" s="429"/>
      <c r="E127" s="270"/>
      <c r="F127" s="270"/>
      <c r="G127" s="271"/>
      <c r="H127" s="270"/>
      <c r="I127" s="270"/>
      <c r="J127" s="270"/>
      <c r="K127" s="270"/>
      <c r="L127" s="270"/>
      <c r="M127" s="274">
        <v>216.32</v>
      </c>
      <c r="N127" s="290"/>
      <c r="O127" s="270"/>
      <c r="P127" s="264"/>
      <c r="Q127" s="312"/>
    </row>
    <row r="128" spans="1:17" x14ac:dyDescent="0.2">
      <c r="A128" s="354"/>
      <c r="B128" s="200" t="s">
        <v>240</v>
      </c>
      <c r="C128" s="259">
        <v>270.39999999999998</v>
      </c>
      <c r="D128" s="425"/>
      <c r="E128" s="270"/>
      <c r="F128" s="270"/>
      <c r="G128" s="271"/>
      <c r="H128" s="270"/>
      <c r="I128" s="270"/>
      <c r="J128" s="270"/>
      <c r="K128" s="270"/>
      <c r="L128" s="270"/>
      <c r="M128" s="270"/>
      <c r="N128" s="270"/>
      <c r="O128" s="270"/>
      <c r="P128" s="264"/>
      <c r="Q128" s="312"/>
    </row>
    <row r="129" spans="1:17" x14ac:dyDescent="0.2">
      <c r="B129" s="200" t="s">
        <v>241</v>
      </c>
      <c r="C129" s="259">
        <v>243.36</v>
      </c>
      <c r="D129" s="426"/>
      <c r="E129" s="275"/>
      <c r="F129" s="270"/>
      <c r="G129" s="274">
        <v>216.32</v>
      </c>
      <c r="H129" s="270"/>
      <c r="I129" s="270"/>
      <c r="J129" s="275"/>
      <c r="K129" s="275"/>
      <c r="L129" s="275"/>
      <c r="M129" s="275"/>
      <c r="N129" s="275"/>
      <c r="O129" s="275"/>
      <c r="P129" s="277"/>
      <c r="Q129" s="315"/>
    </row>
    <row r="130" spans="1:17" x14ac:dyDescent="0.2">
      <c r="A130" s="354"/>
      <c r="B130" s="200" t="s">
        <v>242</v>
      </c>
      <c r="C130" s="259">
        <v>263.64</v>
      </c>
      <c r="D130" s="426"/>
      <c r="E130" s="275"/>
      <c r="F130" s="266"/>
      <c r="G130" s="260">
        <v>216.32</v>
      </c>
      <c r="H130" s="270"/>
      <c r="I130" s="270"/>
      <c r="J130" s="275"/>
      <c r="K130" s="275"/>
      <c r="L130" s="279">
        <v>270.39999999999998</v>
      </c>
      <c r="M130" s="263">
        <v>216.32</v>
      </c>
      <c r="N130" s="280"/>
      <c r="O130" s="280"/>
      <c r="P130" s="277"/>
      <c r="Q130" s="316"/>
    </row>
    <row r="131" spans="1:17" x14ac:dyDescent="0.2">
      <c r="A131" s="354"/>
      <c r="B131" s="200" t="s">
        <v>243</v>
      </c>
      <c r="C131" s="259">
        <v>270.39999999999998</v>
      </c>
      <c r="D131" s="426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7"/>
      <c r="Q131" s="315"/>
    </row>
    <row r="132" spans="1:17" x14ac:dyDescent="0.2">
      <c r="A132" s="354"/>
      <c r="B132" s="200" t="s">
        <v>244</v>
      </c>
      <c r="C132" s="259">
        <v>162.24</v>
      </c>
      <c r="D132" s="426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7"/>
      <c r="Q132" s="315"/>
    </row>
    <row r="133" spans="1:17" x14ac:dyDescent="0.2">
      <c r="A133" s="354"/>
      <c r="B133" s="200" t="s">
        <v>237</v>
      </c>
      <c r="C133" s="259">
        <v>141.96</v>
      </c>
      <c r="D133" s="426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7"/>
      <c r="Q133" s="315"/>
    </row>
    <row r="134" spans="1:17" x14ac:dyDescent="0.2">
      <c r="A134" s="354"/>
      <c r="B134" s="281" t="s">
        <v>220</v>
      </c>
      <c r="C134" s="259">
        <v>6.76</v>
      </c>
      <c r="D134" s="425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317"/>
      <c r="Q134" s="318"/>
    </row>
    <row r="135" spans="1:17" ht="13.5" thickBot="1" x14ac:dyDescent="0.25">
      <c r="A135" s="354"/>
      <c r="B135" s="281" t="s">
        <v>219</v>
      </c>
      <c r="C135" s="355">
        <v>6.76</v>
      </c>
      <c r="D135" s="426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317"/>
      <c r="Q135" s="318"/>
    </row>
    <row r="136" spans="1:17" x14ac:dyDescent="0.2">
      <c r="A136" s="339"/>
      <c r="B136" s="200" t="s">
        <v>226</v>
      </c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356"/>
      <c r="O136" s="275"/>
      <c r="P136" s="277"/>
      <c r="Q136" s="312"/>
    </row>
    <row r="137" spans="1:17" x14ac:dyDescent="0.2">
      <c r="A137" s="339"/>
      <c r="B137" s="200" t="s">
        <v>283</v>
      </c>
      <c r="C137" s="270"/>
      <c r="D137" s="270"/>
      <c r="E137" s="270"/>
      <c r="F137" s="270"/>
      <c r="G137" s="270"/>
      <c r="H137" s="270"/>
      <c r="I137" s="270"/>
      <c r="J137" s="270"/>
      <c r="K137" s="270"/>
      <c r="L137" s="274">
        <v>202.8</v>
      </c>
      <c r="M137" s="270"/>
      <c r="N137" s="266"/>
      <c r="O137" s="270"/>
      <c r="P137" s="357"/>
      <c r="Q137" s="312"/>
    </row>
    <row r="138" spans="1:17" x14ac:dyDescent="0.2">
      <c r="A138" s="339"/>
      <c r="B138" s="289" t="s">
        <v>289</v>
      </c>
      <c r="C138" s="270"/>
      <c r="D138" s="270"/>
      <c r="E138" s="270"/>
      <c r="F138" s="270"/>
      <c r="G138" s="270"/>
      <c r="H138" s="270"/>
      <c r="I138" s="270"/>
      <c r="J138" s="270"/>
      <c r="K138" s="270"/>
      <c r="L138" s="290"/>
      <c r="M138" s="274">
        <v>216.32</v>
      </c>
      <c r="N138" s="266"/>
      <c r="O138" s="270"/>
      <c r="P138" s="357"/>
      <c r="Q138" s="312"/>
    </row>
    <row r="139" spans="1:17" x14ac:dyDescent="0.2">
      <c r="A139" s="339"/>
      <c r="B139" s="289" t="s">
        <v>290</v>
      </c>
      <c r="C139" s="270"/>
      <c r="D139" s="270"/>
      <c r="E139" s="270"/>
      <c r="F139" s="270"/>
      <c r="G139" s="270"/>
      <c r="H139" s="270"/>
      <c r="I139" s="270"/>
      <c r="J139" s="270"/>
      <c r="K139" s="270"/>
      <c r="L139" s="290"/>
      <c r="M139" s="274">
        <v>216.32</v>
      </c>
      <c r="N139" s="266"/>
      <c r="O139" s="270"/>
      <c r="P139" s="357"/>
      <c r="Q139" s="312"/>
    </row>
    <row r="140" spans="1:17" x14ac:dyDescent="0.2">
      <c r="A140" s="339"/>
      <c r="B140" s="289" t="s">
        <v>291</v>
      </c>
      <c r="C140" s="270"/>
      <c r="D140" s="270"/>
      <c r="E140" s="270"/>
      <c r="F140" s="270"/>
      <c r="G140" s="270"/>
      <c r="H140" s="270"/>
      <c r="I140" s="270"/>
      <c r="J140" s="270"/>
      <c r="K140" s="270"/>
      <c r="L140" s="290"/>
      <c r="M140" s="274">
        <v>216.32</v>
      </c>
      <c r="N140" s="266"/>
      <c r="O140" s="270"/>
      <c r="P140" s="357"/>
      <c r="Q140" s="312"/>
    </row>
    <row r="141" spans="1:17" x14ac:dyDescent="0.2">
      <c r="A141" s="339"/>
      <c r="B141" s="289" t="s">
        <v>292</v>
      </c>
      <c r="C141" s="270"/>
      <c r="D141" s="270"/>
      <c r="E141" s="270"/>
      <c r="F141" s="270"/>
      <c r="G141" s="270"/>
      <c r="H141" s="270"/>
      <c r="I141" s="270"/>
      <c r="J141" s="270"/>
      <c r="K141" s="270"/>
      <c r="L141" s="290"/>
      <c r="M141" s="274">
        <v>216.32</v>
      </c>
      <c r="N141" s="266"/>
      <c r="O141" s="270"/>
      <c r="P141" s="357"/>
      <c r="Q141" s="312"/>
    </row>
    <row r="142" spans="1:17" x14ac:dyDescent="0.2">
      <c r="A142" s="339"/>
      <c r="C142" s="175"/>
      <c r="D142" s="175"/>
      <c r="E142" s="358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359"/>
      <c r="Q142" s="175"/>
    </row>
    <row r="143" spans="1:17" ht="13.5" thickBot="1" x14ac:dyDescent="0.25">
      <c r="A143" s="202" t="s">
        <v>72</v>
      </c>
      <c r="C143" s="175"/>
      <c r="D143" s="175"/>
      <c r="E143" s="360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</row>
    <row r="144" spans="1:17" x14ac:dyDescent="0.2">
      <c r="A144" s="202" t="s">
        <v>73</v>
      </c>
      <c r="B144" s="200" t="s">
        <v>74</v>
      </c>
      <c r="C144" s="299">
        <v>18.190000000000001</v>
      </c>
      <c r="D144" s="433"/>
      <c r="E144" s="242">
        <v>12.86</v>
      </c>
      <c r="F144" s="242">
        <v>10.5</v>
      </c>
      <c r="G144" s="242">
        <v>12.08</v>
      </c>
      <c r="H144" s="242">
        <v>25.63</v>
      </c>
      <c r="I144" s="242">
        <v>20.190000000000001</v>
      </c>
      <c r="J144" s="242">
        <v>12.32</v>
      </c>
      <c r="K144" s="242">
        <v>13.57</v>
      </c>
      <c r="L144" s="242">
        <v>11.67</v>
      </c>
      <c r="M144" s="296">
        <v>12.87</v>
      </c>
      <c r="N144" s="242">
        <v>14.47</v>
      </c>
      <c r="O144" s="242">
        <v>11.5</v>
      </c>
      <c r="P144" s="242">
        <v>16.84</v>
      </c>
      <c r="Q144" s="361">
        <v>17.62</v>
      </c>
    </row>
    <row r="145" spans="1:17" ht="13.5" thickBot="1" x14ac:dyDescent="0.25">
      <c r="B145" s="200" t="s">
        <v>199</v>
      </c>
      <c r="C145" s="377"/>
      <c r="D145" s="362"/>
      <c r="E145" s="362"/>
      <c r="F145" s="362"/>
      <c r="G145" s="363">
        <v>7</v>
      </c>
      <c r="H145" s="362"/>
      <c r="I145" s="362"/>
      <c r="J145" s="362"/>
      <c r="K145" s="362"/>
      <c r="L145" s="362"/>
      <c r="M145" s="362"/>
      <c r="N145" s="362"/>
      <c r="O145" s="362"/>
      <c r="P145" s="434"/>
      <c r="Q145" s="368"/>
    </row>
    <row r="146" spans="1:17" ht="13.5" thickBot="1" x14ac:dyDescent="0.25">
      <c r="C146" s="364"/>
      <c r="D146" s="364"/>
      <c r="E146" s="365"/>
      <c r="F146" s="365"/>
      <c r="G146" s="364"/>
      <c r="H146" s="364"/>
      <c r="I146" s="364"/>
      <c r="J146" s="364"/>
      <c r="K146" s="364"/>
      <c r="L146" s="364"/>
      <c r="M146" s="364"/>
      <c r="N146" s="364"/>
      <c r="O146" s="364"/>
      <c r="P146" s="215"/>
      <c r="Q146" s="175"/>
    </row>
    <row r="147" spans="1:17" x14ac:dyDescent="0.2">
      <c r="B147" s="200" t="s">
        <v>74</v>
      </c>
      <c r="C147" s="294">
        <v>1.9</v>
      </c>
      <c r="D147" s="433"/>
      <c r="E147" s="242">
        <v>7.9</v>
      </c>
      <c r="F147" s="242">
        <v>13.969999999999999</v>
      </c>
      <c r="G147" s="242">
        <v>14.46</v>
      </c>
      <c r="H147" s="242">
        <v>2.4500000000000002</v>
      </c>
      <c r="I147" s="242">
        <v>4.2300000000000004</v>
      </c>
      <c r="J147" s="242">
        <v>17.27</v>
      </c>
      <c r="K147" s="242">
        <v>20.93</v>
      </c>
      <c r="L147" s="242">
        <v>14.32</v>
      </c>
      <c r="M147" s="296">
        <v>14.1</v>
      </c>
      <c r="N147" s="242">
        <v>16.829999999999998</v>
      </c>
      <c r="O147" s="242">
        <v>13.54</v>
      </c>
      <c r="P147" s="242">
        <v>6.81</v>
      </c>
      <c r="Q147" s="361">
        <v>14.12</v>
      </c>
    </row>
    <row r="148" spans="1:17" ht="14.25" customHeight="1" x14ac:dyDescent="0.2">
      <c r="A148" s="202" t="s">
        <v>76</v>
      </c>
      <c r="B148" s="204" t="s">
        <v>99</v>
      </c>
      <c r="C148" s="272"/>
      <c r="D148" s="270"/>
      <c r="E148" s="270"/>
      <c r="F148" s="270"/>
      <c r="G148" s="270"/>
      <c r="H148" s="270"/>
      <c r="I148" s="270"/>
      <c r="J148" s="270"/>
      <c r="K148" s="270"/>
      <c r="L148" s="270"/>
      <c r="M148" s="326">
        <v>2</v>
      </c>
      <c r="N148" s="279">
        <v>2</v>
      </c>
      <c r="O148" s="279">
        <v>4</v>
      </c>
      <c r="P148" s="270"/>
      <c r="Q148" s="312"/>
    </row>
    <row r="149" spans="1:17" x14ac:dyDescent="0.2">
      <c r="B149" s="200" t="s">
        <v>100</v>
      </c>
      <c r="C149" s="253">
        <v>1.9</v>
      </c>
      <c r="D149" s="270"/>
      <c r="E149" s="279">
        <v>7.9</v>
      </c>
      <c r="F149" s="279">
        <v>13.969999999999999</v>
      </c>
      <c r="G149" s="279">
        <v>14.46</v>
      </c>
      <c r="H149" s="279">
        <v>2.4500000000000002</v>
      </c>
      <c r="I149" s="279">
        <v>4.2300000000000004</v>
      </c>
      <c r="J149" s="279">
        <v>17.27</v>
      </c>
      <c r="K149" s="279">
        <v>20.93</v>
      </c>
      <c r="L149" s="279">
        <v>14.32</v>
      </c>
      <c r="M149" s="326">
        <v>16.100000000000001</v>
      </c>
      <c r="N149" s="279">
        <v>18.829999999999998</v>
      </c>
      <c r="O149" s="279">
        <v>17.54</v>
      </c>
      <c r="P149" s="279">
        <v>6.81</v>
      </c>
      <c r="Q149" s="366">
        <v>14.12</v>
      </c>
    </row>
    <row r="150" spans="1:17" ht="13.5" thickBot="1" x14ac:dyDescent="0.25">
      <c r="B150" s="200" t="s">
        <v>199</v>
      </c>
      <c r="C150" s="377"/>
      <c r="D150" s="362"/>
      <c r="E150" s="362"/>
      <c r="F150" s="362"/>
      <c r="G150" s="363">
        <v>10</v>
      </c>
      <c r="H150" s="363">
        <v>5</v>
      </c>
      <c r="I150" s="363">
        <v>5</v>
      </c>
      <c r="J150" s="362"/>
      <c r="K150" s="362"/>
      <c r="L150" s="362"/>
      <c r="M150" s="367">
        <v>10</v>
      </c>
      <c r="N150" s="362"/>
      <c r="O150" s="362"/>
      <c r="P150" s="434"/>
      <c r="Q150" s="368"/>
    </row>
    <row r="151" spans="1:17" ht="13.5" thickBot="1" x14ac:dyDescent="0.25">
      <c r="C151" s="364"/>
      <c r="D151" s="364"/>
      <c r="E151" s="365"/>
      <c r="F151" s="365"/>
      <c r="G151" s="364"/>
      <c r="H151" s="364"/>
      <c r="I151" s="364"/>
      <c r="J151" s="364"/>
      <c r="K151" s="364"/>
      <c r="L151" s="364"/>
      <c r="M151" s="364"/>
      <c r="N151" s="364"/>
      <c r="O151" s="364"/>
      <c r="P151" s="215"/>
      <c r="Q151" s="175"/>
    </row>
    <row r="152" spans="1:17" x14ac:dyDescent="0.2">
      <c r="A152" s="202" t="s">
        <v>77</v>
      </c>
      <c r="B152" s="200" t="s">
        <v>74</v>
      </c>
      <c r="C152" s="294">
        <v>14.93</v>
      </c>
      <c r="D152" s="433"/>
      <c r="E152" s="242">
        <v>13.97</v>
      </c>
      <c r="F152" s="242">
        <v>6.91</v>
      </c>
      <c r="G152" s="242">
        <v>9.94</v>
      </c>
      <c r="H152" s="242">
        <v>4.9000000000000004</v>
      </c>
      <c r="I152" s="242">
        <v>4.03</v>
      </c>
      <c r="J152" s="242">
        <v>9.42</v>
      </c>
      <c r="K152" s="242">
        <v>7.52</v>
      </c>
      <c r="L152" s="242">
        <v>10.84</v>
      </c>
      <c r="M152" s="369"/>
      <c r="N152" s="242">
        <v>10.25</v>
      </c>
      <c r="O152" s="242">
        <v>9.24</v>
      </c>
      <c r="P152" s="242">
        <v>5.61</v>
      </c>
      <c r="Q152" s="361">
        <v>9.58</v>
      </c>
    </row>
    <row r="153" spans="1:17" ht="13.5" thickBot="1" x14ac:dyDescent="0.25">
      <c r="B153" s="200" t="s">
        <v>199</v>
      </c>
      <c r="C153" s="377"/>
      <c r="D153" s="362"/>
      <c r="E153" s="362"/>
      <c r="F153" s="363">
        <v>0</v>
      </c>
      <c r="G153" s="362"/>
      <c r="H153" s="362"/>
      <c r="I153" s="362"/>
      <c r="J153" s="362"/>
      <c r="K153" s="362"/>
      <c r="L153" s="362"/>
      <c r="M153" s="367">
        <v>93.69</v>
      </c>
      <c r="N153" s="362"/>
      <c r="O153" s="362"/>
      <c r="P153" s="434"/>
      <c r="Q153" s="368"/>
    </row>
    <row r="154" spans="1:17" ht="13.5" thickBot="1" x14ac:dyDescent="0.25">
      <c r="C154" s="364"/>
      <c r="D154" s="364"/>
      <c r="E154" s="365"/>
      <c r="F154" s="364"/>
      <c r="G154" s="364"/>
      <c r="H154" s="364"/>
      <c r="I154" s="364"/>
      <c r="J154" s="364"/>
      <c r="K154" s="364"/>
      <c r="L154" s="364"/>
      <c r="M154" s="364"/>
      <c r="N154" s="364"/>
      <c r="O154" s="364"/>
      <c r="P154" s="215"/>
      <c r="Q154" s="175"/>
    </row>
    <row r="155" spans="1:17" x14ac:dyDescent="0.2">
      <c r="A155" s="202" t="s">
        <v>78</v>
      </c>
      <c r="B155" s="200" t="s">
        <v>74</v>
      </c>
      <c r="C155" s="294">
        <v>8.91</v>
      </c>
      <c r="D155" s="433"/>
      <c r="E155" s="242">
        <v>8.9</v>
      </c>
      <c r="F155" s="369"/>
      <c r="G155" s="242">
        <v>3</v>
      </c>
      <c r="H155" s="242">
        <v>2.25</v>
      </c>
      <c r="I155" s="369"/>
      <c r="J155" s="369"/>
      <c r="K155" s="242">
        <v>8</v>
      </c>
      <c r="L155" s="242">
        <v>9.1</v>
      </c>
      <c r="M155" s="369"/>
      <c r="N155" s="242">
        <v>4.08</v>
      </c>
      <c r="O155" s="242">
        <v>8.6999999999999993</v>
      </c>
      <c r="P155" s="369"/>
      <c r="Q155" s="361">
        <v>3</v>
      </c>
    </row>
    <row r="156" spans="1:17" ht="13.5" thickBot="1" x14ac:dyDescent="0.25">
      <c r="B156" s="200" t="s">
        <v>199</v>
      </c>
      <c r="C156" s="377"/>
      <c r="D156" s="362"/>
      <c r="E156" s="362"/>
      <c r="F156" s="363">
        <v>65</v>
      </c>
      <c r="G156" s="362"/>
      <c r="H156" s="362"/>
      <c r="I156" s="362"/>
      <c r="J156" s="363">
        <v>76.900000000000006</v>
      </c>
      <c r="K156" s="362"/>
      <c r="L156" s="362"/>
      <c r="M156" s="367">
        <v>89</v>
      </c>
      <c r="N156" s="362"/>
      <c r="O156" s="362"/>
      <c r="P156" s="434"/>
      <c r="Q156" s="378"/>
    </row>
    <row r="157" spans="1:17" ht="13.5" thickBot="1" x14ac:dyDescent="0.25">
      <c r="B157" s="200"/>
      <c r="C157" s="372"/>
      <c r="D157" s="372"/>
      <c r="E157" s="372"/>
      <c r="F157" s="372"/>
      <c r="G157" s="372"/>
      <c r="H157" s="372"/>
      <c r="I157" s="372"/>
      <c r="J157" s="372"/>
      <c r="K157" s="372"/>
      <c r="L157" s="372"/>
      <c r="M157" s="372"/>
      <c r="N157" s="372"/>
      <c r="O157" s="372"/>
      <c r="P157" s="373"/>
      <c r="Q157" s="175"/>
    </row>
    <row r="158" spans="1:17" x14ac:dyDescent="0.2">
      <c r="C158" s="374"/>
      <c r="D158" s="369"/>
      <c r="E158" s="369"/>
      <c r="F158" s="369"/>
      <c r="G158" s="369"/>
      <c r="H158" s="369"/>
      <c r="I158" s="369"/>
      <c r="J158" s="369"/>
      <c r="K158" s="369"/>
      <c r="L158" s="369"/>
      <c r="M158" s="369"/>
      <c r="N158" s="369"/>
      <c r="O158" s="369"/>
      <c r="P158" s="435"/>
      <c r="Q158" s="376"/>
    </row>
    <row r="159" spans="1:17" x14ac:dyDescent="0.2">
      <c r="A159" s="202" t="s">
        <v>197</v>
      </c>
      <c r="B159" s="200" t="s">
        <v>227</v>
      </c>
      <c r="C159" s="272"/>
      <c r="D159" s="270"/>
      <c r="E159" s="270"/>
      <c r="F159" s="270"/>
      <c r="G159" s="279">
        <v>1</v>
      </c>
      <c r="H159" s="279">
        <v>1</v>
      </c>
      <c r="I159" s="270"/>
      <c r="J159" s="270"/>
      <c r="K159" s="279">
        <v>0.75</v>
      </c>
      <c r="L159" s="270"/>
      <c r="M159" s="270"/>
      <c r="N159" s="270"/>
      <c r="O159" s="270"/>
      <c r="P159" s="279">
        <v>1</v>
      </c>
      <c r="Q159" s="312"/>
    </row>
    <row r="160" spans="1:17" x14ac:dyDescent="0.2">
      <c r="B160" s="200" t="s">
        <v>198</v>
      </c>
      <c r="C160" s="272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326">
        <v>5.25</v>
      </c>
      <c r="O160" s="270"/>
      <c r="P160" s="357"/>
      <c r="Q160" s="312"/>
    </row>
    <row r="161" spans="1:17" x14ac:dyDescent="0.2">
      <c r="B161" s="200" t="s">
        <v>202</v>
      </c>
      <c r="C161" s="272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357"/>
      <c r="Q161" s="312"/>
    </row>
    <row r="162" spans="1:17" x14ac:dyDescent="0.2">
      <c r="B162" s="200" t="s">
        <v>152</v>
      </c>
      <c r="C162" s="272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357"/>
      <c r="Q162" s="312"/>
    </row>
    <row r="163" spans="1:17" x14ac:dyDescent="0.2">
      <c r="B163" s="200"/>
      <c r="C163" s="272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  <c r="O163" s="270"/>
      <c r="P163" s="357"/>
      <c r="Q163" s="312"/>
    </row>
    <row r="164" spans="1:17" ht="13.5" thickBot="1" x14ac:dyDescent="0.25">
      <c r="C164" s="377"/>
      <c r="D164" s="362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434"/>
      <c r="Q164" s="378"/>
    </row>
    <row r="165" spans="1:17" s="360" customFormat="1" x14ac:dyDescent="0.2">
      <c r="A165" s="235"/>
      <c r="B165" s="379"/>
      <c r="C165" s="372"/>
      <c r="D165" s="372"/>
      <c r="E165" s="372"/>
      <c r="F165" s="372"/>
      <c r="G165" s="372"/>
      <c r="H165" s="372"/>
      <c r="I165" s="372"/>
      <c r="J165" s="372"/>
      <c r="K165" s="372"/>
      <c r="L165" s="372"/>
      <c r="M165" s="372"/>
      <c r="N165" s="372"/>
      <c r="O165" s="372"/>
      <c r="P165" s="373"/>
      <c r="Q165" s="380"/>
    </row>
    <row r="166" spans="1:17" ht="13.5" thickBot="1" x14ac:dyDescent="0.25">
      <c r="A166" s="202" t="s">
        <v>147</v>
      </c>
      <c r="C166" s="364"/>
      <c r="D166" s="364"/>
      <c r="E166" s="364"/>
      <c r="F166" s="364"/>
      <c r="G166" s="364"/>
      <c r="H166" s="364"/>
      <c r="I166" s="364"/>
      <c r="J166" s="364"/>
      <c r="K166" s="364"/>
      <c r="L166" s="364"/>
      <c r="M166" s="364"/>
      <c r="N166" s="364"/>
      <c r="O166" s="364"/>
      <c r="P166" s="215"/>
      <c r="Q166" s="175"/>
    </row>
    <row r="167" spans="1:17" ht="13.5" thickBot="1" x14ac:dyDescent="0.25">
      <c r="A167" s="360"/>
      <c r="B167" s="200" t="s">
        <v>196</v>
      </c>
      <c r="C167" s="294">
        <v>5.25</v>
      </c>
      <c r="D167" s="295">
        <v>5.25</v>
      </c>
      <c r="E167" s="242">
        <v>5.25</v>
      </c>
      <c r="F167" s="242">
        <v>5.16</v>
      </c>
      <c r="G167" s="242">
        <v>5.25</v>
      </c>
      <c r="H167" s="296">
        <v>5.25</v>
      </c>
      <c r="I167" s="296">
        <v>5.25</v>
      </c>
      <c r="J167" s="242">
        <v>5.16</v>
      </c>
      <c r="K167" s="242">
        <v>5.25</v>
      </c>
      <c r="L167" s="242">
        <v>5.16</v>
      </c>
      <c r="M167" s="381">
        <v>5.25</v>
      </c>
      <c r="N167" s="242">
        <v>5.25</v>
      </c>
      <c r="O167" s="242">
        <v>5.25</v>
      </c>
      <c r="P167" s="244">
        <v>5.25</v>
      </c>
      <c r="Q167" s="244">
        <v>5.25</v>
      </c>
    </row>
    <row r="168" spans="1:17" ht="13.5" thickBot="1" x14ac:dyDescent="0.25">
      <c r="B168" s="200" t="s">
        <v>178</v>
      </c>
      <c r="C168" s="282">
        <v>6.56</v>
      </c>
      <c r="D168" s="427"/>
      <c r="E168" s="262">
        <v>5.25</v>
      </c>
      <c r="F168" s="260">
        <v>16.7</v>
      </c>
      <c r="G168" s="262">
        <v>17.39</v>
      </c>
      <c r="H168" s="262">
        <v>17.39</v>
      </c>
      <c r="I168" s="262">
        <v>17.39</v>
      </c>
      <c r="J168" s="262">
        <v>5.16</v>
      </c>
      <c r="K168" s="262">
        <v>9.9700000000000006</v>
      </c>
      <c r="L168" s="262">
        <v>14.4</v>
      </c>
      <c r="M168" s="262">
        <v>18.989999999999998</v>
      </c>
      <c r="N168" s="262">
        <v>5.25</v>
      </c>
      <c r="O168" s="260">
        <v>14.52</v>
      </c>
      <c r="P168" s="264"/>
      <c r="Q168" s="244">
        <v>19.25</v>
      </c>
    </row>
    <row r="169" spans="1:17" x14ac:dyDescent="0.2">
      <c r="B169" s="200" t="s">
        <v>177</v>
      </c>
      <c r="C169" s="282">
        <v>6.56</v>
      </c>
      <c r="D169" s="427"/>
      <c r="E169" s="262">
        <v>5.25</v>
      </c>
      <c r="F169" s="260">
        <v>16.7</v>
      </c>
      <c r="G169" s="262">
        <v>17.39</v>
      </c>
      <c r="H169" s="262">
        <v>17.39</v>
      </c>
      <c r="I169" s="262">
        <v>17.39</v>
      </c>
      <c r="J169" s="262">
        <v>5.16</v>
      </c>
      <c r="K169" s="262">
        <v>9.9700000000000006</v>
      </c>
      <c r="L169" s="262">
        <v>14.4</v>
      </c>
      <c r="M169" s="262">
        <v>18.989999999999998</v>
      </c>
      <c r="N169" s="262">
        <v>5.25</v>
      </c>
      <c r="O169" s="260">
        <v>14.52</v>
      </c>
      <c r="P169" s="264"/>
      <c r="Q169" s="244">
        <v>19.25</v>
      </c>
    </row>
    <row r="170" spans="1:17" x14ac:dyDescent="0.2">
      <c r="B170" s="200" t="s">
        <v>288</v>
      </c>
      <c r="C170" s="282">
        <v>5.25</v>
      </c>
      <c r="D170" s="427"/>
      <c r="E170" s="268"/>
      <c r="F170" s="266"/>
      <c r="G170" s="382"/>
      <c r="H170" s="382"/>
      <c r="I170" s="382"/>
      <c r="J170" s="268"/>
      <c r="K170" s="268"/>
      <c r="L170" s="268"/>
      <c r="M170" s="279">
        <v>858</v>
      </c>
      <c r="N170" s="268"/>
      <c r="O170" s="266"/>
      <c r="P170" s="264"/>
      <c r="Q170" s="383"/>
    </row>
    <row r="171" spans="1:17" x14ac:dyDescent="0.2">
      <c r="B171" s="200" t="s">
        <v>151</v>
      </c>
      <c r="C171" s="282">
        <v>5.25</v>
      </c>
      <c r="D171" s="427"/>
      <c r="E171" s="262">
        <v>5.25</v>
      </c>
      <c r="F171" s="260">
        <v>18.98</v>
      </c>
      <c r="G171" s="270"/>
      <c r="H171" s="270"/>
      <c r="I171" s="270"/>
      <c r="J171" s="270"/>
      <c r="K171" s="270"/>
      <c r="L171" s="270"/>
      <c r="M171" s="384">
        <v>29.67</v>
      </c>
      <c r="N171" s="270"/>
      <c r="O171" s="270"/>
      <c r="P171" s="264"/>
      <c r="Q171" s="312"/>
    </row>
    <row r="172" spans="1:17" x14ac:dyDescent="0.2">
      <c r="B172" s="200" t="s">
        <v>194</v>
      </c>
      <c r="C172" s="385"/>
      <c r="D172" s="432"/>
      <c r="E172" s="270"/>
      <c r="F172" s="270"/>
      <c r="G172" s="270"/>
      <c r="H172" s="270"/>
      <c r="I172" s="270"/>
      <c r="J172" s="270"/>
      <c r="K172" s="270"/>
      <c r="L172" s="262">
        <v>14.4</v>
      </c>
      <c r="M172" s="274">
        <v>28.98</v>
      </c>
      <c r="N172" s="270"/>
      <c r="O172" s="270"/>
      <c r="P172" s="264"/>
      <c r="Q172" s="312"/>
    </row>
    <row r="173" spans="1:17" x14ac:dyDescent="0.2">
      <c r="B173" s="200" t="s">
        <v>268</v>
      </c>
      <c r="C173" s="387"/>
      <c r="D173" s="427"/>
      <c r="E173" s="389"/>
      <c r="F173" s="389"/>
      <c r="G173" s="389"/>
      <c r="H173" s="389"/>
      <c r="I173" s="389"/>
      <c r="J173" s="389"/>
      <c r="K173" s="389"/>
      <c r="L173" s="389"/>
      <c r="M173" s="326">
        <v>33.25</v>
      </c>
      <c r="N173" s="268"/>
      <c r="O173" s="270"/>
      <c r="P173" s="264"/>
      <c r="Q173" s="312"/>
    </row>
    <row r="174" spans="1:17" x14ac:dyDescent="0.2">
      <c r="B174" s="200" t="s">
        <v>231</v>
      </c>
      <c r="C174" s="259">
        <v>157.5</v>
      </c>
      <c r="D174" s="426"/>
      <c r="E174" s="275"/>
      <c r="F174" s="266"/>
      <c r="G174" s="260">
        <v>886.09</v>
      </c>
      <c r="H174" s="389"/>
      <c r="I174" s="389"/>
      <c r="J174" s="275"/>
      <c r="K174" s="275"/>
      <c r="L174" s="268"/>
      <c r="M174" s="280"/>
      <c r="N174" s="280"/>
      <c r="O174" s="280"/>
      <c r="P174" s="264"/>
      <c r="Q174" s="316"/>
    </row>
    <row r="175" spans="1:17" x14ac:dyDescent="0.2">
      <c r="B175" s="200" t="s">
        <v>232</v>
      </c>
      <c r="C175" s="259">
        <v>157.5</v>
      </c>
      <c r="D175" s="426"/>
      <c r="E175" s="275"/>
      <c r="F175" s="266"/>
      <c r="G175" s="266"/>
      <c r="H175" s="389"/>
      <c r="I175" s="389"/>
      <c r="J175" s="275"/>
      <c r="K175" s="275"/>
      <c r="L175" s="268"/>
      <c r="M175" s="280"/>
      <c r="N175" s="280"/>
      <c r="O175" s="280"/>
      <c r="P175" s="264"/>
      <c r="Q175" s="316"/>
    </row>
    <row r="176" spans="1:17" x14ac:dyDescent="0.2">
      <c r="B176" s="200" t="s">
        <v>265</v>
      </c>
      <c r="C176" s="259">
        <v>157.5</v>
      </c>
      <c r="D176" s="426"/>
      <c r="E176" s="275"/>
      <c r="F176" s="266"/>
      <c r="G176" s="266"/>
      <c r="H176" s="389"/>
      <c r="I176" s="389"/>
      <c r="J176" s="275"/>
      <c r="K176" s="275"/>
      <c r="L176" s="268"/>
      <c r="M176" s="280"/>
      <c r="N176" s="280"/>
      <c r="O176" s="280"/>
      <c r="P176" s="264"/>
      <c r="Q176" s="316"/>
    </row>
    <row r="177" spans="1:17" x14ac:dyDescent="0.2">
      <c r="B177" s="281" t="s">
        <v>223</v>
      </c>
      <c r="C177" s="282">
        <v>157.5</v>
      </c>
      <c r="D177" s="427"/>
      <c r="E177" s="260">
        <v>189</v>
      </c>
      <c r="F177" s="270"/>
      <c r="G177" s="262">
        <v>1458.73</v>
      </c>
      <c r="H177" s="389"/>
      <c r="I177" s="389"/>
      <c r="J177" s="262">
        <v>206.4</v>
      </c>
      <c r="K177" s="270"/>
      <c r="L177" s="270"/>
      <c r="M177" s="262">
        <v>1636.84</v>
      </c>
      <c r="N177" s="270"/>
      <c r="O177" s="270"/>
      <c r="P177" s="264"/>
      <c r="Q177" s="312"/>
    </row>
    <row r="178" spans="1:17" x14ac:dyDescent="0.2">
      <c r="B178" s="281" t="s">
        <v>224</v>
      </c>
      <c r="C178" s="282">
        <v>157.5</v>
      </c>
      <c r="D178" s="427"/>
      <c r="E178" s="270"/>
      <c r="F178" s="275"/>
      <c r="G178" s="390">
        <v>830.5</v>
      </c>
      <c r="H178" s="389"/>
      <c r="I178" s="389"/>
      <c r="J178" s="270"/>
      <c r="K178" s="275"/>
      <c r="L178" s="275"/>
      <c r="M178" s="270"/>
      <c r="N178" s="275"/>
      <c r="O178" s="275"/>
      <c r="P178" s="277"/>
      <c r="Q178" s="315"/>
    </row>
    <row r="179" spans="1:17" x14ac:dyDescent="0.2">
      <c r="A179" s="339"/>
      <c r="B179" s="200" t="s">
        <v>226</v>
      </c>
      <c r="C179" s="282">
        <v>6.56</v>
      </c>
      <c r="D179" s="427"/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317"/>
      <c r="Q179" s="318"/>
    </row>
    <row r="180" spans="1:17" x14ac:dyDescent="0.2">
      <c r="A180" s="339"/>
      <c r="B180" s="200" t="s">
        <v>284</v>
      </c>
      <c r="C180" s="282">
        <v>6.56</v>
      </c>
      <c r="D180" s="427"/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317"/>
      <c r="Q180" s="318"/>
    </row>
    <row r="181" spans="1:17" x14ac:dyDescent="0.2">
      <c r="A181" s="339"/>
      <c r="B181" s="289" t="s">
        <v>293</v>
      </c>
      <c r="C181" s="387"/>
      <c r="D181" s="388"/>
      <c r="E181" s="389"/>
      <c r="F181" s="389"/>
      <c r="G181" s="389"/>
      <c r="H181" s="389"/>
      <c r="I181" s="389"/>
      <c r="J181" s="389"/>
      <c r="K181" s="389"/>
      <c r="L181" s="389"/>
      <c r="M181" s="389"/>
      <c r="N181" s="268"/>
      <c r="O181" s="270"/>
      <c r="P181" s="264"/>
      <c r="Q181" s="312"/>
    </row>
    <row r="182" spans="1:17" x14ac:dyDescent="0.2">
      <c r="A182" s="339"/>
      <c r="B182" s="289" t="s">
        <v>294</v>
      </c>
      <c r="C182" s="385"/>
      <c r="D182" s="386"/>
      <c r="E182" s="270"/>
      <c r="F182" s="270"/>
      <c r="G182" s="270"/>
      <c r="H182" s="270"/>
      <c r="I182" s="270"/>
      <c r="J182" s="270"/>
      <c r="K182" s="270"/>
      <c r="L182" s="262">
        <v>14.4</v>
      </c>
      <c r="M182" s="270"/>
      <c r="N182" s="270"/>
      <c r="O182" s="270"/>
      <c r="P182" s="264"/>
      <c r="Q182" s="312"/>
    </row>
    <row r="183" spans="1:17" x14ac:dyDescent="0.2">
      <c r="A183" s="339"/>
      <c r="B183" s="289" t="s">
        <v>295</v>
      </c>
      <c r="C183" s="271"/>
      <c r="D183" s="271"/>
      <c r="E183" s="270"/>
      <c r="F183" s="270"/>
      <c r="G183" s="270"/>
      <c r="H183" s="270"/>
      <c r="I183" s="270"/>
      <c r="J183" s="270"/>
      <c r="K183" s="270"/>
      <c r="L183" s="268"/>
      <c r="M183" s="274">
        <v>26.85</v>
      </c>
      <c r="N183" s="270"/>
      <c r="O183" s="270"/>
      <c r="P183" s="264"/>
      <c r="Q183" s="312"/>
    </row>
    <row r="184" spans="1:17" x14ac:dyDescent="0.2">
      <c r="A184" s="339"/>
      <c r="B184" s="289" t="s">
        <v>296</v>
      </c>
      <c r="C184" s="271"/>
      <c r="D184" s="271"/>
      <c r="E184" s="270"/>
      <c r="F184" s="270"/>
      <c r="G184" s="270"/>
      <c r="H184" s="270"/>
      <c r="I184" s="270"/>
      <c r="J184" s="270"/>
      <c r="K184" s="270"/>
      <c r="L184" s="268"/>
      <c r="M184" s="274">
        <v>25.48</v>
      </c>
      <c r="N184" s="270"/>
      <c r="O184" s="270"/>
      <c r="P184" s="264"/>
      <c r="Q184" s="312"/>
    </row>
    <row r="185" spans="1:17" ht="8.25" customHeight="1" x14ac:dyDescent="0.2">
      <c r="B185" s="200"/>
      <c r="C185" s="271"/>
      <c r="D185" s="271"/>
      <c r="E185" s="270"/>
      <c r="F185" s="270"/>
      <c r="G185" s="270"/>
      <c r="H185" s="270"/>
      <c r="I185" s="270"/>
      <c r="J185" s="270"/>
      <c r="K185" s="270"/>
      <c r="L185" s="268"/>
      <c r="M185" s="274">
        <v>30.84</v>
      </c>
      <c r="N185" s="270"/>
      <c r="O185" s="270"/>
      <c r="P185" s="264"/>
      <c r="Q185" s="312"/>
    </row>
    <row r="186" spans="1:17" x14ac:dyDescent="0.2">
      <c r="C186" s="271"/>
      <c r="D186" s="271"/>
      <c r="E186" s="270"/>
      <c r="F186" s="270"/>
      <c r="G186" s="270"/>
      <c r="H186" s="270"/>
      <c r="I186" s="270"/>
      <c r="J186" s="270"/>
      <c r="K186" s="270"/>
      <c r="L186" s="268"/>
      <c r="M186" s="274">
        <v>28.06</v>
      </c>
      <c r="N186" s="270"/>
      <c r="O186" s="270"/>
      <c r="P186" s="264"/>
      <c r="Q186" s="312"/>
    </row>
    <row r="187" spans="1:17" x14ac:dyDescent="0.2">
      <c r="C187" s="372"/>
      <c r="D187" s="372"/>
      <c r="E187" s="372"/>
      <c r="F187" s="372"/>
      <c r="G187" s="372"/>
      <c r="H187" s="372"/>
      <c r="I187" s="372"/>
      <c r="J187" s="372"/>
      <c r="K187" s="372"/>
      <c r="L187" s="372"/>
      <c r="M187" s="372"/>
      <c r="N187" s="372"/>
      <c r="O187" s="372"/>
      <c r="P187" s="373"/>
      <c r="Q187" s="175"/>
    </row>
    <row r="188" spans="1:17" ht="13.5" thickBot="1" x14ac:dyDescent="0.25">
      <c r="C188" s="364"/>
      <c r="D188" s="364"/>
      <c r="E188" s="364"/>
      <c r="F188" s="364"/>
      <c r="G188" s="364"/>
      <c r="H188" s="364"/>
      <c r="I188" s="364"/>
      <c r="J188" s="364"/>
      <c r="K188" s="364"/>
      <c r="L188" s="364"/>
      <c r="M188" s="364"/>
      <c r="N188" s="364"/>
      <c r="O188" s="364"/>
      <c r="P188" s="215"/>
      <c r="Q188" s="175"/>
    </row>
    <row r="189" spans="1:17" ht="13.5" thickBot="1" x14ac:dyDescent="0.25">
      <c r="A189" s="202" t="s">
        <v>79</v>
      </c>
      <c r="B189" s="200" t="s">
        <v>187</v>
      </c>
      <c r="C189" s="391">
        <v>1914.7</v>
      </c>
      <c r="D189" s="404"/>
      <c r="E189" s="392">
        <v>1642.68</v>
      </c>
      <c r="F189" s="370"/>
      <c r="G189" s="393">
        <v>1633.68</v>
      </c>
      <c r="H189" s="370"/>
      <c r="I189" s="370"/>
      <c r="J189" s="393">
        <v>1746.24</v>
      </c>
      <c r="K189" s="370"/>
      <c r="L189" s="394">
        <v>2043.6</v>
      </c>
      <c r="M189" s="395">
        <v>1366.18</v>
      </c>
      <c r="N189" s="370"/>
      <c r="O189" s="370"/>
      <c r="P189" s="220"/>
      <c r="Q189" s="223"/>
    </row>
    <row r="190" spans="1:17" ht="13.5" thickBot="1" x14ac:dyDescent="0.25">
      <c r="B190" s="200" t="s">
        <v>188</v>
      </c>
      <c r="C190" s="391">
        <v>1914.7</v>
      </c>
      <c r="D190" s="404"/>
      <c r="E190" s="392">
        <v>1642.68</v>
      </c>
      <c r="F190" s="370"/>
      <c r="G190" s="393">
        <v>1633.68</v>
      </c>
      <c r="H190" s="370"/>
      <c r="I190" s="370"/>
      <c r="J190" s="393">
        <v>1746.24</v>
      </c>
      <c r="K190" s="370"/>
      <c r="L190" s="394">
        <v>2043.6</v>
      </c>
      <c r="M190" s="395">
        <v>1366.18</v>
      </c>
      <c r="N190" s="370"/>
      <c r="O190" s="370"/>
      <c r="P190" s="220"/>
      <c r="Q190" s="223"/>
    </row>
    <row r="191" spans="1:17" ht="13.5" thickBot="1" x14ac:dyDescent="0.25">
      <c r="C191" s="396"/>
      <c r="D191" s="396"/>
      <c r="E191" s="364"/>
      <c r="F191" s="364"/>
      <c r="G191" s="364"/>
      <c r="H191" s="364"/>
      <c r="I191" s="364"/>
      <c r="J191" s="364"/>
      <c r="K191" s="364"/>
      <c r="L191" s="364"/>
      <c r="M191" s="364"/>
      <c r="N191" s="364"/>
      <c r="O191" s="364"/>
      <c r="P191" s="215"/>
    </row>
    <row r="192" spans="1:17" ht="13.5" thickBot="1" x14ac:dyDescent="0.25">
      <c r="A192" s="202" t="s">
        <v>101</v>
      </c>
      <c r="B192" s="200" t="s">
        <v>187</v>
      </c>
      <c r="C192" s="391">
        <v>1738.98</v>
      </c>
      <c r="D192" s="404"/>
      <c r="E192" s="370"/>
      <c r="F192" s="370"/>
      <c r="G192" s="393">
        <v>1633.68</v>
      </c>
      <c r="H192" s="370"/>
      <c r="I192" s="370"/>
      <c r="J192" s="370"/>
      <c r="K192" s="370"/>
      <c r="L192" s="370"/>
      <c r="M192" s="370"/>
      <c r="N192" s="370"/>
      <c r="O192" s="370"/>
      <c r="P192" s="220"/>
      <c r="Q192" s="223"/>
    </row>
    <row r="193" spans="1:17" ht="13.5" thickBot="1" x14ac:dyDescent="0.25">
      <c r="B193" s="200" t="s">
        <v>188</v>
      </c>
      <c r="C193" s="391">
        <v>1738.98</v>
      </c>
      <c r="D193" s="404"/>
      <c r="E193" s="370"/>
      <c r="F193" s="370"/>
      <c r="G193" s="393">
        <v>1633.68</v>
      </c>
      <c r="H193" s="370"/>
      <c r="I193" s="370"/>
      <c r="J193" s="370"/>
      <c r="K193" s="370"/>
      <c r="L193" s="370"/>
      <c r="M193" s="370"/>
      <c r="N193" s="370"/>
      <c r="O193" s="370"/>
      <c r="P193" s="220"/>
      <c r="Q193" s="223"/>
    </row>
    <row r="194" spans="1:17" ht="13.5" thickBot="1" x14ac:dyDescent="0.25">
      <c r="C194" s="396"/>
      <c r="D194" s="396"/>
      <c r="E194" s="364"/>
      <c r="F194" s="364"/>
      <c r="G194" s="364"/>
      <c r="H194" s="364"/>
      <c r="I194" s="364"/>
      <c r="J194" s="364"/>
      <c r="K194" s="364"/>
      <c r="L194" s="364"/>
      <c r="M194" s="364"/>
      <c r="N194" s="364"/>
      <c r="O194" s="364"/>
      <c r="P194" s="215"/>
    </row>
    <row r="195" spans="1:17" ht="13.5" thickBot="1" x14ac:dyDescent="0.25">
      <c r="A195" s="202" t="s">
        <v>132</v>
      </c>
      <c r="B195" s="200" t="s">
        <v>187</v>
      </c>
      <c r="C195" s="391">
        <v>1870.74</v>
      </c>
      <c r="D195" s="404"/>
      <c r="E195" s="397"/>
      <c r="F195" s="398"/>
      <c r="G195" s="392">
        <v>1633.68</v>
      </c>
      <c r="H195" s="370"/>
      <c r="I195" s="370"/>
      <c r="J195" s="397"/>
      <c r="K195" s="397"/>
      <c r="L195" s="399"/>
      <c r="M195" s="400"/>
      <c r="N195" s="400"/>
      <c r="O195" s="400"/>
      <c r="P195" s="220"/>
      <c r="Q195" s="223"/>
    </row>
    <row r="196" spans="1:17" ht="13.5" thickBot="1" x14ac:dyDescent="0.25">
      <c r="B196" s="200" t="s">
        <v>188</v>
      </c>
      <c r="C196" s="391">
        <v>1870.74</v>
      </c>
      <c r="D196" s="404"/>
      <c r="E196" s="397"/>
      <c r="F196" s="398"/>
      <c r="G196" s="392">
        <v>1633.68</v>
      </c>
      <c r="H196" s="370"/>
      <c r="I196" s="370"/>
      <c r="J196" s="397"/>
      <c r="K196" s="397"/>
      <c r="L196" s="399"/>
      <c r="M196" s="400"/>
      <c r="N196" s="400"/>
      <c r="O196" s="400"/>
      <c r="P196" s="220"/>
      <c r="Q196" s="223"/>
    </row>
    <row r="197" spans="1:17" ht="13.5" thickBot="1" x14ac:dyDescent="0.25">
      <c r="C197" s="291"/>
      <c r="D197" s="291"/>
      <c r="E197" s="372"/>
      <c r="F197" s="372"/>
      <c r="G197" s="372"/>
      <c r="H197" s="372"/>
      <c r="I197" s="372"/>
      <c r="J197" s="372"/>
      <c r="K197" s="372"/>
      <c r="L197" s="372"/>
      <c r="M197" s="372"/>
      <c r="N197" s="372"/>
      <c r="O197" s="372"/>
      <c r="P197" s="373"/>
    </row>
    <row r="198" spans="1:17" ht="13.5" thickBot="1" x14ac:dyDescent="0.25">
      <c r="A198" s="202" t="s">
        <v>142</v>
      </c>
      <c r="B198" s="200" t="s">
        <v>201</v>
      </c>
      <c r="C198" s="391">
        <v>1211.82</v>
      </c>
      <c r="D198" s="404"/>
      <c r="E198" s="370"/>
      <c r="F198" s="370"/>
      <c r="G198" s="370"/>
      <c r="H198" s="370"/>
      <c r="I198" s="370"/>
      <c r="J198" s="370"/>
      <c r="K198" s="370"/>
      <c r="L198" s="370"/>
      <c r="M198" s="370"/>
      <c r="N198" s="370"/>
      <c r="O198" s="370"/>
      <c r="P198" s="214"/>
      <c r="Q198" s="222"/>
    </row>
    <row r="199" spans="1:17" ht="9.9499999999999993" customHeight="1" thickBot="1" x14ac:dyDescent="0.25">
      <c r="C199" s="396"/>
      <c r="D199" s="396"/>
      <c r="E199" s="364"/>
      <c r="F199" s="364"/>
      <c r="G199" s="364"/>
      <c r="H199" s="364"/>
      <c r="I199" s="364"/>
      <c r="J199" s="364"/>
      <c r="K199" s="364"/>
      <c r="L199" s="364"/>
      <c r="M199" s="364"/>
      <c r="N199" s="364"/>
      <c r="O199" s="364"/>
      <c r="P199" s="215"/>
    </row>
    <row r="200" spans="1:17" ht="13.5" thickBot="1" x14ac:dyDescent="0.25">
      <c r="A200" s="202" t="s">
        <v>156</v>
      </c>
      <c r="B200" s="200" t="s">
        <v>200</v>
      </c>
      <c r="C200" s="391">
        <v>1080</v>
      </c>
      <c r="D200" s="404"/>
      <c r="E200" s="370"/>
      <c r="F200" s="370"/>
      <c r="G200" s="370"/>
      <c r="H200" s="370"/>
      <c r="I200" s="370"/>
      <c r="J200" s="370"/>
      <c r="K200" s="370"/>
      <c r="L200" s="370"/>
      <c r="M200" s="370"/>
      <c r="N200" s="370"/>
      <c r="O200" s="370"/>
      <c r="P200" s="220"/>
      <c r="Q200" s="223"/>
    </row>
    <row r="201" spans="1:17" ht="13.5" thickBot="1" x14ac:dyDescent="0.25">
      <c r="B201" s="200"/>
      <c r="C201" s="205"/>
      <c r="D201" s="205"/>
      <c r="E201" s="234"/>
      <c r="F201" s="401"/>
      <c r="G201" s="401"/>
      <c r="H201" s="401"/>
      <c r="I201" s="401"/>
      <c r="J201" s="401"/>
      <c r="K201" s="401"/>
      <c r="L201" s="401"/>
      <c r="M201" s="401"/>
      <c r="N201" s="401"/>
      <c r="O201" s="401"/>
      <c r="P201" s="402"/>
    </row>
    <row r="202" spans="1:17" ht="13.5" thickBot="1" x14ac:dyDescent="0.25">
      <c r="C202" s="403"/>
      <c r="D202" s="404"/>
      <c r="E202" s="370"/>
      <c r="F202" s="370"/>
      <c r="G202" s="370"/>
      <c r="H202" s="370"/>
      <c r="I202" s="370"/>
      <c r="J202" s="370"/>
      <c r="K202" s="370"/>
      <c r="L202" s="370"/>
      <c r="M202" s="394">
        <v>902.66</v>
      </c>
      <c r="N202" s="370"/>
      <c r="O202" s="370"/>
      <c r="P202" s="220"/>
      <c r="Q202" s="223"/>
    </row>
    <row r="203" spans="1:17" x14ac:dyDescent="0.2">
      <c r="B203" s="200" t="s">
        <v>103</v>
      </c>
      <c r="C203" s="205"/>
      <c r="D203" s="205"/>
      <c r="E203" s="234"/>
      <c r="F203" s="401"/>
      <c r="G203" s="401"/>
      <c r="H203" s="401"/>
      <c r="I203" s="401"/>
      <c r="J203" s="401"/>
      <c r="K203" s="401"/>
      <c r="L203" s="401"/>
      <c r="M203" s="401"/>
      <c r="N203" s="401"/>
      <c r="O203" s="401"/>
      <c r="P203" s="402"/>
      <c r="Q203" s="175"/>
    </row>
    <row r="204" spans="1:17" ht="51.75" thickBot="1" x14ac:dyDescent="0.25">
      <c r="A204" s="202" t="s">
        <v>102</v>
      </c>
      <c r="C204" s="405"/>
      <c r="D204" s="405"/>
      <c r="E204" s="406" t="s">
        <v>143</v>
      </c>
      <c r="F204" s="407"/>
      <c r="G204" s="407" t="s">
        <v>81</v>
      </c>
      <c r="H204" s="407"/>
      <c r="I204" s="407"/>
      <c r="J204" s="407"/>
      <c r="K204" s="407"/>
      <c r="L204" s="407"/>
      <c r="M204" s="407"/>
      <c r="N204" s="407"/>
      <c r="O204" s="407"/>
      <c r="P204" s="408"/>
      <c r="Q204" s="175"/>
    </row>
    <row r="205" spans="1:17" x14ac:dyDescent="0.2">
      <c r="B205" s="200" t="s">
        <v>75</v>
      </c>
      <c r="C205" s="374"/>
      <c r="D205" s="375"/>
      <c r="E205" s="242">
        <v>20</v>
      </c>
      <c r="F205" s="369"/>
      <c r="G205" s="242">
        <v>20</v>
      </c>
      <c r="H205" s="369"/>
      <c r="I205" s="369"/>
      <c r="J205" s="369"/>
      <c r="K205" s="369"/>
      <c r="L205" s="369"/>
      <c r="M205" s="369"/>
      <c r="N205" s="369"/>
      <c r="O205" s="369"/>
      <c r="P205" s="409"/>
      <c r="Q205" s="410"/>
    </row>
    <row r="206" spans="1:17" ht="13.5" thickBot="1" x14ac:dyDescent="0.25">
      <c r="B206" s="200" t="s">
        <v>74</v>
      </c>
      <c r="C206" s="411"/>
      <c r="D206" s="412"/>
      <c r="E206" s="371">
        <v>2</v>
      </c>
      <c r="F206" s="413"/>
      <c r="G206" s="371">
        <v>1.5</v>
      </c>
      <c r="H206" s="413"/>
      <c r="I206" s="413"/>
      <c r="J206" s="413"/>
      <c r="K206" s="413"/>
      <c r="L206" s="413"/>
      <c r="M206" s="413"/>
      <c r="N206" s="413"/>
      <c r="O206" s="413"/>
      <c r="P206" s="221"/>
      <c r="Q206" s="224"/>
    </row>
    <row r="207" spans="1:17" ht="13.5" thickBot="1" x14ac:dyDescent="0.25">
      <c r="C207" s="175"/>
      <c r="D207" s="175"/>
      <c r="E207" s="360"/>
      <c r="F207" s="175"/>
      <c r="G207" s="360"/>
      <c r="H207" s="360"/>
      <c r="I207" s="360"/>
      <c r="J207" s="175"/>
      <c r="K207" s="175"/>
      <c r="L207" s="175"/>
      <c r="M207" s="175"/>
      <c r="N207" s="175"/>
      <c r="O207" s="175"/>
      <c r="P207" s="175"/>
      <c r="Q207" s="175"/>
    </row>
    <row r="208" spans="1:17" ht="13.5" thickBot="1" x14ac:dyDescent="0.25">
      <c r="A208" s="202" t="s">
        <v>80</v>
      </c>
      <c r="B208" s="202"/>
      <c r="C208" s="414">
        <v>200</v>
      </c>
      <c r="D208" s="415">
        <v>200</v>
      </c>
      <c r="E208" s="416">
        <v>200</v>
      </c>
      <c r="F208" s="370"/>
      <c r="G208" s="416">
        <v>200</v>
      </c>
      <c r="H208" s="416">
        <v>200</v>
      </c>
      <c r="I208" s="416">
        <v>200</v>
      </c>
      <c r="J208" s="416">
        <v>200</v>
      </c>
      <c r="K208" s="416">
        <v>200</v>
      </c>
      <c r="L208" s="416">
        <v>200</v>
      </c>
      <c r="M208" s="416">
        <v>200</v>
      </c>
      <c r="N208" s="370"/>
      <c r="O208" s="370"/>
      <c r="P208" s="417">
        <v>200</v>
      </c>
      <c r="Q208" s="418">
        <v>200</v>
      </c>
    </row>
    <row r="209" spans="1:2" ht="13.5" customHeight="1" x14ac:dyDescent="0.2">
      <c r="B209" s="206" t="s">
        <v>245</v>
      </c>
    </row>
    <row r="210" spans="1:2" ht="5.45" customHeight="1" x14ac:dyDescent="0.2">
      <c r="B210" s="206" t="s">
        <v>106</v>
      </c>
    </row>
    <row r="211" spans="1:2" x14ac:dyDescent="0.2">
      <c r="A211" s="235" t="s">
        <v>313</v>
      </c>
      <c r="B211" s="206"/>
    </row>
    <row r="212" spans="1:2" x14ac:dyDescent="0.2">
      <c r="B212" s="206"/>
    </row>
    <row r="213" spans="1:2" x14ac:dyDescent="0.2">
      <c r="B213" s="206"/>
    </row>
  </sheetData>
  <mergeCells count="4">
    <mergeCell ref="A8:N8"/>
    <mergeCell ref="A4:M4"/>
    <mergeCell ref="A6:O6"/>
    <mergeCell ref="A5:P5"/>
  </mergeCells>
  <phoneticPr fontId="0" type="noConversion"/>
  <printOptions horizontalCentered="1" headings="1"/>
  <pageMargins left="0.25" right="0.25" top="0.4" bottom="0.4" header="0.5" footer="0.25"/>
  <pageSetup paperSize="5" scale="70" fitToHeight="0" orientation="landscape" r:id="rId1"/>
  <headerFooter alignWithMargins="0">
    <oddFooter>&amp;L
&amp;R&amp;"Book Antiqua,Regular"&amp;8Office of Planning and  Institutional Research, Board of Governors, State University System of Florida,  &amp;F&amp;A  &amp;D</oddFooter>
  </headerFooter>
  <rowBreaks count="3" manualBreakCount="3">
    <brk id="54" max="16" man="1"/>
    <brk id="98" max="16" man="1"/>
    <brk id="141" max="1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7" sqref="A7"/>
    </sheetView>
  </sheetViews>
  <sheetFormatPr defaultColWidth="9.140625" defaultRowHeight="15" x14ac:dyDescent="0.25"/>
  <cols>
    <col min="1" max="1" width="19.7109375" style="159" bestFit="1" customWidth="1"/>
    <col min="2" max="2" width="16.7109375" style="159" customWidth="1"/>
    <col min="3" max="3" width="18.85546875" style="159" customWidth="1"/>
    <col min="4" max="4" width="16" style="159" customWidth="1"/>
    <col min="5" max="5" width="15.7109375" style="159" customWidth="1"/>
    <col min="6" max="6" width="17.5703125" style="159" customWidth="1"/>
    <col min="7" max="7" width="18.28515625" style="159" customWidth="1"/>
    <col min="8" max="16384" width="9.140625" style="159"/>
  </cols>
  <sheetData>
    <row r="1" spans="1:7" x14ac:dyDescent="0.25">
      <c r="A1" s="160" t="s">
        <v>299</v>
      </c>
      <c r="B1" s="445" t="s">
        <v>300</v>
      </c>
      <c r="C1" s="445"/>
      <c r="D1" s="445"/>
      <c r="E1" s="445"/>
      <c r="F1" s="445"/>
      <c r="G1" s="161"/>
    </row>
    <row r="2" spans="1:7" x14ac:dyDescent="0.25">
      <c r="A2" s="162"/>
      <c r="B2" s="163"/>
      <c r="C2" s="163"/>
      <c r="D2" s="163"/>
      <c r="E2" s="163"/>
      <c r="F2" s="163"/>
      <c r="G2" s="164"/>
    </row>
    <row r="3" spans="1:7" x14ac:dyDescent="0.25">
      <c r="A3" s="162"/>
      <c r="B3" s="165" t="s">
        <v>301</v>
      </c>
      <c r="C3" s="165" t="s">
        <v>302</v>
      </c>
      <c r="D3" s="165" t="s">
        <v>303</v>
      </c>
      <c r="E3" s="165" t="s">
        <v>304</v>
      </c>
      <c r="F3" s="165" t="s">
        <v>305</v>
      </c>
      <c r="G3" s="166" t="s">
        <v>136</v>
      </c>
    </row>
    <row r="4" spans="1:7" x14ac:dyDescent="0.25">
      <c r="A4" s="167" t="s">
        <v>306</v>
      </c>
      <c r="B4" s="168"/>
      <c r="C4" s="168"/>
      <c r="D4" s="168"/>
      <c r="E4" s="168"/>
      <c r="F4" s="168"/>
      <c r="G4" s="169">
        <f>SUM(B4:F4)</f>
        <v>0</v>
      </c>
    </row>
    <row r="5" spans="1:7" ht="15.75" thickBot="1" x14ac:dyDescent="0.3">
      <c r="A5" s="170" t="s">
        <v>307</v>
      </c>
      <c r="B5" s="171"/>
      <c r="C5" s="171"/>
      <c r="D5" s="171"/>
      <c r="E5" s="171"/>
      <c r="F5" s="171"/>
      <c r="G5" s="172">
        <f>SUM(B5:F5)</f>
        <v>0</v>
      </c>
    </row>
    <row r="6" spans="1:7" x14ac:dyDescent="0.25">
      <c r="B6" s="173"/>
      <c r="C6" s="173"/>
      <c r="D6" s="173"/>
      <c r="E6" s="173"/>
      <c r="F6" s="173"/>
      <c r="G6" s="173"/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A14" sqref="A14"/>
    </sheetView>
  </sheetViews>
  <sheetFormatPr defaultRowHeight="12.75" x14ac:dyDescent="0.2"/>
  <cols>
    <col min="1" max="1" width="49.28515625" customWidth="1"/>
    <col min="2" max="2" width="12.7109375" customWidth="1"/>
  </cols>
  <sheetData>
    <row r="1" spans="1:13" s="92" customFormat="1" ht="16.5" customHeight="1" x14ac:dyDescent="0.3">
      <c r="A1" s="89" t="s">
        <v>163</v>
      </c>
      <c r="B1" s="90"/>
      <c r="C1" s="96"/>
      <c r="D1" s="96"/>
      <c r="E1" s="96"/>
      <c r="F1" s="96"/>
      <c r="G1" s="96"/>
      <c r="H1" s="96"/>
      <c r="I1" s="96"/>
      <c r="J1" s="96"/>
      <c r="K1" s="96"/>
      <c r="L1" s="96"/>
      <c r="M1" s="158"/>
    </row>
    <row r="2" spans="1:13" s="92" customFormat="1" ht="16.5" customHeight="1" x14ac:dyDescent="0.3">
      <c r="A2" s="89" t="s">
        <v>162</v>
      </c>
      <c r="B2" s="90"/>
      <c r="C2" s="96"/>
      <c r="D2" s="96"/>
      <c r="E2" s="96"/>
      <c r="F2" s="96"/>
      <c r="G2" s="96"/>
      <c r="H2" s="96"/>
      <c r="I2" s="96"/>
      <c r="J2" s="96"/>
      <c r="K2" s="96"/>
      <c r="L2" s="96"/>
      <c r="M2" s="158"/>
    </row>
    <row r="3" spans="1:13" s="92" customFormat="1" ht="15.75" thickBot="1" x14ac:dyDescent="0.3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s="92" customFormat="1" ht="15" x14ac:dyDescent="0.3">
      <c r="A4" s="446" t="s">
        <v>159</v>
      </c>
      <c r="B4" s="447"/>
    </row>
    <row r="5" spans="1:13" s="92" customFormat="1" ht="16.5" x14ac:dyDescent="0.3">
      <c r="A5" s="156" t="s">
        <v>160</v>
      </c>
      <c r="B5" s="154">
        <v>102.33034800000001</v>
      </c>
      <c r="C5" s="94"/>
      <c r="D5" s="95"/>
    </row>
    <row r="6" spans="1:13" s="94" customFormat="1" ht="16.5" x14ac:dyDescent="0.3">
      <c r="A6" s="156" t="s">
        <v>161</v>
      </c>
      <c r="B6" s="154">
        <v>53.85</v>
      </c>
    </row>
    <row r="7" spans="1:13" s="94" customFormat="1" ht="17.25" thickBot="1" x14ac:dyDescent="0.35">
      <c r="A7" s="157" t="s">
        <v>158</v>
      </c>
      <c r="B7" s="155">
        <v>154.19999999999999</v>
      </c>
    </row>
  </sheetData>
  <mergeCells count="1">
    <mergeCell ref="A4:B4"/>
  </mergeCells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17" sqref="F17:F27"/>
    </sheetView>
  </sheetViews>
  <sheetFormatPr defaultRowHeight="12.75" x14ac:dyDescent="0.2"/>
  <sheetData>
    <row r="1" spans="1:6" ht="13.5" thickBot="1" x14ac:dyDescent="0.25">
      <c r="A1" t="s">
        <v>138</v>
      </c>
    </row>
    <row r="2" spans="1:6" ht="13.5" thickBot="1" x14ac:dyDescent="0.25">
      <c r="B2" s="150" t="s">
        <v>91</v>
      </c>
      <c r="C2" s="148" t="s">
        <v>137</v>
      </c>
      <c r="D2" s="148" t="s">
        <v>67</v>
      </c>
      <c r="E2" s="148" t="s">
        <v>139</v>
      </c>
    </row>
    <row r="3" spans="1:6" ht="13.5" thickBot="1" x14ac:dyDescent="0.25">
      <c r="A3" s="144" t="s">
        <v>2</v>
      </c>
      <c r="B3" s="145">
        <v>10236</v>
      </c>
      <c r="C3" s="145">
        <v>1516</v>
      </c>
      <c r="D3" s="145">
        <v>394</v>
      </c>
      <c r="E3" s="145">
        <v>12176</v>
      </c>
    </row>
    <row r="4" spans="1:6" ht="13.5" thickBot="1" x14ac:dyDescent="0.25">
      <c r="A4" s="144" t="s">
        <v>4</v>
      </c>
      <c r="B4" s="145">
        <v>20098</v>
      </c>
      <c r="C4" s="145">
        <v>3440</v>
      </c>
      <c r="D4" s="146" t="s">
        <v>135</v>
      </c>
      <c r="E4" s="145">
        <v>25994</v>
      </c>
    </row>
    <row r="5" spans="1:6" ht="13.5" thickBot="1" x14ac:dyDescent="0.25">
      <c r="A5" s="144" t="s">
        <v>9</v>
      </c>
      <c r="B5" s="145">
        <v>5952</v>
      </c>
      <c r="C5" s="145">
        <v>760</v>
      </c>
      <c r="D5" s="146" t="s">
        <v>135</v>
      </c>
      <c r="E5" s="145">
        <v>7254</v>
      </c>
    </row>
    <row r="6" spans="1:6" ht="13.5" thickBot="1" x14ac:dyDescent="0.25">
      <c r="A6" s="144" t="s">
        <v>7</v>
      </c>
      <c r="B6" s="145">
        <v>28914</v>
      </c>
      <c r="C6" s="145">
        <v>5417</v>
      </c>
      <c r="D6" s="145">
        <v>331</v>
      </c>
      <c r="E6" s="145">
        <v>37425</v>
      </c>
    </row>
    <row r="7" spans="1:6" ht="13.5" thickBot="1" x14ac:dyDescent="0.25">
      <c r="A7" s="144" t="s">
        <v>1</v>
      </c>
      <c r="B7" s="145">
        <v>30411</v>
      </c>
      <c r="C7" s="145">
        <v>7928</v>
      </c>
      <c r="D7" s="145">
        <v>762</v>
      </c>
      <c r="E7" s="145">
        <v>39672</v>
      </c>
    </row>
    <row r="8" spans="1:6" ht="13.5" thickBot="1" x14ac:dyDescent="0.25">
      <c r="A8" s="144" t="s">
        <v>10</v>
      </c>
      <c r="B8" s="145">
        <v>762</v>
      </c>
      <c r="C8" s="146" t="s">
        <v>135</v>
      </c>
      <c r="D8" s="146" t="s">
        <v>135</v>
      </c>
      <c r="E8" s="145">
        <v>763</v>
      </c>
    </row>
    <row r="9" spans="1:6" ht="13.5" thickBot="1" x14ac:dyDescent="0.25">
      <c r="A9" s="144" t="s">
        <v>6</v>
      </c>
      <c r="B9" s="145">
        <v>37632</v>
      </c>
      <c r="C9" s="145">
        <v>6331</v>
      </c>
      <c r="D9" s="146" t="s">
        <v>135</v>
      </c>
      <c r="E9" s="145">
        <v>45090</v>
      </c>
    </row>
    <row r="10" spans="1:6" ht="13.5" thickBot="1" x14ac:dyDescent="0.25">
      <c r="A10" s="144" t="s">
        <v>0</v>
      </c>
      <c r="B10" s="145">
        <v>34171</v>
      </c>
      <c r="C10" s="145">
        <v>14527</v>
      </c>
      <c r="D10" s="145">
        <v>1210</v>
      </c>
      <c r="E10" s="145">
        <v>50330</v>
      </c>
    </row>
    <row r="11" spans="1:6" ht="13.5" thickBot="1" x14ac:dyDescent="0.25">
      <c r="A11" s="144" t="s">
        <v>8</v>
      </c>
      <c r="B11" s="145">
        <v>13118</v>
      </c>
      <c r="C11" s="145">
        <v>1625</v>
      </c>
      <c r="D11" s="146" t="s">
        <v>135</v>
      </c>
      <c r="E11" s="145">
        <v>15420</v>
      </c>
    </row>
    <row r="12" spans="1:6" ht="13.5" thickBot="1" x14ac:dyDescent="0.25">
      <c r="A12" s="144" t="s">
        <v>3</v>
      </c>
      <c r="B12" s="145">
        <v>33421</v>
      </c>
      <c r="C12" s="145">
        <v>7972</v>
      </c>
      <c r="D12" s="146" t="s">
        <v>135</v>
      </c>
      <c r="E12" s="145">
        <v>43592</v>
      </c>
    </row>
    <row r="13" spans="1:6" ht="13.5" thickBot="1" x14ac:dyDescent="0.25">
      <c r="A13" s="144" t="s">
        <v>5</v>
      </c>
      <c r="B13" s="145">
        <v>7783</v>
      </c>
      <c r="C13" s="145">
        <v>1238</v>
      </c>
      <c r="D13" s="146" t="s">
        <v>135</v>
      </c>
      <c r="E13" s="145">
        <v>9657</v>
      </c>
    </row>
    <row r="14" spans="1:6" ht="13.5" thickBot="1" x14ac:dyDescent="0.25">
      <c r="A14" s="147" t="s">
        <v>136</v>
      </c>
      <c r="B14" s="148">
        <v>222498</v>
      </c>
      <c r="C14" s="148">
        <v>50754</v>
      </c>
      <c r="D14" s="148">
        <v>2697</v>
      </c>
      <c r="E14" s="148">
        <v>287373</v>
      </c>
    </row>
    <row r="15" spans="1:6" ht="13.5" thickBot="1" x14ac:dyDescent="0.25"/>
    <row r="16" spans="1:6" ht="13.5" thickBot="1" x14ac:dyDescent="0.25">
      <c r="A16" s="151" t="s">
        <v>140</v>
      </c>
      <c r="B16" s="149"/>
      <c r="C16" s="152" t="s">
        <v>91</v>
      </c>
      <c r="D16" s="148" t="s">
        <v>137</v>
      </c>
      <c r="E16" s="148" t="s">
        <v>67</v>
      </c>
      <c r="F16" s="148" t="s">
        <v>139</v>
      </c>
    </row>
    <row r="17" spans="1:6" ht="13.5" thickBot="1" x14ac:dyDescent="0.25">
      <c r="A17">
        <v>1</v>
      </c>
      <c r="B17" s="144" t="s">
        <v>0</v>
      </c>
      <c r="C17" s="153">
        <v>34171</v>
      </c>
      <c r="D17" s="145">
        <v>14527</v>
      </c>
      <c r="E17" s="145">
        <v>1210</v>
      </c>
      <c r="F17" s="145">
        <v>50330</v>
      </c>
    </row>
    <row r="18" spans="1:6" ht="13.5" thickBot="1" x14ac:dyDescent="0.25">
      <c r="A18">
        <v>2</v>
      </c>
      <c r="B18" s="144" t="s">
        <v>1</v>
      </c>
      <c r="C18" s="145">
        <v>30411</v>
      </c>
      <c r="D18" s="145">
        <v>7928</v>
      </c>
      <c r="E18" s="145">
        <v>762</v>
      </c>
      <c r="F18" s="145">
        <v>39672</v>
      </c>
    </row>
    <row r="19" spans="1:6" ht="13.5" thickBot="1" x14ac:dyDescent="0.25">
      <c r="A19">
        <v>3</v>
      </c>
      <c r="B19" s="144" t="s">
        <v>2</v>
      </c>
      <c r="C19" s="145">
        <v>10236</v>
      </c>
      <c r="D19" s="145">
        <v>1516</v>
      </c>
      <c r="E19" s="145">
        <v>394</v>
      </c>
      <c r="F19" s="145">
        <v>12176</v>
      </c>
    </row>
    <row r="20" spans="1:6" ht="13.5" thickBot="1" x14ac:dyDescent="0.25">
      <c r="A20">
        <v>4</v>
      </c>
      <c r="B20" s="144" t="s">
        <v>3</v>
      </c>
      <c r="C20" s="145">
        <v>33421</v>
      </c>
      <c r="D20" s="145">
        <v>7972</v>
      </c>
      <c r="E20" s="146" t="s">
        <v>135</v>
      </c>
      <c r="F20" s="145">
        <v>43592</v>
      </c>
    </row>
    <row r="21" spans="1:6" ht="13.5" thickBot="1" x14ac:dyDescent="0.25">
      <c r="A21">
        <v>5</v>
      </c>
      <c r="B21" s="144" t="s">
        <v>4</v>
      </c>
      <c r="C21" s="145">
        <v>20098</v>
      </c>
      <c r="D21" s="145">
        <v>3440</v>
      </c>
      <c r="E21" s="146" t="s">
        <v>135</v>
      </c>
      <c r="F21" s="145">
        <v>25994</v>
      </c>
    </row>
    <row r="22" spans="1:6" ht="13.5" thickBot="1" x14ac:dyDescent="0.25">
      <c r="A22">
        <v>6</v>
      </c>
      <c r="B22" s="144" t="s">
        <v>5</v>
      </c>
      <c r="C22" s="145">
        <v>7783</v>
      </c>
      <c r="D22" s="145">
        <v>1238</v>
      </c>
      <c r="E22" s="146" t="s">
        <v>135</v>
      </c>
      <c r="F22" s="145">
        <v>9657</v>
      </c>
    </row>
    <row r="23" spans="1:6" ht="13.5" thickBot="1" x14ac:dyDescent="0.25">
      <c r="A23">
        <v>7</v>
      </c>
      <c r="B23" s="144" t="s">
        <v>6</v>
      </c>
      <c r="C23" s="145">
        <v>37632</v>
      </c>
      <c r="D23" s="145">
        <v>6331</v>
      </c>
      <c r="E23" s="146" t="s">
        <v>135</v>
      </c>
      <c r="F23" s="145">
        <v>45090</v>
      </c>
    </row>
    <row r="24" spans="1:6" ht="13.5" thickBot="1" x14ac:dyDescent="0.25">
      <c r="A24">
        <v>8</v>
      </c>
      <c r="B24" s="144" t="s">
        <v>7</v>
      </c>
      <c r="C24" s="145">
        <v>28914</v>
      </c>
      <c r="D24" s="145">
        <v>5417</v>
      </c>
      <c r="E24" s="145">
        <v>331</v>
      </c>
      <c r="F24" s="145">
        <v>37425</v>
      </c>
    </row>
    <row r="25" spans="1:6" ht="13.5" thickBot="1" x14ac:dyDescent="0.25">
      <c r="A25">
        <v>9</v>
      </c>
      <c r="B25" s="144" t="s">
        <v>8</v>
      </c>
      <c r="C25" s="145">
        <v>13118</v>
      </c>
      <c r="D25" s="145">
        <v>1625</v>
      </c>
      <c r="E25" s="146" t="s">
        <v>135</v>
      </c>
      <c r="F25" s="145">
        <v>15420</v>
      </c>
    </row>
    <row r="26" spans="1:6" ht="13.5" thickBot="1" x14ac:dyDescent="0.25">
      <c r="A26">
        <v>10</v>
      </c>
      <c r="B26" s="144" t="s">
        <v>9</v>
      </c>
      <c r="C26" s="145">
        <v>5952</v>
      </c>
      <c r="D26" s="145">
        <v>760</v>
      </c>
      <c r="E26" s="146" t="s">
        <v>135</v>
      </c>
      <c r="F26" s="145">
        <v>7254</v>
      </c>
    </row>
    <row r="27" spans="1:6" ht="13.5" thickBot="1" x14ac:dyDescent="0.25">
      <c r="A27">
        <v>11</v>
      </c>
      <c r="B27" s="144" t="s">
        <v>10</v>
      </c>
      <c r="C27" s="145">
        <v>762</v>
      </c>
      <c r="D27" s="146" t="s">
        <v>135</v>
      </c>
      <c r="E27" s="146" t="s">
        <v>135</v>
      </c>
      <c r="F27" s="145">
        <v>763</v>
      </c>
    </row>
    <row r="28" spans="1:6" ht="13.5" thickBot="1" x14ac:dyDescent="0.25"/>
    <row r="29" spans="1:6" ht="13.5" thickBot="1" x14ac:dyDescent="0.25">
      <c r="B29" s="147" t="s">
        <v>136</v>
      </c>
      <c r="C29" s="148">
        <v>222498</v>
      </c>
      <c r="D29" s="148">
        <v>50754</v>
      </c>
      <c r="E29" s="148">
        <v>2697</v>
      </c>
      <c r="F29" s="148">
        <v>287373</v>
      </c>
    </row>
  </sheetData>
  <phoneticPr fontId="15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7"/>
  <sheetViews>
    <sheetView zoomScale="75" zoomScaleNormal="100" zoomScaleSheetLayoutView="75" workbookViewId="0">
      <pane xSplit="3" ySplit="8" topLeftCell="D75" activePane="bottomRight" state="frozen"/>
      <selection pane="topRight" activeCell="D1" sqref="D1"/>
      <selection pane="bottomLeft" activeCell="A9" sqref="A9"/>
      <selection pane="bottomRight" activeCell="K82" sqref="K82"/>
    </sheetView>
  </sheetViews>
  <sheetFormatPr defaultColWidth="9.140625" defaultRowHeight="13.5" x14ac:dyDescent="0.25"/>
  <cols>
    <col min="1" max="2" width="2.7109375" style="92" customWidth="1"/>
    <col min="3" max="3" width="21.85546875" style="92" customWidth="1"/>
    <col min="4" max="4" width="24.28515625" style="92" customWidth="1"/>
    <col min="5" max="5" width="10.85546875" style="92" bestFit="1" customWidth="1"/>
    <col min="6" max="6" width="9.28515625" style="92" bestFit="1" customWidth="1"/>
    <col min="7" max="7" width="10.85546875" style="92" bestFit="1" customWidth="1"/>
    <col min="8" max="13" width="9.28515625" style="92" bestFit="1" customWidth="1"/>
    <col min="14" max="14" width="9.7109375" style="92" bestFit="1" customWidth="1"/>
    <col min="15" max="16384" width="9.140625" style="92"/>
  </cols>
  <sheetData>
    <row r="1" spans="1:15" ht="16.5" x14ac:dyDescent="0.3">
      <c r="A1" s="89" t="s">
        <v>119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5" ht="15" x14ac:dyDescent="0.3">
      <c r="A2" s="90" t="s">
        <v>120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t="15" x14ac:dyDescent="0.3">
      <c r="A3" s="90" t="s">
        <v>124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x14ac:dyDescent="0.25">
      <c r="A4" s="93" t="s">
        <v>88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s="94" customFormat="1" x14ac:dyDescent="0.25">
      <c r="A5" s="93" t="s">
        <v>89</v>
      </c>
    </row>
    <row r="6" spans="1:15" s="94" customFormat="1" x14ac:dyDescent="0.25">
      <c r="A6" s="93" t="s">
        <v>90</v>
      </c>
    </row>
    <row r="7" spans="1:15" s="94" customFormat="1" ht="15" x14ac:dyDescent="0.3">
      <c r="A7" s="93"/>
      <c r="C7" s="96"/>
    </row>
    <row r="8" spans="1:15" ht="15" x14ac:dyDescent="0.3">
      <c r="D8" s="97" t="s">
        <v>133</v>
      </c>
      <c r="E8" s="97" t="s">
        <v>1</v>
      </c>
      <c r="F8" s="97" t="s">
        <v>2</v>
      </c>
      <c r="G8" s="97" t="s">
        <v>3</v>
      </c>
      <c r="H8" s="97" t="s">
        <v>4</v>
      </c>
      <c r="I8" s="97" t="s">
        <v>5</v>
      </c>
      <c r="J8" s="97" t="s">
        <v>6</v>
      </c>
      <c r="K8" s="97" t="s">
        <v>7</v>
      </c>
      <c r="L8" s="97" t="s">
        <v>8</v>
      </c>
      <c r="M8" s="97" t="s">
        <v>9</v>
      </c>
      <c r="N8" s="97" t="s">
        <v>10</v>
      </c>
      <c r="O8" s="97"/>
    </row>
    <row r="9" spans="1:15" ht="15" x14ac:dyDescent="0.3">
      <c r="A9" s="98" t="s">
        <v>65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ht="15.75" thickBot="1" x14ac:dyDescent="0.35">
      <c r="B10" s="98" t="s">
        <v>30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ht="15" x14ac:dyDescent="0.3">
      <c r="C11" s="99" t="s">
        <v>91</v>
      </c>
      <c r="D11" s="78">
        <v>73.709999999999994</v>
      </c>
      <c r="E11" s="79">
        <v>73.709999999999994</v>
      </c>
      <c r="F11" s="79">
        <v>73.709999999999994</v>
      </c>
      <c r="G11" s="79">
        <v>73.709999999999994</v>
      </c>
      <c r="H11" s="79">
        <v>73.709999999999994</v>
      </c>
      <c r="I11" s="79">
        <v>73.709999999999994</v>
      </c>
      <c r="J11" s="79">
        <v>73.709999999999994</v>
      </c>
      <c r="K11" s="79">
        <v>73.709999999999994</v>
      </c>
      <c r="L11" s="79">
        <v>73.709999999999994</v>
      </c>
      <c r="M11" s="79">
        <v>73.709999999999994</v>
      </c>
      <c r="N11" s="80">
        <v>73.709999999999994</v>
      </c>
    </row>
    <row r="12" spans="1:15" ht="15" x14ac:dyDescent="0.3">
      <c r="C12" s="99" t="s">
        <v>66</v>
      </c>
      <c r="D12" s="81">
        <v>231.77</v>
      </c>
      <c r="E12" s="82">
        <v>199.78</v>
      </c>
      <c r="F12" s="82">
        <v>180.24</v>
      </c>
      <c r="G12" s="82">
        <v>207.59</v>
      </c>
      <c r="H12" s="82">
        <v>200.59</v>
      </c>
      <c r="I12" s="82">
        <v>201.54</v>
      </c>
      <c r="J12" s="82">
        <v>207.58</v>
      </c>
      <c r="K12" s="141">
        <v>221.7</v>
      </c>
      <c r="L12" s="82">
        <v>206.17</v>
      </c>
      <c r="M12" s="82">
        <v>180.24</v>
      </c>
      <c r="N12" s="84"/>
    </row>
    <row r="13" spans="1:15" ht="15" x14ac:dyDescent="0.3">
      <c r="C13" s="99" t="s">
        <v>125</v>
      </c>
      <c r="D13" s="81">
        <v>272.01</v>
      </c>
      <c r="E13" s="82">
        <v>227.07</v>
      </c>
      <c r="F13" s="82">
        <v>204.85</v>
      </c>
      <c r="G13" s="83"/>
      <c r="H13" s="83"/>
      <c r="I13" s="83"/>
      <c r="J13" s="83"/>
      <c r="K13" s="141">
        <v>251.97</v>
      </c>
      <c r="L13" s="83"/>
      <c r="M13" s="83"/>
      <c r="N13" s="84"/>
    </row>
    <row r="14" spans="1:15" ht="15" x14ac:dyDescent="0.3">
      <c r="C14" s="99" t="s">
        <v>126</v>
      </c>
      <c r="D14" s="100"/>
      <c r="E14" s="82">
        <v>263.12</v>
      </c>
      <c r="F14" s="83"/>
      <c r="G14" s="83"/>
      <c r="H14" s="83"/>
      <c r="I14" s="83"/>
      <c r="J14" s="83"/>
      <c r="K14" s="83"/>
      <c r="L14" s="83"/>
      <c r="M14" s="83"/>
      <c r="N14" s="84"/>
    </row>
    <row r="15" spans="1:15" ht="15" x14ac:dyDescent="0.3">
      <c r="C15" s="99" t="s">
        <v>68</v>
      </c>
      <c r="D15" s="81">
        <v>18916.72</v>
      </c>
      <c r="E15" s="82">
        <v>15831.53</v>
      </c>
      <c r="F15" s="83"/>
      <c r="G15" s="82">
        <v>17271.830000000002</v>
      </c>
      <c r="H15" s="83"/>
      <c r="I15" s="83"/>
      <c r="J15" s="83"/>
      <c r="K15" s="83"/>
      <c r="L15" s="83"/>
      <c r="M15" s="83"/>
      <c r="N15" s="84"/>
    </row>
    <row r="16" spans="1:15" ht="15" x14ac:dyDescent="0.3">
      <c r="C16" s="99" t="s">
        <v>121</v>
      </c>
      <c r="D16" s="100"/>
      <c r="E16" s="83"/>
      <c r="F16" s="83"/>
      <c r="G16" s="83"/>
      <c r="H16" s="83"/>
      <c r="I16" s="83"/>
      <c r="J16" s="83"/>
      <c r="K16" s="83"/>
      <c r="L16" s="82">
        <v>220.17</v>
      </c>
      <c r="M16" s="83"/>
      <c r="N16" s="84"/>
    </row>
    <row r="17" spans="2:14" ht="15" x14ac:dyDescent="0.3">
      <c r="C17" s="99" t="s">
        <v>69</v>
      </c>
      <c r="D17" s="81">
        <v>14177.78</v>
      </c>
      <c r="E17" s="83"/>
      <c r="F17" s="83"/>
      <c r="G17" s="83"/>
      <c r="H17" s="83"/>
      <c r="I17" s="83"/>
      <c r="J17" s="83"/>
      <c r="K17" s="83"/>
      <c r="L17" s="83"/>
      <c r="M17" s="83"/>
      <c r="N17" s="84"/>
    </row>
    <row r="18" spans="2:14" ht="15" x14ac:dyDescent="0.3">
      <c r="C18" s="99" t="s">
        <v>122</v>
      </c>
      <c r="D18" s="85">
        <v>8561.74</v>
      </c>
      <c r="E18" s="87"/>
      <c r="F18" s="87"/>
      <c r="G18" s="87"/>
      <c r="H18" s="87"/>
      <c r="I18" s="87"/>
      <c r="J18" s="87"/>
      <c r="K18" s="87"/>
      <c r="L18" s="87"/>
      <c r="M18" s="87"/>
      <c r="N18" s="101"/>
    </row>
    <row r="19" spans="2:14" ht="15" x14ac:dyDescent="0.3">
      <c r="C19" s="99" t="s">
        <v>94</v>
      </c>
      <c r="D19" s="85">
        <v>11341.7</v>
      </c>
      <c r="E19" s="87"/>
      <c r="F19" s="87"/>
      <c r="G19" s="85">
        <v>12978</v>
      </c>
      <c r="H19" s="87"/>
      <c r="I19" s="87"/>
      <c r="J19" s="87"/>
      <c r="K19" s="87"/>
      <c r="L19" s="87"/>
      <c r="M19" s="87"/>
      <c r="N19" s="101"/>
    </row>
    <row r="20" spans="2:14" ht="15.75" thickBot="1" x14ac:dyDescent="0.35">
      <c r="C20" s="99" t="s">
        <v>70</v>
      </c>
      <c r="D20" s="86">
        <v>16449.400000000001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3"/>
    </row>
    <row r="22" spans="2:14" ht="15.75" thickBot="1" x14ac:dyDescent="0.35">
      <c r="B22" s="98" t="s">
        <v>71</v>
      </c>
      <c r="E22" s="104"/>
    </row>
    <row r="23" spans="2:14" ht="15" x14ac:dyDescent="0.3">
      <c r="C23" s="99" t="s">
        <v>91</v>
      </c>
      <c r="D23" s="78">
        <f t="shared" ref="D23:N23" si="0">TRUNC(D11*0.05,2)</f>
        <v>3.68</v>
      </c>
      <c r="E23" s="79">
        <f t="shared" si="0"/>
        <v>3.68</v>
      </c>
      <c r="F23" s="79">
        <f t="shared" si="0"/>
        <v>3.68</v>
      </c>
      <c r="G23" s="79">
        <f t="shared" si="0"/>
        <v>3.68</v>
      </c>
      <c r="H23" s="79">
        <f t="shared" si="0"/>
        <v>3.68</v>
      </c>
      <c r="I23" s="79">
        <f t="shared" si="0"/>
        <v>3.68</v>
      </c>
      <c r="J23" s="79">
        <f t="shared" si="0"/>
        <v>3.68</v>
      </c>
      <c r="K23" s="79">
        <f t="shared" si="0"/>
        <v>3.68</v>
      </c>
      <c r="L23" s="79">
        <f t="shared" si="0"/>
        <v>3.68</v>
      </c>
      <c r="M23" s="79">
        <f t="shared" si="0"/>
        <v>3.68</v>
      </c>
      <c r="N23" s="80">
        <f t="shared" si="0"/>
        <v>3.68</v>
      </c>
    </row>
    <row r="24" spans="2:14" ht="15" x14ac:dyDescent="0.3">
      <c r="C24" s="99" t="s">
        <v>66</v>
      </c>
      <c r="D24" s="81">
        <f t="shared" ref="D24:M24" si="1">TRUNC(D12*0.05,2)</f>
        <v>11.58</v>
      </c>
      <c r="E24" s="82">
        <f t="shared" si="1"/>
        <v>9.98</v>
      </c>
      <c r="F24" s="82">
        <f t="shared" si="1"/>
        <v>9.01</v>
      </c>
      <c r="G24" s="82">
        <f t="shared" si="1"/>
        <v>10.37</v>
      </c>
      <c r="H24" s="82">
        <f t="shared" si="1"/>
        <v>10.02</v>
      </c>
      <c r="I24" s="82">
        <f t="shared" si="1"/>
        <v>10.07</v>
      </c>
      <c r="J24" s="82">
        <f t="shared" si="1"/>
        <v>10.37</v>
      </c>
      <c r="K24" s="82">
        <f t="shared" si="1"/>
        <v>11.08</v>
      </c>
      <c r="L24" s="82">
        <f t="shared" si="1"/>
        <v>10.3</v>
      </c>
      <c r="M24" s="82">
        <f t="shared" si="1"/>
        <v>9.01</v>
      </c>
      <c r="N24" s="84"/>
    </row>
    <row r="25" spans="2:14" ht="15" x14ac:dyDescent="0.3">
      <c r="C25" s="99" t="s">
        <v>125</v>
      </c>
      <c r="D25" s="81">
        <f>TRUNC(D13*0.05,2)</f>
        <v>13.6</v>
      </c>
      <c r="E25" s="82">
        <f>TRUNC(E13*0.05,2)</f>
        <v>11.35</v>
      </c>
      <c r="F25" s="82">
        <f>TRUNC(F13*0.05,2)</f>
        <v>10.24</v>
      </c>
      <c r="G25" s="83"/>
      <c r="H25" s="83"/>
      <c r="I25" s="83"/>
      <c r="J25" s="83"/>
      <c r="K25" s="82">
        <f>TRUNC(K13*0.05,2)</f>
        <v>12.59</v>
      </c>
      <c r="L25" s="83"/>
      <c r="M25" s="83"/>
      <c r="N25" s="84"/>
    </row>
    <row r="26" spans="2:14" ht="15" x14ac:dyDescent="0.3">
      <c r="C26" s="99" t="s">
        <v>126</v>
      </c>
      <c r="D26" s="100"/>
      <c r="E26" s="82">
        <f>TRUNC(E14*0.05,2)</f>
        <v>13.15</v>
      </c>
      <c r="F26" s="83"/>
      <c r="G26" s="83"/>
      <c r="H26" s="83"/>
      <c r="I26" s="83"/>
      <c r="J26" s="83"/>
      <c r="K26" s="83"/>
      <c r="L26" s="83"/>
      <c r="M26" s="83"/>
      <c r="N26" s="84"/>
    </row>
    <row r="27" spans="2:14" ht="15" x14ac:dyDescent="0.3">
      <c r="C27" s="99" t="s">
        <v>68</v>
      </c>
      <c r="D27" s="81">
        <v>945.82</v>
      </c>
      <c r="E27" s="82">
        <f>TRUNC(E15*0.05,2)</f>
        <v>791.57</v>
      </c>
      <c r="F27" s="83"/>
      <c r="G27" s="82">
        <f>TRUNC(G15*0.05,2)</f>
        <v>863.59</v>
      </c>
      <c r="H27" s="83"/>
      <c r="I27" s="83"/>
      <c r="J27" s="83"/>
      <c r="K27" s="83"/>
      <c r="L27" s="83"/>
      <c r="M27" s="83"/>
      <c r="N27" s="84"/>
    </row>
    <row r="28" spans="2:14" ht="15" x14ac:dyDescent="0.3">
      <c r="C28" s="99" t="s">
        <v>121</v>
      </c>
      <c r="D28" s="100"/>
      <c r="E28" s="83"/>
      <c r="F28" s="83"/>
      <c r="G28" s="83"/>
      <c r="H28" s="83"/>
      <c r="I28" s="83"/>
      <c r="J28" s="83"/>
      <c r="K28" s="83"/>
      <c r="L28" s="82">
        <f>TRUNC(L16*0.05,2)</f>
        <v>11</v>
      </c>
      <c r="M28" s="83"/>
      <c r="N28" s="84"/>
    </row>
    <row r="29" spans="2:14" ht="15" x14ac:dyDescent="0.3">
      <c r="C29" s="99" t="s">
        <v>69</v>
      </c>
      <c r="D29" s="81">
        <f>TRUNC(D17*0.05,2)</f>
        <v>708.88</v>
      </c>
      <c r="E29" s="83"/>
      <c r="F29" s="83"/>
      <c r="G29" s="83"/>
      <c r="H29" s="83"/>
      <c r="I29" s="83"/>
      <c r="J29" s="83"/>
      <c r="K29" s="83"/>
      <c r="L29" s="83"/>
      <c r="M29" s="83"/>
      <c r="N29" s="84"/>
    </row>
    <row r="30" spans="2:14" ht="15" x14ac:dyDescent="0.3">
      <c r="C30" s="99" t="s">
        <v>122</v>
      </c>
      <c r="D30" s="81">
        <f>TRUNC(D18*0.05,2)</f>
        <v>428.08</v>
      </c>
      <c r="E30" s="87"/>
      <c r="F30" s="87"/>
      <c r="G30" s="87"/>
      <c r="H30" s="87"/>
      <c r="I30" s="87"/>
      <c r="J30" s="87"/>
      <c r="K30" s="87"/>
      <c r="L30" s="87"/>
      <c r="M30" s="87"/>
      <c r="N30" s="101"/>
    </row>
    <row r="31" spans="2:14" ht="15" x14ac:dyDescent="0.3">
      <c r="C31" s="99" t="s">
        <v>94</v>
      </c>
      <c r="D31" s="81">
        <f>TRUNC(D19*0.05,2)</f>
        <v>567.08000000000004</v>
      </c>
      <c r="E31" s="87"/>
      <c r="F31" s="87"/>
      <c r="G31" s="81">
        <f>TRUNC(G19*0.05,2)</f>
        <v>648.9</v>
      </c>
      <c r="H31" s="87"/>
      <c r="I31" s="87"/>
      <c r="J31" s="87"/>
      <c r="K31" s="87"/>
      <c r="L31" s="87"/>
      <c r="M31" s="87"/>
      <c r="N31" s="101"/>
    </row>
    <row r="32" spans="2:14" ht="15.75" thickBot="1" x14ac:dyDescent="0.35">
      <c r="C32" s="99" t="s">
        <v>70</v>
      </c>
      <c r="D32" s="86">
        <f>TRUNC(D20*0.05,2)-0.01</f>
        <v>822.46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3"/>
    </row>
    <row r="34" spans="1:15" ht="15.75" thickBot="1" x14ac:dyDescent="0.35">
      <c r="B34" s="98" t="s">
        <v>95</v>
      </c>
    </row>
    <row r="35" spans="1:15" ht="15" x14ac:dyDescent="0.3">
      <c r="C35" s="99" t="s">
        <v>91</v>
      </c>
      <c r="D35" s="105">
        <v>4.76</v>
      </c>
      <c r="E35" s="106">
        <v>4.76</v>
      </c>
      <c r="F35" s="106">
        <v>4.76</v>
      </c>
      <c r="G35" s="106">
        <v>4.76</v>
      </c>
      <c r="H35" s="106">
        <v>4.76</v>
      </c>
      <c r="I35" s="106">
        <v>4.76</v>
      </c>
      <c r="J35" s="106">
        <v>4.76</v>
      </c>
      <c r="K35" s="106">
        <v>4.76</v>
      </c>
      <c r="L35" s="106">
        <v>4.76</v>
      </c>
      <c r="M35" s="106">
        <v>4.76</v>
      </c>
      <c r="N35" s="107">
        <v>4.76</v>
      </c>
    </row>
    <row r="36" spans="1:15" ht="15" x14ac:dyDescent="0.3">
      <c r="C36" s="99" t="s">
        <v>66</v>
      </c>
      <c r="D36" s="108">
        <v>4.76</v>
      </c>
      <c r="E36" s="109">
        <v>4.76</v>
      </c>
      <c r="F36" s="109">
        <v>4.76</v>
      </c>
      <c r="G36" s="109">
        <v>4.76</v>
      </c>
      <c r="H36" s="109">
        <v>4.76</v>
      </c>
      <c r="I36" s="109">
        <v>4.76</v>
      </c>
      <c r="J36" s="109">
        <v>4.76</v>
      </c>
      <c r="K36" s="109">
        <v>4.76</v>
      </c>
      <c r="L36" s="109">
        <v>4.76</v>
      </c>
      <c r="M36" s="109">
        <v>4.76</v>
      </c>
      <c r="N36" s="84"/>
    </row>
    <row r="37" spans="1:15" ht="15" x14ac:dyDescent="0.3">
      <c r="C37" s="99" t="s">
        <v>67</v>
      </c>
      <c r="D37" s="108">
        <v>4.76</v>
      </c>
      <c r="E37" s="109">
        <v>4.76</v>
      </c>
      <c r="F37" s="109">
        <v>4.76</v>
      </c>
      <c r="G37" s="83"/>
      <c r="H37" s="83"/>
      <c r="I37" s="83"/>
      <c r="J37" s="83"/>
      <c r="K37" s="109">
        <v>4.76</v>
      </c>
      <c r="L37" s="83"/>
      <c r="M37" s="83"/>
      <c r="N37" s="84"/>
    </row>
    <row r="38" spans="1:15" ht="15" x14ac:dyDescent="0.3">
      <c r="C38" s="99" t="s">
        <v>68</v>
      </c>
      <c r="D38" s="108">
        <v>190.4</v>
      </c>
      <c r="E38" s="109">
        <v>190.4</v>
      </c>
      <c r="F38" s="83"/>
      <c r="G38" s="109">
        <v>190.4</v>
      </c>
      <c r="H38" s="83"/>
      <c r="I38" s="83"/>
      <c r="J38" s="83"/>
      <c r="K38" s="83"/>
      <c r="L38" s="83"/>
      <c r="M38" s="83"/>
      <c r="N38" s="84"/>
    </row>
    <row r="39" spans="1:15" ht="15" x14ac:dyDescent="0.3">
      <c r="C39" s="99" t="s">
        <v>69</v>
      </c>
      <c r="D39" s="108">
        <v>190.4</v>
      </c>
      <c r="E39" s="83"/>
      <c r="F39" s="83"/>
      <c r="G39" s="83"/>
      <c r="H39" s="83"/>
      <c r="I39" s="83"/>
      <c r="J39" s="83"/>
      <c r="K39" s="83"/>
      <c r="L39" s="83"/>
      <c r="M39" s="83"/>
      <c r="N39" s="84"/>
    </row>
    <row r="40" spans="1:15" ht="15" x14ac:dyDescent="0.3">
      <c r="C40" s="99" t="s">
        <v>122</v>
      </c>
      <c r="D40" s="85">
        <v>171.36</v>
      </c>
      <c r="E40" s="87"/>
      <c r="F40" s="87"/>
      <c r="G40" s="87"/>
      <c r="H40" s="87"/>
      <c r="I40" s="87"/>
      <c r="J40" s="87"/>
      <c r="K40" s="87"/>
      <c r="L40" s="87"/>
      <c r="M40" s="87"/>
      <c r="N40" s="101"/>
    </row>
    <row r="41" spans="1:15" ht="15" x14ac:dyDescent="0.3">
      <c r="C41" s="99" t="s">
        <v>94</v>
      </c>
      <c r="D41" s="85">
        <v>185.64</v>
      </c>
      <c r="E41" s="87"/>
      <c r="F41" s="87"/>
      <c r="G41" s="85">
        <v>190.4</v>
      </c>
      <c r="H41" s="87"/>
      <c r="I41" s="87"/>
      <c r="J41" s="87"/>
      <c r="K41" s="87"/>
      <c r="L41" s="87"/>
      <c r="M41" s="87"/>
      <c r="N41" s="101"/>
    </row>
    <row r="42" spans="1:15" ht="15.75" thickBot="1" x14ac:dyDescent="0.35">
      <c r="C42" s="99" t="s">
        <v>70</v>
      </c>
      <c r="D42" s="139">
        <v>190.4</v>
      </c>
      <c r="E42" s="102"/>
      <c r="F42" s="102"/>
      <c r="G42" s="102"/>
      <c r="H42" s="102"/>
      <c r="I42" s="102"/>
      <c r="J42" s="102"/>
      <c r="K42" s="102"/>
      <c r="L42" s="102"/>
      <c r="M42" s="102"/>
      <c r="N42" s="103"/>
    </row>
    <row r="43" spans="1:15" x14ac:dyDescent="0.25"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1:15" ht="15" x14ac:dyDescent="0.3">
      <c r="A44" s="98" t="s">
        <v>96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110"/>
    </row>
    <row r="45" spans="1:15" ht="15.75" thickBot="1" x14ac:dyDescent="0.35">
      <c r="B45" s="98" t="s">
        <v>97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110"/>
    </row>
    <row r="46" spans="1:15" ht="15" x14ac:dyDescent="0.3">
      <c r="C46" s="99" t="s">
        <v>91</v>
      </c>
      <c r="D46" s="78">
        <f>463+73.71</f>
        <v>536.71</v>
      </c>
      <c r="E46" s="79">
        <f>416.88+E11</f>
        <v>490.59</v>
      </c>
      <c r="F46" s="79">
        <f>73.11+379.07</f>
        <v>452.18</v>
      </c>
      <c r="G46" s="79">
        <v>476.84</v>
      </c>
      <c r="H46" s="79">
        <v>488.44</v>
      </c>
      <c r="I46" s="79">
        <f>397.03+I11</f>
        <v>470.73999999999995</v>
      </c>
      <c r="J46" s="140">
        <v>429.38</v>
      </c>
      <c r="K46" s="140">
        <v>467.33</v>
      </c>
      <c r="L46" s="79">
        <v>0</v>
      </c>
      <c r="M46" s="79">
        <v>452.18</v>
      </c>
      <c r="N46" s="80">
        <v>503.09</v>
      </c>
      <c r="O46" s="110"/>
    </row>
    <row r="47" spans="1:15" ht="15" x14ac:dyDescent="0.3">
      <c r="C47" s="99" t="s">
        <v>66</v>
      </c>
      <c r="D47" s="81">
        <f>600.19+231.77</f>
        <v>831.96</v>
      </c>
      <c r="E47" s="82">
        <f>601.34+E12</f>
        <v>801.12</v>
      </c>
      <c r="F47" s="82">
        <f>184.74+587.02</f>
        <v>771.76</v>
      </c>
      <c r="G47" s="82">
        <v>821.94</v>
      </c>
      <c r="H47" s="82">
        <v>837.97</v>
      </c>
      <c r="I47" s="82">
        <f>609.94+I12</f>
        <v>811.48</v>
      </c>
      <c r="J47" s="141">
        <v>659.65</v>
      </c>
      <c r="K47" s="141">
        <v>701.77</v>
      </c>
      <c r="L47" s="82">
        <v>0</v>
      </c>
      <c r="M47" s="82">
        <v>771.78</v>
      </c>
      <c r="N47" s="84"/>
      <c r="O47" s="110"/>
    </row>
    <row r="48" spans="1:15" ht="15" x14ac:dyDescent="0.3">
      <c r="C48" s="99" t="s">
        <v>125</v>
      </c>
      <c r="D48" s="81">
        <f>614.76+272.01</f>
        <v>886.77</v>
      </c>
      <c r="E48" s="82">
        <f>227.07+635.32</f>
        <v>862.3900000000001</v>
      </c>
      <c r="F48" s="82">
        <f>209.97+611.46</f>
        <v>821.43000000000006</v>
      </c>
      <c r="G48" s="83"/>
      <c r="H48" s="83"/>
      <c r="I48" s="83"/>
      <c r="J48" s="83"/>
      <c r="K48" s="141">
        <v>689.57</v>
      </c>
      <c r="L48" s="83"/>
      <c r="M48" s="83"/>
      <c r="N48" s="84"/>
      <c r="O48" s="110"/>
    </row>
    <row r="49" spans="2:15" ht="15" x14ac:dyDescent="0.3">
      <c r="C49" s="99" t="s">
        <v>126</v>
      </c>
      <c r="D49" s="100"/>
      <c r="E49" s="82">
        <f>263.12+619.32</f>
        <v>882.44</v>
      </c>
      <c r="F49" s="83"/>
      <c r="G49" s="83"/>
      <c r="H49" s="83"/>
      <c r="I49" s="83"/>
      <c r="J49" s="83"/>
      <c r="K49" s="83"/>
      <c r="L49" s="83"/>
      <c r="M49" s="83"/>
      <c r="N49" s="84"/>
      <c r="O49" s="110"/>
    </row>
    <row r="50" spans="2:15" ht="15" x14ac:dyDescent="0.3">
      <c r="C50" s="99" t="s">
        <v>68</v>
      </c>
      <c r="D50" s="81">
        <f>27036.76+18916.72</f>
        <v>45953.479999999996</v>
      </c>
      <c r="E50" s="82">
        <f>E15+32905.9</f>
        <v>48737.43</v>
      </c>
      <c r="F50" s="83"/>
      <c r="G50" s="82">
        <v>47005.04</v>
      </c>
      <c r="H50" s="83"/>
      <c r="I50" s="83"/>
      <c r="J50" s="83"/>
      <c r="K50" s="83"/>
      <c r="L50" s="83"/>
      <c r="M50" s="83"/>
      <c r="N50" s="84"/>
      <c r="O50" s="110"/>
    </row>
    <row r="51" spans="2:15" ht="15" x14ac:dyDescent="0.3">
      <c r="C51" s="99" t="s">
        <v>69</v>
      </c>
      <c r="D51" s="81">
        <f>19394.56+14177.78</f>
        <v>33572.340000000004</v>
      </c>
      <c r="E51" s="83"/>
      <c r="F51" s="83"/>
      <c r="G51" s="83"/>
      <c r="H51" s="83"/>
      <c r="I51" s="83"/>
      <c r="J51" s="83"/>
      <c r="K51" s="83"/>
      <c r="L51" s="83"/>
      <c r="M51" s="83"/>
      <c r="N51" s="84"/>
      <c r="O51" s="110"/>
    </row>
    <row r="52" spans="2:15" ht="15" x14ac:dyDescent="0.3">
      <c r="C52" s="99" t="s">
        <v>122</v>
      </c>
      <c r="D52" s="85">
        <f>21399.42+8561.74</f>
        <v>29961.159999999996</v>
      </c>
      <c r="E52" s="87"/>
      <c r="F52" s="87"/>
      <c r="G52" s="87"/>
      <c r="H52" s="87"/>
      <c r="I52" s="87"/>
      <c r="J52" s="87"/>
      <c r="K52" s="87"/>
      <c r="L52" s="87"/>
      <c r="M52" s="87"/>
      <c r="N52" s="101"/>
      <c r="O52" s="110"/>
    </row>
    <row r="53" spans="2:15" ht="15" x14ac:dyDescent="0.3">
      <c r="C53" s="99" t="s">
        <v>94</v>
      </c>
      <c r="D53" s="143">
        <f>7619.06+11908.78</f>
        <v>19527.84</v>
      </c>
      <c r="E53" s="87"/>
      <c r="F53" s="87"/>
      <c r="G53" s="85">
        <v>17640</v>
      </c>
      <c r="H53" s="87"/>
      <c r="I53" s="87"/>
      <c r="J53" s="87"/>
      <c r="K53" s="87"/>
      <c r="L53" s="87"/>
      <c r="M53" s="87"/>
      <c r="N53" s="101"/>
      <c r="O53" s="110"/>
    </row>
    <row r="54" spans="2:15" ht="15.75" thickBot="1" x14ac:dyDescent="0.35">
      <c r="C54" s="99" t="s">
        <v>70</v>
      </c>
      <c r="D54" s="86">
        <f>24485.22+16449.4</f>
        <v>40934.620000000003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3"/>
      <c r="O54" s="110"/>
    </row>
    <row r="55" spans="2:15" x14ac:dyDescent="0.25">
      <c r="O55" s="110"/>
    </row>
    <row r="56" spans="2:15" ht="15.75" thickBot="1" x14ac:dyDescent="0.35">
      <c r="B56" s="98" t="s">
        <v>71</v>
      </c>
      <c r="O56" s="110"/>
    </row>
    <row r="57" spans="2:15" ht="15.75" thickBot="1" x14ac:dyDescent="0.35">
      <c r="C57" s="99" t="s">
        <v>91</v>
      </c>
      <c r="D57" s="78">
        <f>TRUNC(D46*0.05,2)-0.01</f>
        <v>26.819999999999997</v>
      </c>
      <c r="E57" s="79">
        <f t="shared" ref="E57:M57" si="2">TRUNC(E46*0.05,2)</f>
        <v>24.52</v>
      </c>
      <c r="F57" s="79">
        <f t="shared" si="2"/>
        <v>22.6</v>
      </c>
      <c r="G57" s="79">
        <f t="shared" si="2"/>
        <v>23.84</v>
      </c>
      <c r="H57" s="79">
        <f t="shared" si="2"/>
        <v>24.42</v>
      </c>
      <c r="I57" s="79">
        <f t="shared" si="2"/>
        <v>23.53</v>
      </c>
      <c r="J57" s="79">
        <f t="shared" si="2"/>
        <v>21.46</v>
      </c>
      <c r="K57" s="79">
        <f t="shared" si="2"/>
        <v>23.36</v>
      </c>
      <c r="L57" s="79">
        <f t="shared" si="2"/>
        <v>0</v>
      </c>
      <c r="M57" s="79">
        <f t="shared" si="2"/>
        <v>22.6</v>
      </c>
      <c r="N57" s="111">
        <v>25.14</v>
      </c>
      <c r="O57" s="110"/>
    </row>
    <row r="58" spans="2:15" ht="15.75" thickBot="1" x14ac:dyDescent="0.35">
      <c r="C58" s="99" t="s">
        <v>66</v>
      </c>
      <c r="D58" s="78">
        <f>TRUNC(D47*0.05,2)-0.01</f>
        <v>41.580000000000005</v>
      </c>
      <c r="E58" s="82">
        <f t="shared" ref="E58:M58" si="3">TRUNC(E47*0.05,2)</f>
        <v>40.049999999999997</v>
      </c>
      <c r="F58" s="82">
        <f t="shared" si="3"/>
        <v>38.58</v>
      </c>
      <c r="G58" s="82">
        <f t="shared" si="3"/>
        <v>41.09</v>
      </c>
      <c r="H58" s="82">
        <f t="shared" si="3"/>
        <v>41.89</v>
      </c>
      <c r="I58" s="82">
        <f t="shared" si="3"/>
        <v>40.57</v>
      </c>
      <c r="J58" s="82">
        <f t="shared" si="3"/>
        <v>32.979999999999997</v>
      </c>
      <c r="K58" s="82">
        <f t="shared" si="3"/>
        <v>35.08</v>
      </c>
      <c r="L58" s="82">
        <f t="shared" si="3"/>
        <v>0</v>
      </c>
      <c r="M58" s="82">
        <f t="shared" si="3"/>
        <v>38.58</v>
      </c>
      <c r="N58" s="84"/>
      <c r="O58" s="110"/>
    </row>
    <row r="59" spans="2:15" ht="15" x14ac:dyDescent="0.3">
      <c r="C59" s="99" t="s">
        <v>125</v>
      </c>
      <c r="D59" s="78">
        <f>TRUNC(D48*0.05,2)</f>
        <v>44.33</v>
      </c>
      <c r="E59" s="82">
        <f>TRUNC(E48*0.05,2)</f>
        <v>43.11</v>
      </c>
      <c r="F59" s="82">
        <f>TRUNC(F48*0.05,2)</f>
        <v>41.07</v>
      </c>
      <c r="G59" s="83"/>
      <c r="H59" s="83"/>
      <c r="I59" s="83"/>
      <c r="J59" s="83"/>
      <c r="K59" s="82">
        <f>TRUNC(K48*0.05,2)</f>
        <v>34.47</v>
      </c>
      <c r="L59" s="83"/>
      <c r="M59" s="83"/>
      <c r="N59" s="84"/>
      <c r="O59" s="110"/>
    </row>
    <row r="60" spans="2:15" ht="15" x14ac:dyDescent="0.3">
      <c r="C60" s="99" t="s">
        <v>126</v>
      </c>
      <c r="D60" s="100"/>
      <c r="E60" s="82">
        <f>TRUNC(E49*0.05,2)</f>
        <v>44.12</v>
      </c>
      <c r="F60" s="83"/>
      <c r="G60" s="83"/>
      <c r="H60" s="83"/>
      <c r="I60" s="83"/>
      <c r="J60" s="83"/>
      <c r="K60" s="83"/>
      <c r="L60" s="83"/>
      <c r="M60" s="83"/>
      <c r="N60" s="84"/>
      <c r="O60" s="110"/>
    </row>
    <row r="61" spans="2:15" ht="15" x14ac:dyDescent="0.3">
      <c r="C61" s="99" t="s">
        <v>68</v>
      </c>
      <c r="D61" s="81">
        <f>TRUNC(D50*0.05,2)-0.03</f>
        <v>2297.64</v>
      </c>
      <c r="E61" s="82">
        <f>TRUNC(E50*0.05,2)</f>
        <v>2436.87</v>
      </c>
      <c r="F61" s="83"/>
      <c r="G61" s="82">
        <f>TRUNC(G50*0.05,2)</f>
        <v>2350.25</v>
      </c>
      <c r="H61" s="83"/>
      <c r="I61" s="83"/>
      <c r="J61" s="83"/>
      <c r="K61" s="83"/>
      <c r="L61" s="83"/>
      <c r="M61" s="83"/>
      <c r="N61" s="84"/>
      <c r="O61" s="110"/>
    </row>
    <row r="62" spans="2:15" ht="15" x14ac:dyDescent="0.3">
      <c r="C62" s="99" t="s">
        <v>69</v>
      </c>
      <c r="D62" s="81">
        <f>TRUNC(D51*0.05,2)-0.01</f>
        <v>1678.6</v>
      </c>
      <c r="E62" s="83"/>
      <c r="F62" s="83"/>
      <c r="G62" s="83"/>
      <c r="H62" s="83"/>
      <c r="I62" s="83"/>
      <c r="J62" s="83"/>
      <c r="K62" s="83"/>
      <c r="L62" s="83"/>
      <c r="M62" s="83"/>
      <c r="N62" s="84"/>
      <c r="O62" s="110"/>
    </row>
    <row r="63" spans="2:15" ht="15" x14ac:dyDescent="0.3">
      <c r="C63" s="99" t="s">
        <v>122</v>
      </c>
      <c r="D63" s="81">
        <f>TRUNC(D52*0.05,2)-0.01</f>
        <v>1498.04</v>
      </c>
      <c r="E63" s="87"/>
      <c r="F63" s="87"/>
      <c r="G63" s="87"/>
      <c r="H63" s="87"/>
      <c r="I63" s="87"/>
      <c r="J63" s="87"/>
      <c r="K63" s="87"/>
      <c r="L63" s="87"/>
      <c r="M63" s="87"/>
      <c r="N63" s="101"/>
      <c r="O63" s="110"/>
    </row>
    <row r="64" spans="2:15" ht="15" x14ac:dyDescent="0.3">
      <c r="C64" s="99" t="s">
        <v>94</v>
      </c>
      <c r="D64" s="81">
        <f>TRUNC(D53*0.05,2)-0.03</f>
        <v>976.36</v>
      </c>
      <c r="E64" s="87"/>
      <c r="F64" s="87"/>
      <c r="G64" s="81">
        <f>TRUNC(G53*0.05,2)</f>
        <v>882</v>
      </c>
      <c r="H64" s="87"/>
      <c r="I64" s="87"/>
      <c r="J64" s="87"/>
      <c r="K64" s="87"/>
      <c r="L64" s="87"/>
      <c r="M64" s="87"/>
      <c r="N64" s="101"/>
      <c r="O64" s="110"/>
    </row>
    <row r="65" spans="1:15" ht="15.75" thickBot="1" x14ac:dyDescent="0.35">
      <c r="C65" s="99" t="s">
        <v>70</v>
      </c>
      <c r="D65" s="86">
        <f>TRUNC(D54*0.05,2)-0.01</f>
        <v>2046.72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3"/>
      <c r="O65" s="110"/>
    </row>
    <row r="66" spans="1:15" ht="15" x14ac:dyDescent="0.3">
      <c r="C66" s="99"/>
      <c r="D66" s="131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10"/>
    </row>
    <row r="67" spans="1:15" ht="15.75" thickBot="1" x14ac:dyDescent="0.35">
      <c r="B67" s="98" t="s">
        <v>95</v>
      </c>
    </row>
    <row r="68" spans="1:15" ht="15" x14ac:dyDescent="0.3">
      <c r="C68" s="99" t="s">
        <v>91</v>
      </c>
      <c r="D68" s="105">
        <v>4.76</v>
      </c>
      <c r="E68" s="106">
        <v>4.76</v>
      </c>
      <c r="F68" s="106">
        <v>4.76</v>
      </c>
      <c r="G68" s="106">
        <v>4.76</v>
      </c>
      <c r="H68" s="106">
        <v>4.76</v>
      </c>
      <c r="I68" s="106">
        <v>4.76</v>
      </c>
      <c r="J68" s="106">
        <v>4.76</v>
      </c>
      <c r="K68" s="106">
        <v>4.76</v>
      </c>
      <c r="L68" s="106">
        <v>4.76</v>
      </c>
      <c r="M68" s="106">
        <v>4.76</v>
      </c>
      <c r="N68" s="107">
        <v>4.76</v>
      </c>
    </row>
    <row r="69" spans="1:15" ht="15" x14ac:dyDescent="0.3">
      <c r="C69" s="99" t="s">
        <v>66</v>
      </c>
      <c r="D69" s="108">
        <v>4.76</v>
      </c>
      <c r="E69" s="109">
        <v>4.76</v>
      </c>
      <c r="F69" s="109">
        <v>4.76</v>
      </c>
      <c r="G69" s="109">
        <v>4.76</v>
      </c>
      <c r="H69" s="109">
        <v>4.76</v>
      </c>
      <c r="I69" s="109">
        <v>4.76</v>
      </c>
      <c r="J69" s="109">
        <v>4.76</v>
      </c>
      <c r="K69" s="109">
        <v>4.76</v>
      </c>
      <c r="L69" s="109">
        <v>4.76</v>
      </c>
      <c r="M69" s="109">
        <v>4.76</v>
      </c>
      <c r="N69" s="84"/>
    </row>
    <row r="70" spans="1:15" ht="15" x14ac:dyDescent="0.3">
      <c r="C70" s="99" t="s">
        <v>67</v>
      </c>
      <c r="D70" s="108">
        <v>4.76</v>
      </c>
      <c r="E70" s="109">
        <v>4.76</v>
      </c>
      <c r="F70" s="109">
        <v>4.76</v>
      </c>
      <c r="G70" s="83"/>
      <c r="H70" s="83"/>
      <c r="I70" s="83"/>
      <c r="J70" s="83"/>
      <c r="K70" s="109">
        <v>4.76</v>
      </c>
      <c r="L70" s="83"/>
      <c r="M70" s="83"/>
      <c r="N70" s="84"/>
    </row>
    <row r="71" spans="1:15" ht="15" x14ac:dyDescent="0.3">
      <c r="C71" s="99" t="s">
        <v>68</v>
      </c>
      <c r="D71" s="108">
        <f>92.8+97.6</f>
        <v>190.39999999999998</v>
      </c>
      <c r="E71" s="109">
        <v>190.4</v>
      </c>
      <c r="F71" s="83"/>
      <c r="G71" s="109">
        <v>190.4</v>
      </c>
      <c r="H71" s="83"/>
      <c r="I71" s="83"/>
      <c r="J71" s="83"/>
      <c r="K71" s="83"/>
      <c r="L71" s="83"/>
      <c r="M71" s="83"/>
      <c r="N71" s="84"/>
    </row>
    <row r="72" spans="1:15" ht="15" x14ac:dyDescent="0.3">
      <c r="C72" s="99" t="s">
        <v>69</v>
      </c>
      <c r="D72" s="108">
        <f>92.8+97.6</f>
        <v>190.39999999999998</v>
      </c>
      <c r="E72" s="83"/>
      <c r="F72" s="83"/>
      <c r="G72" s="83"/>
      <c r="H72" s="83"/>
      <c r="I72" s="83"/>
      <c r="J72" s="83"/>
      <c r="K72" s="83"/>
      <c r="L72" s="83"/>
      <c r="M72" s="83"/>
      <c r="N72" s="84"/>
    </row>
    <row r="73" spans="1:15" ht="15" x14ac:dyDescent="0.3">
      <c r="C73" s="99" t="s">
        <v>122</v>
      </c>
      <c r="D73" s="143">
        <f>83.52+87.84</f>
        <v>171.36</v>
      </c>
      <c r="E73" s="87"/>
      <c r="F73" s="87"/>
      <c r="G73" s="87"/>
      <c r="H73" s="87"/>
      <c r="I73" s="87"/>
      <c r="J73" s="87"/>
      <c r="K73" s="87"/>
      <c r="L73" s="87"/>
      <c r="M73" s="87"/>
      <c r="N73" s="101"/>
    </row>
    <row r="74" spans="1:15" ht="15" x14ac:dyDescent="0.3">
      <c r="C74" s="99" t="s">
        <v>94</v>
      </c>
      <c r="D74" s="85">
        <f>90.48+95.16</f>
        <v>185.64</v>
      </c>
      <c r="E74" s="87"/>
      <c r="F74" s="87"/>
      <c r="G74" s="85">
        <v>190.4</v>
      </c>
      <c r="H74" s="87"/>
      <c r="I74" s="87"/>
      <c r="J74" s="87"/>
      <c r="K74" s="87"/>
      <c r="L74" s="87"/>
      <c r="M74" s="87"/>
      <c r="N74" s="101"/>
    </row>
    <row r="75" spans="1:15" ht="15.75" thickBot="1" x14ac:dyDescent="0.35">
      <c r="C75" s="99" t="s">
        <v>70</v>
      </c>
      <c r="D75" s="139">
        <f>92.8+97.6</f>
        <v>190.39999999999998</v>
      </c>
      <c r="E75" s="102"/>
      <c r="F75" s="102"/>
      <c r="G75" s="102"/>
      <c r="H75" s="102"/>
      <c r="I75" s="102"/>
      <c r="J75" s="102"/>
      <c r="K75" s="102"/>
      <c r="L75" s="102"/>
      <c r="M75" s="102"/>
      <c r="N75" s="103"/>
    </row>
    <row r="76" spans="1:15" x14ac:dyDescent="0.25">
      <c r="O76" s="110"/>
    </row>
    <row r="77" spans="1:15" ht="15" x14ac:dyDescent="0.3">
      <c r="A77" s="98" t="s">
        <v>72</v>
      </c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</row>
    <row r="78" spans="1:15" ht="15.75" thickBot="1" x14ac:dyDescent="0.35">
      <c r="B78" s="98" t="s">
        <v>73</v>
      </c>
    </row>
    <row r="79" spans="1:15" ht="15" x14ac:dyDescent="0.3">
      <c r="C79" s="99" t="s">
        <v>74</v>
      </c>
      <c r="D79" s="112">
        <v>9.24</v>
      </c>
      <c r="E79" s="113">
        <v>8.5500000000000007</v>
      </c>
      <c r="F79" s="113">
        <v>10</v>
      </c>
      <c r="G79" s="113">
        <v>8.08</v>
      </c>
      <c r="H79" s="113">
        <v>10</v>
      </c>
      <c r="I79" s="113">
        <v>9.98</v>
      </c>
      <c r="J79" s="113">
        <v>9.3699999999999992</v>
      </c>
      <c r="K79" s="113">
        <v>10.52</v>
      </c>
      <c r="L79" s="113">
        <v>11.73</v>
      </c>
      <c r="M79" s="113">
        <v>9.6999999999999993</v>
      </c>
      <c r="N79" s="114">
        <v>15.1</v>
      </c>
    </row>
    <row r="80" spans="1:15" ht="15.75" thickBot="1" x14ac:dyDescent="0.35">
      <c r="C80" s="99" t="s">
        <v>75</v>
      </c>
      <c r="D80" s="115"/>
      <c r="E80" s="116"/>
      <c r="F80" s="116"/>
      <c r="G80" s="116">
        <v>7</v>
      </c>
      <c r="H80" s="116"/>
      <c r="I80" s="116"/>
      <c r="J80" s="116"/>
      <c r="K80" s="116"/>
      <c r="L80" s="116"/>
      <c r="M80" s="116"/>
      <c r="N80" s="117"/>
    </row>
    <row r="81" spans="2:14" ht="15.75" thickBot="1" x14ac:dyDescent="0.35">
      <c r="B81" s="98" t="s">
        <v>76</v>
      </c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</row>
    <row r="82" spans="2:14" ht="15" x14ac:dyDescent="0.3">
      <c r="B82" s="98"/>
      <c r="C82" s="99" t="s">
        <v>74</v>
      </c>
      <c r="D82" s="112">
        <v>1.9</v>
      </c>
      <c r="E82" s="113">
        <v>5.98</v>
      </c>
      <c r="F82" s="113">
        <v>8.75</v>
      </c>
      <c r="G82" s="113">
        <v>10.16</v>
      </c>
      <c r="H82" s="113">
        <v>13.75</v>
      </c>
      <c r="I82" s="113">
        <v>12.82</v>
      </c>
      <c r="J82" s="113">
        <v>11.09</v>
      </c>
      <c r="K82" s="113">
        <f>11.66-2</f>
        <v>9.66</v>
      </c>
      <c r="L82" s="113">
        <v>10.25</v>
      </c>
      <c r="M82" s="113">
        <v>10.54</v>
      </c>
      <c r="N82" s="114">
        <v>2.2999999999999998</v>
      </c>
    </row>
    <row r="83" spans="2:14" ht="30" x14ac:dyDescent="0.3">
      <c r="B83" s="98"/>
      <c r="C83" s="119" t="s">
        <v>99</v>
      </c>
      <c r="D83" s="120"/>
      <c r="E83" s="121"/>
      <c r="F83" s="121"/>
      <c r="G83" s="121"/>
      <c r="H83" s="121"/>
      <c r="I83" s="121"/>
      <c r="J83" s="121"/>
      <c r="K83" s="121">
        <v>2</v>
      </c>
      <c r="L83" s="121"/>
      <c r="M83" s="121"/>
      <c r="N83" s="122"/>
    </row>
    <row r="84" spans="2:14" ht="15.75" thickBot="1" x14ac:dyDescent="0.35">
      <c r="B84" s="98"/>
      <c r="C84" s="99" t="s">
        <v>100</v>
      </c>
      <c r="D84" s="123">
        <f>SUM(D82:D83)</f>
        <v>1.9</v>
      </c>
      <c r="E84" s="124">
        <f t="shared" ref="E84:N84" si="4">SUM(E82:E83)</f>
        <v>5.98</v>
      </c>
      <c r="F84" s="124">
        <f t="shared" si="4"/>
        <v>8.75</v>
      </c>
      <c r="G84" s="124">
        <f t="shared" si="4"/>
        <v>10.16</v>
      </c>
      <c r="H84" s="124">
        <f t="shared" si="4"/>
        <v>13.75</v>
      </c>
      <c r="I84" s="124">
        <f t="shared" si="4"/>
        <v>12.82</v>
      </c>
      <c r="J84" s="124">
        <f t="shared" si="4"/>
        <v>11.09</v>
      </c>
      <c r="K84" s="124">
        <f t="shared" si="4"/>
        <v>11.66</v>
      </c>
      <c r="L84" s="124">
        <f t="shared" si="4"/>
        <v>10.25</v>
      </c>
      <c r="M84" s="124">
        <f t="shared" si="4"/>
        <v>10.54</v>
      </c>
      <c r="N84" s="125">
        <f t="shared" si="4"/>
        <v>2.2999999999999998</v>
      </c>
    </row>
    <row r="85" spans="2:14" ht="15" x14ac:dyDescent="0.3">
      <c r="B85" s="98"/>
      <c r="C85" s="99" t="s">
        <v>75</v>
      </c>
      <c r="D85" s="120"/>
      <c r="E85" s="121"/>
      <c r="F85" s="121"/>
      <c r="G85" s="121">
        <v>10</v>
      </c>
      <c r="H85" s="121"/>
      <c r="I85" s="121"/>
      <c r="J85" s="121"/>
      <c r="K85" s="121">
        <v>10</v>
      </c>
      <c r="L85" s="121"/>
      <c r="M85" s="121"/>
      <c r="N85" s="122"/>
    </row>
    <row r="87" spans="2:14" ht="15.75" thickBot="1" x14ac:dyDescent="0.35">
      <c r="B87" s="98" t="s">
        <v>77</v>
      </c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</row>
    <row r="88" spans="2:14" ht="15" x14ac:dyDescent="0.3">
      <c r="C88" s="99" t="s">
        <v>74</v>
      </c>
      <c r="D88" s="112">
        <v>8.7799999999999994</v>
      </c>
      <c r="E88" s="113">
        <v>7.55</v>
      </c>
      <c r="F88" s="113"/>
      <c r="G88" s="113">
        <v>7.27</v>
      </c>
      <c r="H88" s="113">
        <v>5</v>
      </c>
      <c r="I88" s="113">
        <v>3.64</v>
      </c>
      <c r="J88" s="113">
        <v>7.95</v>
      </c>
      <c r="K88" s="113"/>
      <c r="L88" s="113">
        <v>5.07</v>
      </c>
      <c r="M88" s="113"/>
      <c r="N88" s="114">
        <v>4.16</v>
      </c>
    </row>
    <row r="89" spans="2:14" ht="15.75" thickBot="1" x14ac:dyDescent="0.35">
      <c r="C89" s="99" t="s">
        <v>75</v>
      </c>
      <c r="D89" s="115"/>
      <c r="E89" s="116"/>
      <c r="F89" s="116">
        <v>59</v>
      </c>
      <c r="G89" s="116"/>
      <c r="H89" s="116"/>
      <c r="I89" s="116"/>
      <c r="J89" s="116"/>
      <c r="K89" s="116">
        <v>67.2</v>
      </c>
      <c r="L89" s="116"/>
      <c r="M89" s="116">
        <v>47.5</v>
      </c>
      <c r="N89" s="117"/>
    </row>
    <row r="90" spans="2:14" ht="15.75" thickBot="1" x14ac:dyDescent="0.35">
      <c r="B90" s="98" t="s">
        <v>78</v>
      </c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</row>
    <row r="91" spans="2:14" ht="15" x14ac:dyDescent="0.3">
      <c r="C91" s="99" t="s">
        <v>74</v>
      </c>
      <c r="D91" s="78">
        <v>4.8099999999999996</v>
      </c>
      <c r="E91" s="79"/>
      <c r="F91" s="79"/>
      <c r="G91" s="79">
        <v>2.25</v>
      </c>
      <c r="H91" s="79"/>
      <c r="I91" s="79">
        <v>1.8</v>
      </c>
      <c r="J91" s="79">
        <v>5.84</v>
      </c>
      <c r="K91" s="79"/>
      <c r="L91" s="79"/>
      <c r="M91" s="79"/>
      <c r="N91" s="80"/>
    </row>
    <row r="92" spans="2:14" ht="15.75" thickBot="1" x14ac:dyDescent="0.35">
      <c r="C92" s="99" t="s">
        <v>75</v>
      </c>
      <c r="D92" s="115"/>
      <c r="E92" s="116">
        <v>6</v>
      </c>
      <c r="F92" s="116">
        <v>46.8</v>
      </c>
      <c r="G92" s="116"/>
      <c r="H92" s="116">
        <v>50</v>
      </c>
      <c r="I92" s="116"/>
      <c r="J92" s="116"/>
      <c r="K92" s="116">
        <v>61</v>
      </c>
      <c r="L92" s="116"/>
      <c r="M92" s="116"/>
      <c r="N92" s="117"/>
    </row>
    <row r="93" spans="2:14" ht="15.75" thickBot="1" x14ac:dyDescent="0.35">
      <c r="B93" s="98" t="s">
        <v>79</v>
      </c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</row>
    <row r="94" spans="2:14" ht="15.75" thickBot="1" x14ac:dyDescent="0.35">
      <c r="C94" s="99" t="s">
        <v>75</v>
      </c>
      <c r="D94" s="126">
        <f>369.6+76+351.2+192.4</f>
        <v>989.19999999999993</v>
      </c>
      <c r="E94" s="127">
        <v>1010.88</v>
      </c>
      <c r="F94" s="128"/>
      <c r="G94" s="127">
        <v>1010.32</v>
      </c>
      <c r="H94" s="128"/>
      <c r="I94" s="128"/>
      <c r="J94" s="128"/>
      <c r="K94" s="128"/>
      <c r="L94" s="128"/>
      <c r="M94" s="128"/>
      <c r="N94" s="129"/>
    </row>
    <row r="95" spans="2:14" s="18" customFormat="1" thickBot="1" x14ac:dyDescent="0.25">
      <c r="B95" s="22" t="s">
        <v>101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</row>
    <row r="96" spans="2:14" s="18" customFormat="1" thickBot="1" x14ac:dyDescent="0.25">
      <c r="C96" s="20" t="s">
        <v>75</v>
      </c>
      <c r="D96" s="40">
        <f>332.64+68.4+316.08+173.16</f>
        <v>890.27999999999986</v>
      </c>
      <c r="E96" s="74"/>
      <c r="F96" s="74"/>
      <c r="G96" s="74"/>
      <c r="H96" s="74"/>
      <c r="I96" s="74"/>
      <c r="J96" s="74"/>
      <c r="K96" s="74"/>
      <c r="L96" s="74"/>
      <c r="M96" s="74"/>
      <c r="N96" s="75"/>
    </row>
    <row r="97" spans="1:14" s="18" customFormat="1" thickBot="1" x14ac:dyDescent="0.25">
      <c r="B97" s="22" t="s">
        <v>132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spans="1:14" s="18" customFormat="1" thickBot="1" x14ac:dyDescent="0.25">
      <c r="C98" s="20" t="s">
        <v>75</v>
      </c>
      <c r="D98" s="40">
        <f>360.36+74.1+342.42+187.58</f>
        <v>964.46000000000015</v>
      </c>
      <c r="E98" s="41"/>
      <c r="F98" s="74"/>
      <c r="G98" s="74"/>
      <c r="H98" s="74"/>
      <c r="I98" s="74"/>
      <c r="J98" s="74"/>
      <c r="K98" s="74"/>
      <c r="L98" s="74"/>
      <c r="M98" s="74"/>
      <c r="N98" s="75"/>
    </row>
    <row r="99" spans="1:14" ht="15" x14ac:dyDescent="0.3">
      <c r="B99" s="98" t="s">
        <v>102</v>
      </c>
      <c r="C99" s="98"/>
      <c r="D99" s="130"/>
      <c r="E99" s="131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ht="15" x14ac:dyDescent="0.3">
      <c r="B100" s="98"/>
      <c r="C100" s="99" t="s">
        <v>103</v>
      </c>
      <c r="D100" s="130"/>
      <c r="E100" s="131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ht="15" x14ac:dyDescent="0.3">
      <c r="C101" s="133" t="s">
        <v>81</v>
      </c>
      <c r="D101" s="134"/>
      <c r="E101" s="131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ht="15.75" thickBot="1" x14ac:dyDescent="0.35">
      <c r="C102" s="99" t="s">
        <v>75</v>
      </c>
      <c r="D102" s="123"/>
      <c r="E102" s="116">
        <v>200</v>
      </c>
      <c r="F102" s="116"/>
      <c r="G102" s="116">
        <v>20</v>
      </c>
      <c r="H102" s="116"/>
      <c r="I102" s="116"/>
      <c r="J102" s="116">
        <v>200</v>
      </c>
      <c r="K102" s="116"/>
      <c r="L102" s="116"/>
      <c r="M102" s="116"/>
      <c r="N102" s="117"/>
    </row>
    <row r="103" spans="1:14" ht="15" x14ac:dyDescent="0.3">
      <c r="C103" s="99" t="s">
        <v>74</v>
      </c>
      <c r="D103" s="131"/>
      <c r="E103" s="131"/>
      <c r="F103" s="132"/>
      <c r="G103" s="132">
        <v>1.5</v>
      </c>
      <c r="H103" s="132"/>
      <c r="I103" s="132"/>
      <c r="J103" s="132"/>
      <c r="K103" s="132"/>
      <c r="L103" s="132"/>
      <c r="M103" s="132"/>
      <c r="N103" s="132"/>
    </row>
    <row r="104" spans="1:14" ht="15.75" thickBot="1" x14ac:dyDescent="0.35">
      <c r="A104" s="98" t="s">
        <v>80</v>
      </c>
    </row>
    <row r="105" spans="1:14" ht="15.75" thickBot="1" x14ac:dyDescent="0.35">
      <c r="B105" s="98"/>
      <c r="C105" s="98"/>
      <c r="D105" s="135"/>
      <c r="E105" s="136"/>
      <c r="F105" s="136"/>
      <c r="G105" s="136">
        <v>200</v>
      </c>
      <c r="H105" s="136"/>
      <c r="I105" s="136"/>
      <c r="J105" s="136"/>
      <c r="K105" s="136"/>
      <c r="L105" s="136"/>
      <c r="M105" s="136"/>
      <c r="N105" s="137"/>
    </row>
    <row r="106" spans="1:14" x14ac:dyDescent="0.25">
      <c r="C106" s="138" t="s">
        <v>127</v>
      </c>
    </row>
    <row r="107" spans="1:14" x14ac:dyDescent="0.25">
      <c r="C107" s="138" t="s">
        <v>106</v>
      </c>
    </row>
  </sheetData>
  <phoneticPr fontId="0" type="noConversion"/>
  <printOptions horizontalCentered="1"/>
  <pageMargins left="0.25" right="0.25" top="0.4" bottom="0.4" header="0.5" footer="0.25"/>
  <pageSetup scale="88" orientation="landscape" r:id="rId1"/>
  <headerFooter alignWithMargins="0">
    <oddFooter>&amp;L
&amp;R&amp;"Book Antiqua,Regular"&amp;8Prepared by Office of Planning and  Institutional Research, Board of Governors, State University System of Florida,  &amp;F .&amp;A  &amp;D</oddFooter>
  </headerFooter>
  <rowBreaks count="2" manualBreakCount="2">
    <brk id="43" max="15" man="1"/>
    <brk id="75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9"/>
  <sheetViews>
    <sheetView zoomScale="75" zoomScaleNormal="100" zoomScaleSheetLayoutView="75" workbookViewId="0">
      <pane xSplit="3" ySplit="8" topLeftCell="D64" activePane="bottomRight" state="frozen"/>
      <selection pane="topRight" activeCell="D1" sqref="D1"/>
      <selection pane="bottomLeft" activeCell="A9" sqref="A9"/>
      <selection pane="bottomRight" activeCell="A94" sqref="A93:IV94"/>
    </sheetView>
  </sheetViews>
  <sheetFormatPr defaultColWidth="9.140625" defaultRowHeight="12.75" x14ac:dyDescent="0.2"/>
  <cols>
    <col min="1" max="2" width="2.7109375" style="18" customWidth="1"/>
    <col min="3" max="3" width="17.85546875" style="18" customWidth="1"/>
    <col min="4" max="4" width="10.7109375" style="18" bestFit="1" customWidth="1"/>
    <col min="5" max="5" width="10.85546875" style="18" bestFit="1" customWidth="1"/>
    <col min="6" max="6" width="9.28515625" style="18" bestFit="1" customWidth="1"/>
    <col min="7" max="7" width="11.7109375" style="18" bestFit="1" customWidth="1"/>
    <col min="8" max="13" width="9.28515625" style="18" bestFit="1" customWidth="1"/>
    <col min="14" max="14" width="9.7109375" style="18" bestFit="1" customWidth="1"/>
    <col min="15" max="16384" width="9.140625" style="18"/>
  </cols>
  <sheetData>
    <row r="1" spans="1:15" ht="15.75" x14ac:dyDescent="0.25">
      <c r="A1" s="16" t="s">
        <v>119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51"/>
    </row>
    <row r="2" spans="1:15" x14ac:dyDescent="0.2">
      <c r="A2" s="17" t="s">
        <v>87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x14ac:dyDescent="0.2">
      <c r="A4" s="52" t="s">
        <v>88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s="53" customFormat="1" x14ac:dyDescent="0.2">
      <c r="A5" s="52" t="s">
        <v>89</v>
      </c>
    </row>
    <row r="6" spans="1:15" s="53" customFormat="1" x14ac:dyDescent="0.2">
      <c r="A6" s="52" t="s">
        <v>90</v>
      </c>
    </row>
    <row r="7" spans="1:15" s="53" customFormat="1" x14ac:dyDescent="0.2">
      <c r="A7" s="52"/>
    </row>
    <row r="8" spans="1:15" x14ac:dyDescent="0.2">
      <c r="D8" s="21" t="s">
        <v>0</v>
      </c>
      <c r="E8" s="21" t="s">
        <v>1</v>
      </c>
      <c r="F8" s="21" t="s">
        <v>2</v>
      </c>
      <c r="G8" s="21" t="s">
        <v>3</v>
      </c>
      <c r="H8" s="21" t="s">
        <v>4</v>
      </c>
      <c r="I8" s="21" t="s">
        <v>5</v>
      </c>
      <c r="J8" s="21" t="s">
        <v>6</v>
      </c>
      <c r="K8" s="21" t="s">
        <v>7</v>
      </c>
      <c r="L8" s="21" t="s">
        <v>8</v>
      </c>
      <c r="M8" s="21" t="s">
        <v>9</v>
      </c>
      <c r="N8" s="21" t="s">
        <v>10</v>
      </c>
      <c r="O8" s="21"/>
    </row>
    <row r="9" spans="1:15" x14ac:dyDescent="0.2">
      <c r="A9" s="22" t="s">
        <v>65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3.5" thickBot="1" x14ac:dyDescent="0.25">
      <c r="B10" s="22" t="s">
        <v>30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13.5" x14ac:dyDescent="0.25">
      <c r="C11" s="20" t="s">
        <v>91</v>
      </c>
      <c r="D11" s="78">
        <v>73.709999999999994</v>
      </c>
      <c r="E11" s="79">
        <v>73.709999999999994</v>
      </c>
      <c r="F11" s="79">
        <v>73.709999999999994</v>
      </c>
      <c r="G11" s="79">
        <v>73.709999999999994</v>
      </c>
      <c r="H11" s="79">
        <v>73.709999999999994</v>
      </c>
      <c r="I11" s="79">
        <v>73.709999999999994</v>
      </c>
      <c r="J11" s="79">
        <v>73.709999999999994</v>
      </c>
      <c r="K11" s="79">
        <v>73.709999999999994</v>
      </c>
      <c r="L11" s="79">
        <v>73.709999999999994</v>
      </c>
      <c r="M11" s="79">
        <v>73.709999999999994</v>
      </c>
      <c r="N11" s="80">
        <v>73.709999999999994</v>
      </c>
    </row>
    <row r="12" spans="1:15" ht="13.5" x14ac:dyDescent="0.25">
      <c r="C12" s="20" t="s">
        <v>66</v>
      </c>
      <c r="D12" s="81">
        <v>242.81</v>
      </c>
      <c r="E12" s="82">
        <v>199.78</v>
      </c>
      <c r="F12" s="82">
        <v>180.24</v>
      </c>
      <c r="G12" s="82">
        <v>207.59</v>
      </c>
      <c r="H12" s="82">
        <v>200.59</v>
      </c>
      <c r="I12" s="82">
        <v>201.54</v>
      </c>
      <c r="J12" s="82">
        <v>207.58</v>
      </c>
      <c r="K12" s="82">
        <f>201.55*110%</f>
        <v>221.70500000000004</v>
      </c>
      <c r="L12" s="82">
        <v>206.17</v>
      </c>
      <c r="M12" s="82">
        <v>180.24</v>
      </c>
      <c r="N12" s="26"/>
    </row>
    <row r="13" spans="1:15" ht="13.5" x14ac:dyDescent="0.25">
      <c r="C13" s="20" t="s">
        <v>67</v>
      </c>
      <c r="D13" s="81">
        <v>284.95999999999998</v>
      </c>
      <c r="E13" s="82">
        <v>281</v>
      </c>
      <c r="F13" s="82">
        <v>204.85</v>
      </c>
      <c r="G13" s="83"/>
      <c r="H13" s="83"/>
      <c r="I13" s="83"/>
      <c r="J13" s="83"/>
      <c r="K13" s="82">
        <f>229.07*110%</f>
        <v>251.977</v>
      </c>
      <c r="L13" s="83"/>
      <c r="M13" s="83"/>
      <c r="N13" s="84"/>
    </row>
    <row r="14" spans="1:15" x14ac:dyDescent="0.2">
      <c r="C14" s="20" t="s">
        <v>92</v>
      </c>
      <c r="D14" s="27"/>
      <c r="E14" s="25">
        <v>255.46</v>
      </c>
      <c r="F14" s="27"/>
      <c r="G14" s="27"/>
      <c r="H14" s="27"/>
      <c r="I14" s="27"/>
      <c r="J14" s="27"/>
      <c r="K14" s="27"/>
      <c r="L14" s="27"/>
      <c r="M14" s="27"/>
      <c r="N14" s="26"/>
    </row>
    <row r="15" spans="1:15" ht="13.5" x14ac:dyDescent="0.25">
      <c r="C15" s="20" t="s">
        <v>68</v>
      </c>
      <c r="D15" s="81">
        <v>18916.72</v>
      </c>
      <c r="E15" s="82">
        <v>15831.53</v>
      </c>
      <c r="F15" s="83"/>
      <c r="G15" s="82">
        <v>17271.830000000002</v>
      </c>
      <c r="H15" s="83"/>
      <c r="I15" s="83"/>
      <c r="J15" s="83"/>
      <c r="K15" s="83"/>
      <c r="L15" s="83"/>
      <c r="M15" s="83"/>
      <c r="N15" s="84"/>
    </row>
    <row r="16" spans="1:15" ht="13.5" x14ac:dyDescent="0.25">
      <c r="C16" s="20" t="s">
        <v>69</v>
      </c>
      <c r="D16" s="81">
        <v>14852.92</v>
      </c>
      <c r="E16" s="27"/>
      <c r="F16" s="27"/>
      <c r="G16" s="27"/>
      <c r="H16" s="27"/>
      <c r="I16" s="27"/>
      <c r="J16" s="27"/>
      <c r="K16" s="27"/>
      <c r="L16" s="27"/>
      <c r="M16" s="27"/>
      <c r="N16" s="26"/>
    </row>
    <row r="17" spans="2:14" ht="14.25" thickBot="1" x14ac:dyDescent="0.3">
      <c r="C17" s="20" t="s">
        <v>70</v>
      </c>
      <c r="D17" s="86">
        <v>17232.7</v>
      </c>
      <c r="E17" s="55"/>
      <c r="F17" s="55"/>
      <c r="G17" s="55"/>
      <c r="H17" s="55"/>
      <c r="I17" s="55"/>
      <c r="J17" s="55"/>
      <c r="K17" s="55"/>
      <c r="L17" s="55"/>
      <c r="M17" s="55"/>
      <c r="N17" s="56"/>
    </row>
    <row r="18" spans="2:14" ht="13.5" x14ac:dyDescent="0.25">
      <c r="C18" s="20" t="s">
        <v>93</v>
      </c>
      <c r="D18" s="85">
        <v>8969.44</v>
      </c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4.25" thickBot="1" x14ac:dyDescent="0.3">
      <c r="C19" s="20" t="s">
        <v>94</v>
      </c>
      <c r="D19" s="85">
        <v>11908.78</v>
      </c>
      <c r="E19" s="87"/>
      <c r="F19" s="87"/>
      <c r="G19" s="85">
        <v>12978</v>
      </c>
      <c r="H19" s="29"/>
      <c r="I19" s="29"/>
      <c r="J19" s="29"/>
      <c r="K19" s="29"/>
      <c r="L19" s="29"/>
      <c r="M19" s="29"/>
      <c r="N19" s="30"/>
    </row>
    <row r="21" spans="2:14" ht="13.5" thickBot="1" x14ac:dyDescent="0.25">
      <c r="B21" s="22" t="s">
        <v>71</v>
      </c>
      <c r="E21" s="31"/>
    </row>
    <row r="22" spans="2:14" ht="13.5" x14ac:dyDescent="0.25">
      <c r="C22" s="20" t="s">
        <v>91</v>
      </c>
      <c r="D22" s="78">
        <v>3.68</v>
      </c>
      <c r="E22" s="79">
        <v>3.68</v>
      </c>
      <c r="F22" s="88">
        <v>3.68</v>
      </c>
      <c r="G22" s="79">
        <v>3.68</v>
      </c>
      <c r="H22" s="79">
        <v>3.68</v>
      </c>
      <c r="I22" s="79">
        <v>3.68</v>
      </c>
      <c r="J22" s="79">
        <v>3.68</v>
      </c>
      <c r="K22" s="79">
        <v>3.68</v>
      </c>
      <c r="L22" s="79">
        <v>3.68</v>
      </c>
      <c r="M22" s="79">
        <v>3.68</v>
      </c>
      <c r="N22" s="80">
        <v>3.68</v>
      </c>
    </row>
    <row r="23" spans="2:14" x14ac:dyDescent="0.2">
      <c r="C23" s="20" t="s">
        <v>66</v>
      </c>
      <c r="D23" s="24">
        <f t="shared" ref="D23:M23" si="0">TRUNC(D12*0.05,2)</f>
        <v>12.14</v>
      </c>
      <c r="E23" s="25">
        <f t="shared" si="0"/>
        <v>9.98</v>
      </c>
      <c r="F23" s="25">
        <f t="shared" si="0"/>
        <v>9.01</v>
      </c>
      <c r="G23" s="25">
        <f t="shared" si="0"/>
        <v>10.37</v>
      </c>
      <c r="H23" s="25">
        <f t="shared" si="0"/>
        <v>10.02</v>
      </c>
      <c r="I23" s="25">
        <f t="shared" si="0"/>
        <v>10.07</v>
      </c>
      <c r="J23" s="25">
        <f t="shared" si="0"/>
        <v>10.37</v>
      </c>
      <c r="K23" s="25">
        <f t="shared" si="0"/>
        <v>11.08</v>
      </c>
      <c r="L23" s="25">
        <f t="shared" si="0"/>
        <v>10.3</v>
      </c>
      <c r="M23" s="25">
        <f t="shared" si="0"/>
        <v>9.01</v>
      </c>
      <c r="N23" s="26"/>
    </row>
    <row r="24" spans="2:14" x14ac:dyDescent="0.2">
      <c r="C24" s="20" t="s">
        <v>67</v>
      </c>
      <c r="D24" s="24">
        <f>TRUNC(D13*0.05,2)</f>
        <v>14.24</v>
      </c>
      <c r="E24" s="25">
        <f>TRUNC(E13*0.05,2)</f>
        <v>14.05</v>
      </c>
      <c r="F24" s="25">
        <f>TRUNC(F13*0.05,2)</f>
        <v>10.24</v>
      </c>
      <c r="G24" s="27"/>
      <c r="H24" s="27"/>
      <c r="I24" s="27"/>
      <c r="J24" s="27"/>
      <c r="K24" s="25">
        <f>TRUNC(K13*0.05,2)</f>
        <v>12.59</v>
      </c>
      <c r="L24" s="27"/>
      <c r="M24" s="27"/>
      <c r="N24" s="26"/>
    </row>
    <row r="25" spans="2:14" x14ac:dyDescent="0.2">
      <c r="C25" s="20" t="s">
        <v>92</v>
      </c>
      <c r="D25" s="27"/>
      <c r="E25" s="25">
        <f>TRUNC(E14*0.05,2)</f>
        <v>12.77</v>
      </c>
      <c r="F25" s="27"/>
      <c r="G25" s="27"/>
      <c r="H25" s="27"/>
      <c r="I25" s="27"/>
      <c r="J25" s="27"/>
      <c r="K25" s="27"/>
      <c r="L25" s="27"/>
      <c r="M25" s="27"/>
      <c r="N25" s="26"/>
    </row>
    <row r="26" spans="2:14" x14ac:dyDescent="0.2">
      <c r="C26" s="20" t="s">
        <v>68</v>
      </c>
      <c r="D26" s="24">
        <f>TRUNC(D15*0.05,2)</f>
        <v>945.83</v>
      </c>
      <c r="E26" s="25">
        <f>TRUNC(E15*0.05,2)</f>
        <v>791.57</v>
      </c>
      <c r="F26" s="27"/>
      <c r="G26" s="25">
        <f>TRUNC(G15*0.05,2)</f>
        <v>863.59</v>
      </c>
      <c r="H26" s="27"/>
      <c r="I26" s="27"/>
      <c r="J26" s="27"/>
      <c r="K26" s="27"/>
      <c r="L26" s="27"/>
      <c r="M26" s="27"/>
      <c r="N26" s="26"/>
    </row>
    <row r="27" spans="2:14" x14ac:dyDescent="0.2">
      <c r="C27" s="20" t="s">
        <v>69</v>
      </c>
      <c r="D27" s="24">
        <f>TRUNC(D16*0.05,2)</f>
        <v>742.64</v>
      </c>
      <c r="E27" s="27"/>
      <c r="F27" s="27"/>
      <c r="G27" s="27"/>
      <c r="H27" s="27"/>
      <c r="I27" s="27"/>
      <c r="J27" s="27"/>
      <c r="K27" s="27"/>
      <c r="L27" s="27"/>
      <c r="M27" s="27"/>
      <c r="N27" s="26"/>
    </row>
    <row r="28" spans="2:14" x14ac:dyDescent="0.2">
      <c r="C28" s="20" t="s">
        <v>70</v>
      </c>
      <c r="D28" s="24">
        <f>TRUNC(D17*0.05,2)</f>
        <v>861.63</v>
      </c>
      <c r="E28" s="55"/>
      <c r="F28" s="55"/>
      <c r="G28" s="55"/>
      <c r="H28" s="55"/>
      <c r="I28" s="55"/>
      <c r="J28" s="55"/>
      <c r="K28" s="55"/>
      <c r="L28" s="55"/>
      <c r="M28" s="55"/>
      <c r="N28" s="56"/>
    </row>
    <row r="29" spans="2:14" x14ac:dyDescent="0.2">
      <c r="C29" s="20" t="s">
        <v>93</v>
      </c>
      <c r="D29" s="57">
        <f>TRUNC(D18*0.05,2)</f>
        <v>448.47</v>
      </c>
      <c r="E29" s="55"/>
      <c r="F29" s="55"/>
      <c r="G29" s="55"/>
      <c r="H29" s="55"/>
      <c r="I29" s="55"/>
      <c r="J29" s="55"/>
      <c r="K29" s="55"/>
      <c r="L29" s="55"/>
      <c r="M29" s="55"/>
      <c r="N29" s="56"/>
    </row>
    <row r="30" spans="2:14" ht="13.5" thickBot="1" x14ac:dyDescent="0.25">
      <c r="C30" s="20" t="s">
        <v>94</v>
      </c>
      <c r="D30" s="29"/>
      <c r="E30" s="29"/>
      <c r="F30" s="29"/>
      <c r="G30" s="38">
        <f>TRUNC(G19*0.05,2)</f>
        <v>648.9</v>
      </c>
      <c r="H30" s="29"/>
      <c r="I30" s="29"/>
      <c r="J30" s="29"/>
      <c r="K30" s="29"/>
      <c r="L30" s="29"/>
      <c r="M30" s="29"/>
      <c r="N30" s="30"/>
    </row>
    <row r="32" spans="2:14" ht="13.5" thickBot="1" x14ac:dyDescent="0.25">
      <c r="B32" s="22" t="s">
        <v>95</v>
      </c>
    </row>
    <row r="33" spans="1:15" x14ac:dyDescent="0.2">
      <c r="C33" s="20" t="s">
        <v>91</v>
      </c>
      <c r="D33" s="34">
        <v>4.76</v>
      </c>
      <c r="E33" s="35">
        <v>4.76</v>
      </c>
      <c r="F33" s="35">
        <v>4.76</v>
      </c>
      <c r="G33" s="35">
        <v>4.76</v>
      </c>
      <c r="H33" s="35">
        <v>4.76</v>
      </c>
      <c r="I33" s="35">
        <v>4.76</v>
      </c>
      <c r="J33" s="35">
        <v>4.76</v>
      </c>
      <c r="K33" s="35">
        <v>4.76</v>
      </c>
      <c r="L33" s="35">
        <v>4.76</v>
      </c>
      <c r="M33" s="35">
        <v>4.76</v>
      </c>
      <c r="N33" s="58">
        <v>4.76</v>
      </c>
    </row>
    <row r="34" spans="1:15" x14ac:dyDescent="0.2">
      <c r="C34" s="20" t="s">
        <v>66</v>
      </c>
      <c r="D34" s="36">
        <v>4.76</v>
      </c>
      <c r="E34" s="37">
        <v>4.76</v>
      </c>
      <c r="F34" s="37">
        <v>4.76</v>
      </c>
      <c r="G34" s="37">
        <v>4.76</v>
      </c>
      <c r="H34" s="37">
        <v>4.76</v>
      </c>
      <c r="I34" s="37">
        <v>4.76</v>
      </c>
      <c r="J34" s="37">
        <v>4.76</v>
      </c>
      <c r="K34" s="37">
        <v>4.76</v>
      </c>
      <c r="L34" s="37">
        <v>4.76</v>
      </c>
      <c r="M34" s="37">
        <v>4.76</v>
      </c>
      <c r="N34" s="26"/>
    </row>
    <row r="35" spans="1:15" x14ac:dyDescent="0.2">
      <c r="C35" s="20" t="s">
        <v>67</v>
      </c>
      <c r="D35" s="36">
        <v>4.76</v>
      </c>
      <c r="E35" s="37">
        <v>4.76</v>
      </c>
      <c r="F35" s="37">
        <v>4.76</v>
      </c>
      <c r="G35" s="27"/>
      <c r="H35" s="27"/>
      <c r="I35" s="27"/>
      <c r="J35" s="27"/>
      <c r="K35" s="37">
        <v>4.76</v>
      </c>
      <c r="L35" s="27"/>
      <c r="M35" s="27"/>
      <c r="N35" s="26"/>
    </row>
    <row r="36" spans="1:15" x14ac:dyDescent="0.2">
      <c r="C36" s="20" t="s">
        <v>68</v>
      </c>
      <c r="D36" s="36">
        <v>190.4</v>
      </c>
      <c r="E36" s="37">
        <v>190.4</v>
      </c>
      <c r="F36" s="27"/>
      <c r="G36" s="37">
        <v>190.4</v>
      </c>
      <c r="H36" s="27"/>
      <c r="I36" s="27"/>
      <c r="J36" s="27"/>
      <c r="K36" s="27"/>
      <c r="L36" s="27"/>
      <c r="M36" s="27"/>
      <c r="N36" s="26"/>
    </row>
    <row r="37" spans="1:15" x14ac:dyDescent="0.2">
      <c r="C37" s="20" t="s">
        <v>69</v>
      </c>
      <c r="D37" s="36">
        <v>190.4</v>
      </c>
      <c r="E37" s="27"/>
      <c r="F37" s="27"/>
      <c r="G37" s="27"/>
      <c r="H37" s="27"/>
      <c r="I37" s="27"/>
      <c r="J37" s="27"/>
      <c r="K37" s="27"/>
      <c r="L37" s="27"/>
      <c r="M37" s="27"/>
      <c r="N37" s="26"/>
    </row>
    <row r="38" spans="1:15" x14ac:dyDescent="0.2">
      <c r="C38" s="20" t="s">
        <v>70</v>
      </c>
      <c r="D38" s="59">
        <v>190.4</v>
      </c>
      <c r="E38" s="55"/>
      <c r="F38" s="55"/>
      <c r="G38" s="55"/>
      <c r="H38" s="55"/>
      <c r="I38" s="55"/>
      <c r="J38" s="55"/>
      <c r="K38" s="55"/>
      <c r="L38" s="55"/>
      <c r="M38" s="55"/>
      <c r="N38" s="56"/>
    </row>
    <row r="39" spans="1:15" x14ac:dyDescent="0.2">
      <c r="C39" s="20" t="s">
        <v>93</v>
      </c>
      <c r="D39" s="59">
        <v>171.36</v>
      </c>
      <c r="E39" s="55"/>
      <c r="F39" s="55"/>
      <c r="G39" s="55"/>
      <c r="H39" s="55"/>
      <c r="I39" s="55"/>
      <c r="J39" s="55"/>
      <c r="K39" s="55"/>
      <c r="L39" s="55"/>
      <c r="M39" s="55"/>
      <c r="N39" s="56"/>
    </row>
    <row r="40" spans="1:15" ht="13.5" thickBot="1" x14ac:dyDescent="0.25">
      <c r="C40" s="20" t="s">
        <v>94</v>
      </c>
      <c r="D40" s="29"/>
      <c r="E40" s="29"/>
      <c r="F40" s="29"/>
      <c r="G40" s="60">
        <v>190.4</v>
      </c>
      <c r="H40" s="29"/>
      <c r="I40" s="29"/>
      <c r="J40" s="29"/>
      <c r="K40" s="29"/>
      <c r="L40" s="29"/>
      <c r="M40" s="29"/>
      <c r="N40" s="30"/>
    </row>
    <row r="41" spans="1:15" x14ac:dyDescent="0.2">
      <c r="E41"/>
      <c r="F41"/>
      <c r="G41"/>
      <c r="H41"/>
      <c r="I41"/>
      <c r="J41"/>
      <c r="K41"/>
      <c r="L41"/>
      <c r="M41"/>
      <c r="N41"/>
      <c r="O41"/>
    </row>
    <row r="42" spans="1:15" x14ac:dyDescent="0.2">
      <c r="A42" s="22" t="s">
        <v>96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/>
    </row>
    <row r="43" spans="1:15" ht="13.5" thickBot="1" x14ac:dyDescent="0.25">
      <c r="B43" s="22" t="s">
        <v>97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/>
    </row>
    <row r="44" spans="1:15" x14ac:dyDescent="0.2">
      <c r="C44" s="20" t="s">
        <v>91</v>
      </c>
      <c r="D44" s="23">
        <v>500.65</v>
      </c>
      <c r="E44" s="32">
        <v>488.45</v>
      </c>
      <c r="F44" s="32">
        <v>452.18</v>
      </c>
      <c r="G44" s="32">
        <v>476.84</v>
      </c>
      <c r="H44" s="32">
        <v>488.44</v>
      </c>
      <c r="I44" s="32">
        <f>397.03+I11</f>
        <v>470.73999999999995</v>
      </c>
      <c r="J44" s="32">
        <v>488.45</v>
      </c>
      <c r="K44" s="32">
        <v>465.19</v>
      </c>
      <c r="L44" s="32">
        <v>441.16</v>
      </c>
      <c r="M44" s="32">
        <v>452.18</v>
      </c>
      <c r="N44" s="33">
        <v>488.5</v>
      </c>
      <c r="O44"/>
    </row>
    <row r="45" spans="1:15" x14ac:dyDescent="0.2">
      <c r="C45" s="20" t="s">
        <v>66</v>
      </c>
      <c r="D45" s="24">
        <v>820.93</v>
      </c>
      <c r="E45" s="25">
        <v>795.31</v>
      </c>
      <c r="F45" s="25">
        <v>771.76</v>
      </c>
      <c r="G45" s="25">
        <v>821.94</v>
      </c>
      <c r="H45" s="25">
        <v>837.97</v>
      </c>
      <c r="I45" s="25">
        <f>609.94+I12</f>
        <v>811.48</v>
      </c>
      <c r="J45" s="25">
        <v>841.98</v>
      </c>
      <c r="K45" s="25">
        <v>801.9</v>
      </c>
      <c r="L45" s="25">
        <v>763.34</v>
      </c>
      <c r="M45" s="25">
        <v>771.78</v>
      </c>
      <c r="N45" s="26"/>
      <c r="O45"/>
    </row>
    <row r="46" spans="1:15" x14ac:dyDescent="0.2">
      <c r="C46" s="20" t="s">
        <v>67</v>
      </c>
      <c r="D46" s="24">
        <v>873.82</v>
      </c>
      <c r="E46" s="25">
        <v>855.78</v>
      </c>
      <c r="F46" s="25">
        <v>821.43</v>
      </c>
      <c r="G46" s="27"/>
      <c r="H46" s="27"/>
      <c r="I46" s="27"/>
      <c r="J46" s="27"/>
      <c r="K46" s="25">
        <v>666.67</v>
      </c>
      <c r="L46" s="27"/>
      <c r="M46" s="27"/>
      <c r="N46" s="26"/>
      <c r="O46"/>
    </row>
    <row r="47" spans="1:15" x14ac:dyDescent="0.2">
      <c r="C47" s="20" t="s">
        <v>98</v>
      </c>
      <c r="D47" s="27"/>
      <c r="E47" s="25">
        <v>845.29</v>
      </c>
      <c r="F47" s="27"/>
      <c r="G47" s="27"/>
      <c r="H47" s="27"/>
      <c r="I47" s="27"/>
      <c r="J47" s="27"/>
      <c r="K47" s="27"/>
      <c r="L47" s="27"/>
      <c r="M47" s="27"/>
      <c r="N47" s="26"/>
      <c r="O47"/>
    </row>
    <row r="48" spans="1:15" x14ac:dyDescent="0.2">
      <c r="C48" s="20" t="s">
        <v>68</v>
      </c>
      <c r="D48" s="24">
        <v>45052.68</v>
      </c>
      <c r="E48" s="25">
        <v>48737.43</v>
      </c>
      <c r="F48" s="27"/>
      <c r="G48" s="25">
        <v>47005.04</v>
      </c>
      <c r="H48" s="27"/>
      <c r="I48" s="27"/>
      <c r="J48" s="27"/>
      <c r="K48" s="27"/>
      <c r="L48" s="27"/>
      <c r="M48" s="27"/>
      <c r="N48" s="26"/>
      <c r="O48"/>
    </row>
    <row r="49" spans="2:15" x14ac:dyDescent="0.2">
      <c r="C49" s="20" t="s">
        <v>69</v>
      </c>
      <c r="D49" s="24">
        <v>32897.22</v>
      </c>
      <c r="E49" s="27"/>
      <c r="F49" s="27"/>
      <c r="G49" s="27"/>
      <c r="H49" s="27"/>
      <c r="I49" s="27"/>
      <c r="J49" s="27"/>
      <c r="K49" s="27"/>
      <c r="L49" s="27"/>
      <c r="M49" s="27"/>
      <c r="N49" s="26"/>
      <c r="O49"/>
    </row>
    <row r="50" spans="2:15" x14ac:dyDescent="0.2">
      <c r="C50" s="20" t="s">
        <v>70</v>
      </c>
      <c r="D50" s="54">
        <v>40151.339999999997</v>
      </c>
      <c r="E50" s="55"/>
      <c r="F50" s="55"/>
      <c r="G50" s="55"/>
      <c r="H50" s="55"/>
      <c r="I50" s="55"/>
      <c r="J50" s="55"/>
      <c r="K50" s="55"/>
      <c r="L50" s="55"/>
      <c r="M50" s="55"/>
      <c r="N50" s="56"/>
      <c r="O50"/>
    </row>
    <row r="51" spans="2:15" x14ac:dyDescent="0.2">
      <c r="C51" s="20" t="s">
        <v>93</v>
      </c>
      <c r="D51" s="54">
        <v>29553.46</v>
      </c>
      <c r="E51" s="55"/>
      <c r="F51" s="55"/>
      <c r="G51" s="55"/>
      <c r="H51" s="55"/>
      <c r="I51" s="55"/>
      <c r="J51" s="55"/>
      <c r="K51" s="55"/>
      <c r="L51" s="55"/>
      <c r="M51" s="55"/>
      <c r="N51" s="56"/>
      <c r="O51"/>
    </row>
    <row r="52" spans="2:15" ht="13.5" thickBot="1" x14ac:dyDescent="0.25">
      <c r="C52" s="20" t="s">
        <v>94</v>
      </c>
      <c r="D52" s="29"/>
      <c r="E52" s="29"/>
      <c r="F52" s="29"/>
      <c r="G52" s="38">
        <v>16800</v>
      </c>
      <c r="H52" s="29"/>
      <c r="I52" s="29"/>
      <c r="J52" s="29"/>
      <c r="K52" s="29"/>
      <c r="L52" s="29"/>
      <c r="M52" s="29"/>
      <c r="N52" s="30"/>
      <c r="O52"/>
    </row>
    <row r="53" spans="2:15" x14ac:dyDescent="0.2">
      <c r="O53"/>
    </row>
    <row r="54" spans="2:15" ht="13.5" thickBot="1" x14ac:dyDescent="0.25">
      <c r="B54" s="22" t="s">
        <v>71</v>
      </c>
      <c r="O54"/>
    </row>
    <row r="55" spans="2:15" x14ac:dyDescent="0.2">
      <c r="C55" s="20" t="s">
        <v>91</v>
      </c>
      <c r="D55" s="23">
        <f t="shared" ref="D55:N55" si="1">TRUNC(D44*0.05,2)</f>
        <v>25.03</v>
      </c>
      <c r="E55" s="32">
        <f t="shared" si="1"/>
        <v>24.42</v>
      </c>
      <c r="F55" s="32">
        <f t="shared" si="1"/>
        <v>22.6</v>
      </c>
      <c r="G55" s="32">
        <f t="shared" si="1"/>
        <v>23.84</v>
      </c>
      <c r="H55" s="32">
        <f t="shared" si="1"/>
        <v>24.42</v>
      </c>
      <c r="I55" s="32">
        <f t="shared" si="1"/>
        <v>23.53</v>
      </c>
      <c r="J55" s="32">
        <f t="shared" si="1"/>
        <v>24.42</v>
      </c>
      <c r="K55" s="32">
        <f t="shared" si="1"/>
        <v>23.25</v>
      </c>
      <c r="L55" s="32">
        <f t="shared" si="1"/>
        <v>22.05</v>
      </c>
      <c r="M55" s="32">
        <f t="shared" si="1"/>
        <v>22.6</v>
      </c>
      <c r="N55" s="33">
        <f t="shared" si="1"/>
        <v>24.42</v>
      </c>
      <c r="O55"/>
    </row>
    <row r="56" spans="2:15" x14ac:dyDescent="0.2">
      <c r="C56" s="20" t="s">
        <v>66</v>
      </c>
      <c r="D56" s="24">
        <f t="shared" ref="D56:M56" si="2">TRUNC(D45*0.05,2)</f>
        <v>41.04</v>
      </c>
      <c r="E56" s="25">
        <f t="shared" si="2"/>
        <v>39.76</v>
      </c>
      <c r="F56" s="25">
        <f t="shared" si="2"/>
        <v>38.58</v>
      </c>
      <c r="G56" s="25">
        <f t="shared" si="2"/>
        <v>41.09</v>
      </c>
      <c r="H56" s="25">
        <f t="shared" si="2"/>
        <v>41.89</v>
      </c>
      <c r="I56" s="25">
        <f t="shared" si="2"/>
        <v>40.57</v>
      </c>
      <c r="J56" s="25">
        <f t="shared" si="2"/>
        <v>42.09</v>
      </c>
      <c r="K56" s="25">
        <f t="shared" si="2"/>
        <v>40.090000000000003</v>
      </c>
      <c r="L56" s="25">
        <f t="shared" si="2"/>
        <v>38.159999999999997</v>
      </c>
      <c r="M56" s="25">
        <f t="shared" si="2"/>
        <v>38.58</v>
      </c>
      <c r="N56" s="26"/>
      <c r="O56"/>
    </row>
    <row r="57" spans="2:15" x14ac:dyDescent="0.2">
      <c r="C57" s="20" t="s">
        <v>67</v>
      </c>
      <c r="D57" s="24">
        <f>TRUNC(D46*0.05,2)</f>
        <v>43.69</v>
      </c>
      <c r="E57" s="25">
        <f>TRUNC(E46*0.05,2)</f>
        <v>42.78</v>
      </c>
      <c r="F57" s="25">
        <f>TRUNC(F46*0.05,2)</f>
        <v>41.07</v>
      </c>
      <c r="G57" s="27"/>
      <c r="H57" s="27"/>
      <c r="I57" s="27"/>
      <c r="J57" s="27"/>
      <c r="K57" s="25">
        <f>TRUNC(K46*0.05,2)</f>
        <v>33.33</v>
      </c>
      <c r="L57" s="27"/>
      <c r="M57" s="27"/>
      <c r="N57" s="26"/>
      <c r="O57"/>
    </row>
    <row r="58" spans="2:15" x14ac:dyDescent="0.2">
      <c r="C58" s="20" t="s">
        <v>98</v>
      </c>
      <c r="D58" s="27"/>
      <c r="E58" s="25">
        <v>42.26</v>
      </c>
      <c r="F58" s="27"/>
      <c r="G58" s="27"/>
      <c r="H58" s="27"/>
      <c r="I58" s="27"/>
      <c r="J58" s="27"/>
      <c r="K58" s="27"/>
      <c r="L58" s="27"/>
      <c r="M58" s="27"/>
      <c r="N58" s="26"/>
      <c r="O58"/>
    </row>
    <row r="59" spans="2:15" x14ac:dyDescent="0.2">
      <c r="C59" s="20" t="s">
        <v>68</v>
      </c>
      <c r="D59" s="24">
        <f>TRUNC(D48*0.05,2)</f>
        <v>2252.63</v>
      </c>
      <c r="E59" s="25">
        <f>TRUNC(E48*0.05,2)</f>
        <v>2436.87</v>
      </c>
      <c r="F59" s="27"/>
      <c r="G59" s="25">
        <f>TRUNC(G48*0.05,2)</f>
        <v>2350.25</v>
      </c>
      <c r="H59" s="27"/>
      <c r="I59" s="27"/>
      <c r="J59" s="27"/>
      <c r="K59" s="27"/>
      <c r="L59" s="27"/>
      <c r="M59" s="27"/>
      <c r="N59" s="26"/>
      <c r="O59"/>
    </row>
    <row r="60" spans="2:15" x14ac:dyDescent="0.2">
      <c r="C60" s="20" t="s">
        <v>69</v>
      </c>
      <c r="D60" s="24">
        <f>TRUNC(D49*0.05,2)</f>
        <v>1644.86</v>
      </c>
      <c r="E60" s="27"/>
      <c r="F60" s="27"/>
      <c r="G60" s="27"/>
      <c r="H60" s="27"/>
      <c r="I60" s="27"/>
      <c r="J60" s="27"/>
      <c r="K60" s="27"/>
      <c r="L60" s="27"/>
      <c r="M60" s="27"/>
      <c r="N60" s="26"/>
      <c r="O60"/>
    </row>
    <row r="61" spans="2:15" x14ac:dyDescent="0.2">
      <c r="C61" s="20" t="s">
        <v>70</v>
      </c>
      <c r="D61" s="54">
        <f>TRUNC(D50*0.05,2)</f>
        <v>2007.56</v>
      </c>
      <c r="E61" s="55"/>
      <c r="F61" s="55"/>
      <c r="G61" s="55"/>
      <c r="H61" s="55"/>
      <c r="I61" s="55"/>
      <c r="J61" s="55"/>
      <c r="K61" s="55"/>
      <c r="L61" s="55"/>
      <c r="M61" s="55"/>
      <c r="N61" s="56"/>
      <c r="O61"/>
    </row>
    <row r="62" spans="2:15" ht="13.5" thickBot="1" x14ac:dyDescent="0.25">
      <c r="C62" s="20" t="s">
        <v>93</v>
      </c>
      <c r="D62" s="28">
        <f>TRUNC(D51*0.05,2)</f>
        <v>1477.67</v>
      </c>
      <c r="E62" s="55"/>
      <c r="F62" s="55"/>
      <c r="G62" s="55"/>
      <c r="H62" s="55"/>
      <c r="I62" s="55"/>
      <c r="J62" s="55"/>
      <c r="K62" s="55"/>
      <c r="L62" s="55"/>
      <c r="M62" s="55"/>
      <c r="N62" s="56"/>
      <c r="O62"/>
    </row>
    <row r="63" spans="2:15" ht="13.5" thickBot="1" x14ac:dyDescent="0.25">
      <c r="C63" s="20" t="s">
        <v>94</v>
      </c>
      <c r="D63" s="29"/>
      <c r="E63" s="29"/>
      <c r="F63" s="29"/>
      <c r="G63" s="38">
        <f>TRUNC(G52*0.05,2)</f>
        <v>840</v>
      </c>
      <c r="H63" s="29"/>
      <c r="I63" s="29"/>
      <c r="J63" s="29"/>
      <c r="K63" s="29"/>
      <c r="L63" s="29"/>
      <c r="M63" s="29"/>
      <c r="N63" s="30"/>
      <c r="O63"/>
    </row>
    <row r="64" spans="2:15" x14ac:dyDescent="0.2">
      <c r="C64" s="2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/>
    </row>
    <row r="65" spans="1:15" ht="13.5" thickBot="1" x14ac:dyDescent="0.25">
      <c r="B65" s="22" t="s">
        <v>95</v>
      </c>
    </row>
    <row r="66" spans="1:15" x14ac:dyDescent="0.2">
      <c r="C66" s="20" t="s">
        <v>91</v>
      </c>
      <c r="D66" s="34">
        <v>4.76</v>
      </c>
      <c r="E66" s="35">
        <v>4.76</v>
      </c>
      <c r="F66" s="35">
        <v>4.76</v>
      </c>
      <c r="G66" s="35">
        <v>4.76</v>
      </c>
      <c r="H66" s="35">
        <v>4.76</v>
      </c>
      <c r="I66" s="35">
        <v>4.76</v>
      </c>
      <c r="J66" s="35">
        <v>4.76</v>
      </c>
      <c r="K66" s="35">
        <v>4.76</v>
      </c>
      <c r="L66" s="35">
        <v>4.76</v>
      </c>
      <c r="M66" s="35">
        <v>4.76</v>
      </c>
      <c r="N66" s="58">
        <v>4.76</v>
      </c>
    </row>
    <row r="67" spans="1:15" x14ac:dyDescent="0.2">
      <c r="C67" s="20" t="s">
        <v>66</v>
      </c>
      <c r="D67" s="36">
        <v>4.76</v>
      </c>
      <c r="E67" s="37">
        <v>4.76</v>
      </c>
      <c r="F67" s="37">
        <v>4.76</v>
      </c>
      <c r="G67" s="37">
        <v>4.76</v>
      </c>
      <c r="H67" s="37">
        <v>4.76</v>
      </c>
      <c r="I67" s="37">
        <v>4.76</v>
      </c>
      <c r="J67" s="37">
        <v>4.76</v>
      </c>
      <c r="K67" s="37">
        <v>4.76</v>
      </c>
      <c r="L67" s="37">
        <v>4.76</v>
      </c>
      <c r="M67" s="37">
        <v>4.76</v>
      </c>
      <c r="N67" s="26"/>
    </row>
    <row r="68" spans="1:15" x14ac:dyDescent="0.2">
      <c r="C68" s="20" t="s">
        <v>67</v>
      </c>
      <c r="D68" s="36">
        <v>4.76</v>
      </c>
      <c r="E68" s="37">
        <v>4.76</v>
      </c>
      <c r="F68" s="37">
        <v>4.76</v>
      </c>
      <c r="G68" s="27"/>
      <c r="H68" s="27"/>
      <c r="I68" s="27"/>
      <c r="J68" s="27"/>
      <c r="K68" s="37">
        <v>4.76</v>
      </c>
      <c r="L68" s="27"/>
      <c r="M68" s="27"/>
      <c r="N68" s="26"/>
    </row>
    <row r="69" spans="1:15" x14ac:dyDescent="0.2">
      <c r="C69" s="20" t="s">
        <v>68</v>
      </c>
      <c r="D69" s="36">
        <v>190.4</v>
      </c>
      <c r="E69" s="37">
        <v>190.4</v>
      </c>
      <c r="F69" s="27"/>
      <c r="G69" s="37">
        <v>190.4</v>
      </c>
      <c r="H69" s="27"/>
      <c r="I69" s="27"/>
      <c r="J69" s="27"/>
      <c r="K69" s="27"/>
      <c r="L69" s="27"/>
      <c r="M69" s="27"/>
      <c r="N69" s="26"/>
    </row>
    <row r="70" spans="1:15" x14ac:dyDescent="0.2">
      <c r="C70" s="20" t="s">
        <v>69</v>
      </c>
      <c r="D70" s="36">
        <v>190.4</v>
      </c>
      <c r="E70" s="27"/>
      <c r="F70" s="27"/>
      <c r="G70" s="27"/>
      <c r="H70" s="27"/>
      <c r="I70" s="27"/>
      <c r="J70" s="27"/>
      <c r="K70" s="27"/>
      <c r="L70" s="27"/>
      <c r="M70" s="27"/>
      <c r="N70" s="26"/>
    </row>
    <row r="71" spans="1:15" x14ac:dyDescent="0.2">
      <c r="C71" s="20" t="s">
        <v>70</v>
      </c>
      <c r="D71" s="59">
        <v>190.4</v>
      </c>
      <c r="E71" s="55"/>
      <c r="F71" s="55"/>
      <c r="G71" s="55"/>
      <c r="H71" s="55"/>
      <c r="I71" s="55"/>
      <c r="J71" s="55"/>
      <c r="K71" s="55"/>
      <c r="L71" s="55"/>
      <c r="M71" s="55"/>
      <c r="N71" s="56"/>
    </row>
    <row r="72" spans="1:15" x14ac:dyDescent="0.2">
      <c r="C72" s="20" t="s">
        <v>93</v>
      </c>
      <c r="D72" s="59">
        <v>171.36</v>
      </c>
      <c r="E72" s="55"/>
      <c r="F72" s="55"/>
      <c r="G72" s="55"/>
      <c r="H72" s="55"/>
      <c r="I72" s="55"/>
      <c r="J72" s="55"/>
      <c r="K72" s="55"/>
      <c r="L72" s="55"/>
      <c r="M72" s="55"/>
      <c r="N72" s="56"/>
    </row>
    <row r="73" spans="1:15" ht="13.5" thickBot="1" x14ac:dyDescent="0.25">
      <c r="C73" s="20" t="s">
        <v>94</v>
      </c>
      <c r="D73" s="29"/>
      <c r="E73" s="29"/>
      <c r="F73" s="29"/>
      <c r="G73" s="60">
        <v>190.4</v>
      </c>
      <c r="H73" s="29"/>
      <c r="I73" s="29"/>
      <c r="J73" s="29"/>
      <c r="K73" s="29"/>
      <c r="L73" s="29"/>
      <c r="M73" s="29"/>
      <c r="N73" s="30"/>
    </row>
    <row r="74" spans="1:15" x14ac:dyDescent="0.2">
      <c r="O74"/>
    </row>
    <row r="75" spans="1:15" x14ac:dyDescent="0.2">
      <c r="A75" s="22" t="s">
        <v>72</v>
      </c>
      <c r="E75"/>
      <c r="F75"/>
      <c r="G75"/>
      <c r="H75"/>
      <c r="I75"/>
      <c r="J75"/>
      <c r="K75"/>
      <c r="L75"/>
      <c r="M75"/>
      <c r="N75"/>
      <c r="O75"/>
    </row>
    <row r="76" spans="1:15" ht="13.5" thickBot="1" x14ac:dyDescent="0.25">
      <c r="B76" s="22" t="s">
        <v>73</v>
      </c>
    </row>
    <row r="77" spans="1:15" x14ac:dyDescent="0.2">
      <c r="C77" s="20" t="s">
        <v>74</v>
      </c>
      <c r="D77" s="61">
        <v>8.64</v>
      </c>
      <c r="E77" s="62">
        <v>7.7</v>
      </c>
      <c r="F77" s="62">
        <v>10</v>
      </c>
      <c r="G77" s="62">
        <v>7.89</v>
      </c>
      <c r="H77" s="62">
        <v>10</v>
      </c>
      <c r="I77" s="62">
        <v>9.65</v>
      </c>
      <c r="J77" s="62">
        <v>9.3699999999999992</v>
      </c>
      <c r="K77" s="62">
        <v>10.52</v>
      </c>
      <c r="L77" s="62">
        <v>11.73</v>
      </c>
      <c r="M77" s="62">
        <v>10.94</v>
      </c>
      <c r="N77" s="63">
        <v>14.32</v>
      </c>
    </row>
    <row r="78" spans="1:15" ht="13.5" thickBot="1" x14ac:dyDescent="0.25">
      <c r="C78" s="20" t="s">
        <v>75</v>
      </c>
      <c r="D78" s="64"/>
      <c r="E78" s="65"/>
      <c r="F78" s="65"/>
      <c r="G78" s="65">
        <v>7</v>
      </c>
      <c r="H78" s="65"/>
      <c r="I78" s="65"/>
      <c r="J78" s="65"/>
      <c r="K78" s="65"/>
      <c r="L78" s="65"/>
      <c r="M78" s="65"/>
      <c r="N78" s="66"/>
    </row>
    <row r="79" spans="1:15" ht="13.5" thickBot="1" x14ac:dyDescent="0.25">
      <c r="B79" s="22" t="s">
        <v>76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</row>
    <row r="80" spans="1:15" x14ac:dyDescent="0.2">
      <c r="B80" s="22"/>
      <c r="C80" s="20" t="s">
        <v>74</v>
      </c>
      <c r="D80" s="61">
        <v>1.9</v>
      </c>
      <c r="E80" s="62">
        <v>5.98</v>
      </c>
      <c r="F80" s="62">
        <v>8.75</v>
      </c>
      <c r="G80" s="62">
        <v>9.5</v>
      </c>
      <c r="H80" s="62">
        <v>11.75</v>
      </c>
      <c r="I80" s="62">
        <v>12.34</v>
      </c>
      <c r="J80" s="62">
        <v>11.09</v>
      </c>
      <c r="K80" s="62">
        <v>11.66</v>
      </c>
      <c r="L80" s="62">
        <v>10.25</v>
      </c>
      <c r="M80" s="62">
        <v>10.54</v>
      </c>
      <c r="N80" s="63">
        <v>2.2999999999999998</v>
      </c>
    </row>
    <row r="81" spans="2:14" ht="38.25" x14ac:dyDescent="0.2">
      <c r="B81" s="22"/>
      <c r="C81" s="67" t="s">
        <v>99</v>
      </c>
      <c r="D81" s="68"/>
      <c r="E81" s="69"/>
      <c r="F81" s="69"/>
      <c r="G81" s="69"/>
      <c r="H81" s="69">
        <v>2</v>
      </c>
      <c r="I81" s="69"/>
      <c r="J81" s="69"/>
      <c r="K81" s="69">
        <v>2</v>
      </c>
      <c r="L81" s="69">
        <v>2</v>
      </c>
      <c r="M81" s="69">
        <v>2</v>
      </c>
      <c r="N81" s="70"/>
    </row>
    <row r="82" spans="2:14" ht="13.5" thickBot="1" x14ac:dyDescent="0.25">
      <c r="B82" s="22"/>
      <c r="C82" s="20" t="s">
        <v>100</v>
      </c>
      <c r="D82" s="71">
        <f t="shared" ref="D82:N82" si="3">SUM(D80:D81)</f>
        <v>1.9</v>
      </c>
      <c r="E82" s="72">
        <f t="shared" si="3"/>
        <v>5.98</v>
      </c>
      <c r="F82" s="72">
        <f t="shared" si="3"/>
        <v>8.75</v>
      </c>
      <c r="G82" s="72">
        <f t="shared" si="3"/>
        <v>9.5</v>
      </c>
      <c r="H82" s="72">
        <f t="shared" si="3"/>
        <v>13.75</v>
      </c>
      <c r="I82" s="72">
        <f t="shared" si="3"/>
        <v>12.34</v>
      </c>
      <c r="J82" s="72">
        <f t="shared" si="3"/>
        <v>11.09</v>
      </c>
      <c r="K82" s="72">
        <f t="shared" si="3"/>
        <v>13.66</v>
      </c>
      <c r="L82" s="72">
        <f t="shared" si="3"/>
        <v>12.25</v>
      </c>
      <c r="M82" s="72">
        <f t="shared" si="3"/>
        <v>12.54</v>
      </c>
      <c r="N82" s="73">
        <f t="shared" si="3"/>
        <v>2.2999999999999998</v>
      </c>
    </row>
    <row r="83" spans="2:14" x14ac:dyDescent="0.2">
      <c r="B83" s="22"/>
      <c r="C83" s="20" t="s">
        <v>75</v>
      </c>
      <c r="D83" s="68"/>
      <c r="E83" s="69"/>
      <c r="F83" s="69"/>
      <c r="G83" s="69">
        <v>10</v>
      </c>
      <c r="H83" s="69"/>
      <c r="I83" s="69"/>
      <c r="J83" s="69"/>
      <c r="K83" s="69">
        <v>10</v>
      </c>
      <c r="L83" s="69"/>
      <c r="M83" s="69"/>
      <c r="N83" s="70"/>
    </row>
    <row r="85" spans="2:14" ht="13.5" thickBot="1" x14ac:dyDescent="0.25">
      <c r="B85" s="22" t="s">
        <v>77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</row>
    <row r="86" spans="2:14" x14ac:dyDescent="0.2">
      <c r="C86" s="20" t="s">
        <v>74</v>
      </c>
      <c r="D86" s="61">
        <v>8.44</v>
      </c>
      <c r="E86" s="62">
        <v>7.35</v>
      </c>
      <c r="F86" s="62"/>
      <c r="G86" s="62">
        <v>6.84</v>
      </c>
      <c r="H86" s="62">
        <v>5</v>
      </c>
      <c r="I86" s="62">
        <v>3.19</v>
      </c>
      <c r="J86" s="62">
        <v>6.6</v>
      </c>
      <c r="K86" s="62"/>
      <c r="L86" s="62">
        <v>5.07</v>
      </c>
      <c r="M86" s="62"/>
      <c r="N86" s="63">
        <v>3.92</v>
      </c>
    </row>
    <row r="87" spans="2:14" ht="13.5" thickBot="1" x14ac:dyDescent="0.25">
      <c r="C87" s="20" t="s">
        <v>75</v>
      </c>
      <c r="D87" s="64"/>
      <c r="E87" s="65"/>
      <c r="F87" s="65">
        <v>59</v>
      </c>
      <c r="G87" s="65"/>
      <c r="H87" s="65"/>
      <c r="I87" s="65"/>
      <c r="J87" s="65"/>
      <c r="K87" s="65">
        <v>54</v>
      </c>
      <c r="L87" s="65"/>
      <c r="M87" s="65">
        <v>47.5</v>
      </c>
      <c r="N87" s="66"/>
    </row>
    <row r="88" spans="2:14" ht="13.5" thickBot="1" x14ac:dyDescent="0.25">
      <c r="B88" s="22" t="s">
        <v>78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2:14" x14ac:dyDescent="0.2">
      <c r="C89" s="20" t="s">
        <v>74</v>
      </c>
      <c r="D89" s="23">
        <v>4.24</v>
      </c>
      <c r="E89" s="32">
        <v>6</v>
      </c>
      <c r="F89" s="32"/>
      <c r="G89" s="32">
        <v>2.25</v>
      </c>
      <c r="H89" s="32"/>
      <c r="I89" s="32">
        <v>1.51</v>
      </c>
      <c r="J89" s="32">
        <v>4.34</v>
      </c>
      <c r="K89" s="32"/>
      <c r="L89" s="32"/>
      <c r="M89" s="32">
        <v>5.29</v>
      </c>
      <c r="N89" s="33"/>
    </row>
    <row r="90" spans="2:14" ht="13.5" thickBot="1" x14ac:dyDescent="0.25">
      <c r="C90" s="20" t="s">
        <v>75</v>
      </c>
      <c r="D90" s="64"/>
      <c r="E90" s="65"/>
      <c r="F90" s="65">
        <v>46.8</v>
      </c>
      <c r="G90" s="65"/>
      <c r="H90" s="65">
        <v>50</v>
      </c>
      <c r="I90" s="65"/>
      <c r="J90" s="65"/>
      <c r="K90" s="65">
        <v>58</v>
      </c>
      <c r="L90" s="65"/>
      <c r="M90" s="65"/>
      <c r="N90" s="66"/>
    </row>
    <row r="91" spans="2:14" ht="13.5" thickBot="1" x14ac:dyDescent="0.25">
      <c r="B91" s="22" t="s">
        <v>79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</row>
    <row r="92" spans="2:14" ht="13.5" thickBot="1" x14ac:dyDescent="0.25">
      <c r="C92" s="20" t="s">
        <v>75</v>
      </c>
      <c r="D92" s="40">
        <v>928.8</v>
      </c>
      <c r="E92" s="40">
        <v>973.08</v>
      </c>
      <c r="F92" s="74"/>
      <c r="G92" s="41">
        <v>969.36</v>
      </c>
      <c r="H92" s="74"/>
      <c r="I92" s="74"/>
      <c r="J92" s="74"/>
      <c r="K92" s="74"/>
      <c r="L92" s="74"/>
      <c r="M92" s="74"/>
      <c r="N92" s="75"/>
    </row>
    <row r="93" spans="2:14" ht="13.5" thickBot="1" x14ac:dyDescent="0.25">
      <c r="B93" s="22" t="s">
        <v>101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</row>
    <row r="94" spans="2:14" ht="13.5" thickBot="1" x14ac:dyDescent="0.25">
      <c r="C94" s="20" t="s">
        <v>75</v>
      </c>
      <c r="D94" s="40">
        <v>835.92</v>
      </c>
      <c r="E94" s="74"/>
      <c r="F94" s="74"/>
      <c r="G94" s="74"/>
      <c r="H94" s="74"/>
      <c r="I94" s="74"/>
      <c r="J94" s="74"/>
      <c r="K94" s="74"/>
      <c r="L94" s="74"/>
      <c r="M94" s="74"/>
      <c r="N94" s="75"/>
    </row>
    <row r="95" spans="2:14" x14ac:dyDescent="0.2">
      <c r="B95" s="22" t="s">
        <v>102</v>
      </c>
      <c r="C95" s="22"/>
      <c r="D95" s="76"/>
      <c r="E95" s="42"/>
      <c r="F95" s="43"/>
      <c r="G95" s="43"/>
      <c r="H95" s="43"/>
      <c r="I95" s="43"/>
      <c r="J95" s="43"/>
      <c r="K95" s="43"/>
      <c r="L95" s="43"/>
      <c r="M95" s="43"/>
      <c r="N95" s="43"/>
    </row>
    <row r="96" spans="2:14" x14ac:dyDescent="0.2">
      <c r="B96" s="22"/>
      <c r="C96" s="20" t="s">
        <v>103</v>
      </c>
      <c r="D96" s="76"/>
      <c r="E96" s="42"/>
      <c r="F96" s="43"/>
      <c r="G96" s="43"/>
      <c r="H96" s="43"/>
      <c r="I96" s="43"/>
      <c r="J96" s="43"/>
      <c r="K96" s="43"/>
      <c r="L96" s="43"/>
      <c r="M96" s="43"/>
      <c r="N96" s="43"/>
    </row>
    <row r="97" spans="1:14" ht="13.5" thickBot="1" x14ac:dyDescent="0.25">
      <c r="C97" s="48" t="s">
        <v>81</v>
      </c>
      <c r="D97" s="42"/>
      <c r="E97" s="42"/>
      <c r="F97" s="43"/>
      <c r="G97" s="43"/>
      <c r="H97" s="43"/>
      <c r="I97" s="43"/>
      <c r="J97" s="43"/>
      <c r="K97" s="43"/>
      <c r="L97" s="43"/>
      <c r="M97" s="43"/>
      <c r="N97" s="43"/>
    </row>
    <row r="98" spans="1:14" x14ac:dyDescent="0.2">
      <c r="C98" s="20" t="s">
        <v>75</v>
      </c>
      <c r="D98" s="61"/>
      <c r="E98" s="62"/>
      <c r="F98" s="62"/>
      <c r="G98" s="62">
        <v>20</v>
      </c>
      <c r="H98" s="62"/>
      <c r="I98" s="62"/>
      <c r="J98" s="62"/>
      <c r="K98" s="62"/>
      <c r="L98" s="62"/>
      <c r="M98" s="62"/>
      <c r="N98" s="63"/>
    </row>
    <row r="99" spans="1:14" ht="13.5" thickBot="1" x14ac:dyDescent="0.25">
      <c r="C99" s="20" t="s">
        <v>104</v>
      </c>
      <c r="D99" s="64"/>
      <c r="E99" s="65"/>
      <c r="F99" s="65"/>
      <c r="G99" s="65">
        <v>1.5</v>
      </c>
      <c r="H99" s="65"/>
      <c r="I99" s="65"/>
      <c r="J99" s="65"/>
      <c r="K99" s="65"/>
      <c r="L99" s="65"/>
      <c r="M99" s="65"/>
      <c r="N99" s="66"/>
    </row>
    <row r="100" spans="1:14" x14ac:dyDescent="0.2">
      <c r="C100" s="20"/>
      <c r="D100" s="42"/>
      <c r="E100" s="42"/>
      <c r="F100" s="43"/>
      <c r="G100" s="43"/>
      <c r="H100" s="43"/>
      <c r="I100" s="43"/>
      <c r="J100" s="43"/>
      <c r="K100" s="43"/>
      <c r="L100" s="43"/>
      <c r="M100" s="43"/>
      <c r="N100" s="43"/>
    </row>
    <row r="101" spans="1:14" ht="13.5" thickBot="1" x14ac:dyDescent="0.25">
      <c r="A101" s="22" t="s">
        <v>80</v>
      </c>
    </row>
    <row r="102" spans="1:14" ht="13.5" thickBot="1" x14ac:dyDescent="0.25">
      <c r="B102" s="22"/>
      <c r="C102" s="22"/>
      <c r="D102" s="44">
        <v>200</v>
      </c>
      <c r="E102" s="45">
        <v>200</v>
      </c>
      <c r="F102" s="45"/>
      <c r="G102" s="45">
        <v>200</v>
      </c>
      <c r="H102" s="45"/>
      <c r="I102" s="45">
        <v>200</v>
      </c>
      <c r="J102" s="45">
        <v>200</v>
      </c>
      <c r="K102" s="45"/>
      <c r="L102" s="45"/>
      <c r="M102" s="45"/>
      <c r="N102" s="46">
        <v>200</v>
      </c>
    </row>
    <row r="103" spans="1:14" x14ac:dyDescent="0.2">
      <c r="C103" s="77" t="s">
        <v>105</v>
      </c>
    </row>
    <row r="104" spans="1:14" x14ac:dyDescent="0.2">
      <c r="C104" s="77" t="s">
        <v>106</v>
      </c>
    </row>
    <row r="105" spans="1:14" x14ac:dyDescent="0.2">
      <c r="C105" s="77" t="s">
        <v>107</v>
      </c>
    </row>
    <row r="106" spans="1:14" x14ac:dyDescent="0.2">
      <c r="C106" s="77" t="s">
        <v>108</v>
      </c>
    </row>
    <row r="107" spans="1:14" x14ac:dyDescent="0.2">
      <c r="C107" s="77" t="s">
        <v>109</v>
      </c>
    </row>
    <row r="108" spans="1:14" x14ac:dyDescent="0.2">
      <c r="C108" s="77" t="s">
        <v>110</v>
      </c>
    </row>
    <row r="109" spans="1:14" x14ac:dyDescent="0.2">
      <c r="C109" s="77" t="s">
        <v>111</v>
      </c>
    </row>
  </sheetData>
  <phoneticPr fontId="0" type="noConversion"/>
  <printOptions horizontalCentered="1"/>
  <pageMargins left="0.25" right="0.25" top="0.4" bottom="0.4" header="0.5" footer="0.25"/>
  <pageSetup scale="88" orientation="landscape" r:id="rId1"/>
  <headerFooter alignWithMargins="0">
    <oddFooter>&amp;L
&amp;R&amp;8Prepared by Office of Planning and  Institutional Research, DCU,  &amp;F  &amp;D</oddFooter>
  </headerFooter>
  <rowBreaks count="2" manualBreakCount="2">
    <brk id="41" max="15" man="1"/>
    <brk id="73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6"/>
  <sheetViews>
    <sheetView zoomScale="75" workbookViewId="0">
      <pane xSplit="2" ySplit="3" topLeftCell="C54" activePane="bottomRight" state="frozen"/>
      <selection pane="topRight" activeCell="C1" sqref="C1"/>
      <selection pane="bottomLeft" activeCell="A4" sqref="A4"/>
      <selection pane="bottomRight" activeCell="J81" sqref="J81"/>
    </sheetView>
  </sheetViews>
  <sheetFormatPr defaultColWidth="9.140625" defaultRowHeight="12.75" x14ac:dyDescent="0.2"/>
  <cols>
    <col min="1" max="1" width="12.7109375" style="4" customWidth="1"/>
    <col min="2" max="2" width="9.140625" style="4"/>
    <col min="3" max="4" width="11.140625" style="4" bestFit="1" customWidth="1"/>
    <col min="5" max="6" width="10.85546875" style="4" bestFit="1" customWidth="1"/>
    <col min="7" max="8" width="11.140625" style="4" bestFit="1" customWidth="1"/>
    <col min="9" max="11" width="10.85546875" style="4" bestFit="1" customWidth="1"/>
    <col min="12" max="12" width="11.28515625" style="4" bestFit="1" customWidth="1"/>
    <col min="13" max="13" width="10.85546875" style="4" customWidth="1"/>
    <col min="14" max="14" width="11.85546875" style="4" bestFit="1" customWidth="1"/>
    <col min="15" max="16384" width="9.140625" style="4"/>
  </cols>
  <sheetData>
    <row r="1" spans="1:14" ht="25.5" x14ac:dyDescent="0.35">
      <c r="A1" s="1" t="s">
        <v>84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N2" s="5"/>
    </row>
    <row r="3" spans="1:14" x14ac:dyDescent="0.2"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</row>
    <row r="4" spans="1:14" x14ac:dyDescent="0.2">
      <c r="A4" s="6" t="s">
        <v>12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">
      <c r="A5" s="6"/>
      <c r="B5" s="7" t="s">
        <v>13</v>
      </c>
      <c r="C5" s="8">
        <v>8.26</v>
      </c>
      <c r="D5" s="8">
        <v>7.7</v>
      </c>
      <c r="E5" s="8">
        <v>10</v>
      </c>
      <c r="F5" s="8">
        <v>7.1</v>
      </c>
      <c r="G5" s="8">
        <v>10</v>
      </c>
      <c r="H5" s="8">
        <v>8.75</v>
      </c>
      <c r="I5" s="8">
        <v>8.09</v>
      </c>
      <c r="J5" s="8">
        <v>9.14</v>
      </c>
      <c r="K5" s="8">
        <v>11.73</v>
      </c>
      <c r="L5" s="8">
        <v>9.6999999999999993</v>
      </c>
      <c r="M5" s="8">
        <v>13.78</v>
      </c>
      <c r="N5" s="8">
        <v>9.4772727272727284</v>
      </c>
    </row>
    <row r="6" spans="1:14" x14ac:dyDescent="0.2">
      <c r="A6" s="6"/>
      <c r="B6" s="7" t="s">
        <v>14</v>
      </c>
      <c r="C6" s="8">
        <v>1.9</v>
      </c>
      <c r="D6" s="8">
        <v>4.9800000000000004</v>
      </c>
      <c r="E6" s="8">
        <v>8.75</v>
      </c>
      <c r="F6" s="8">
        <v>9.08</v>
      </c>
      <c r="G6" s="8">
        <v>11.75</v>
      </c>
      <c r="H6" s="8">
        <v>12.05</v>
      </c>
      <c r="I6" s="8">
        <v>11.09</v>
      </c>
      <c r="J6" s="8">
        <v>11.66</v>
      </c>
      <c r="K6" s="8">
        <v>10.25</v>
      </c>
      <c r="L6" s="8">
        <v>10.54</v>
      </c>
      <c r="M6" s="8">
        <v>2</v>
      </c>
      <c r="N6" s="8">
        <v>8.5500000000000007</v>
      </c>
    </row>
    <row r="7" spans="1:14" x14ac:dyDescent="0.2">
      <c r="A7" s="6"/>
      <c r="B7" s="7" t="s">
        <v>15</v>
      </c>
      <c r="C7" s="8">
        <v>7.92</v>
      </c>
      <c r="D7" s="8">
        <v>7.35</v>
      </c>
      <c r="E7" s="8">
        <v>0</v>
      </c>
      <c r="F7" s="8">
        <v>6.84</v>
      </c>
      <c r="G7" s="8">
        <v>5</v>
      </c>
      <c r="H7" s="8">
        <v>3.19</v>
      </c>
      <c r="I7" s="8">
        <v>6.6</v>
      </c>
      <c r="J7" s="8">
        <v>0</v>
      </c>
      <c r="K7" s="8">
        <v>5.07</v>
      </c>
      <c r="L7" s="8">
        <v>0</v>
      </c>
      <c r="M7" s="8">
        <v>3.79</v>
      </c>
      <c r="N7" s="8">
        <v>4.16</v>
      </c>
    </row>
    <row r="8" spans="1:14" x14ac:dyDescent="0.2">
      <c r="B8" s="50" t="s">
        <v>16</v>
      </c>
      <c r="C8" s="49">
        <v>4.0999999999999996</v>
      </c>
      <c r="D8" s="49">
        <v>4.9000000000000004</v>
      </c>
      <c r="E8" s="49">
        <v>0</v>
      </c>
      <c r="F8" s="49">
        <v>2.25</v>
      </c>
      <c r="G8" s="49">
        <v>0</v>
      </c>
      <c r="H8" s="49">
        <v>1</v>
      </c>
      <c r="I8" s="49">
        <v>3.9</v>
      </c>
      <c r="J8" s="49">
        <v>0</v>
      </c>
      <c r="K8" s="49">
        <v>0</v>
      </c>
      <c r="L8" s="49">
        <v>5.29</v>
      </c>
      <c r="M8" s="49">
        <v>0</v>
      </c>
      <c r="N8" s="8">
        <v>1.949090909090909</v>
      </c>
    </row>
    <row r="9" spans="1:14" ht="13.5" thickBot="1" x14ac:dyDescent="0.25">
      <c r="A9" s="6"/>
      <c r="B9" s="7" t="s">
        <v>81</v>
      </c>
      <c r="C9" s="9"/>
      <c r="D9" s="9"/>
      <c r="E9" s="9"/>
      <c r="F9" s="9">
        <v>1.5</v>
      </c>
      <c r="G9" s="9"/>
      <c r="H9" s="9"/>
      <c r="I9" s="9"/>
      <c r="J9" s="9"/>
      <c r="K9" s="9"/>
      <c r="L9" s="9"/>
      <c r="M9" s="9"/>
      <c r="N9" s="8">
        <v>1.5</v>
      </c>
    </row>
    <row r="10" spans="1:14" x14ac:dyDescent="0.2">
      <c r="B10" s="5" t="s">
        <v>17</v>
      </c>
      <c r="C10" s="8">
        <v>22.18</v>
      </c>
      <c r="D10" s="8">
        <v>24.93</v>
      </c>
      <c r="E10" s="8">
        <v>18.75</v>
      </c>
      <c r="F10" s="8">
        <v>26.77</v>
      </c>
      <c r="G10" s="8">
        <v>26.75</v>
      </c>
      <c r="H10" s="8">
        <v>24.99</v>
      </c>
      <c r="I10" s="8">
        <v>29.68</v>
      </c>
      <c r="J10" s="8">
        <v>20.8</v>
      </c>
      <c r="K10" s="8">
        <v>27.05</v>
      </c>
      <c r="L10" s="8">
        <v>25.53</v>
      </c>
      <c r="M10" s="8">
        <v>19.57</v>
      </c>
      <c r="N10" s="8">
        <v>24.272727272727277</v>
      </c>
    </row>
    <row r="11" spans="1:14" x14ac:dyDescent="0.2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">
      <c r="A12" s="6" t="s">
        <v>18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">
      <c r="B13" s="7" t="s">
        <v>13</v>
      </c>
      <c r="C13" s="8"/>
      <c r="D13" s="8"/>
      <c r="E13" s="8"/>
      <c r="F13" s="8">
        <v>7</v>
      </c>
      <c r="G13" s="8"/>
      <c r="H13" s="8"/>
      <c r="I13" s="8"/>
      <c r="J13" s="8"/>
      <c r="K13" s="8"/>
      <c r="L13" s="8"/>
      <c r="M13" s="8"/>
      <c r="N13" s="8">
        <v>7</v>
      </c>
    </row>
    <row r="14" spans="1:14" x14ac:dyDescent="0.2">
      <c r="B14" s="7" t="s">
        <v>14</v>
      </c>
      <c r="C14" s="8"/>
      <c r="D14" s="8"/>
      <c r="E14" s="8"/>
      <c r="F14" s="8">
        <v>10</v>
      </c>
      <c r="G14" s="8"/>
      <c r="H14" s="8"/>
      <c r="I14" s="8"/>
      <c r="J14" s="8">
        <v>10</v>
      </c>
      <c r="K14" s="8"/>
      <c r="L14" s="8"/>
      <c r="M14" s="8"/>
      <c r="N14" s="8">
        <v>10</v>
      </c>
    </row>
    <row r="15" spans="1:14" x14ac:dyDescent="0.2">
      <c r="B15" s="7" t="s">
        <v>15</v>
      </c>
      <c r="C15" s="8"/>
      <c r="D15" s="8"/>
      <c r="E15" s="8">
        <v>59</v>
      </c>
      <c r="F15" s="8"/>
      <c r="G15" s="8"/>
      <c r="H15" s="8"/>
      <c r="I15" s="8"/>
      <c r="J15" s="8">
        <v>54</v>
      </c>
      <c r="K15" s="8"/>
      <c r="L15" s="8">
        <v>47.5</v>
      </c>
      <c r="M15" s="8"/>
      <c r="N15" s="8">
        <v>53.5</v>
      </c>
    </row>
    <row r="16" spans="1:14" x14ac:dyDescent="0.2">
      <c r="B16" s="50" t="s">
        <v>16</v>
      </c>
      <c r="C16" s="49"/>
      <c r="D16" s="49"/>
      <c r="E16" s="49">
        <v>46.8</v>
      </c>
      <c r="F16" s="49"/>
      <c r="G16" s="49"/>
      <c r="H16" s="49"/>
      <c r="I16" s="49"/>
      <c r="J16" s="49">
        <v>58</v>
      </c>
      <c r="K16" s="49"/>
      <c r="L16" s="49"/>
      <c r="M16" s="49"/>
      <c r="N16" s="8">
        <v>52.4</v>
      </c>
    </row>
    <row r="17" spans="1:17" ht="13.5" thickBot="1" x14ac:dyDescent="0.25">
      <c r="A17" s="6"/>
      <c r="B17" s="7" t="s">
        <v>81</v>
      </c>
      <c r="C17" s="9"/>
      <c r="D17" s="9"/>
      <c r="E17" s="9"/>
      <c r="F17" s="9">
        <v>20</v>
      </c>
      <c r="G17" s="9"/>
      <c r="H17" s="9"/>
      <c r="I17" s="9"/>
      <c r="J17" s="9"/>
      <c r="K17" s="9"/>
      <c r="L17" s="9"/>
      <c r="M17" s="9"/>
      <c r="N17" s="8">
        <v>20</v>
      </c>
    </row>
    <row r="18" spans="1:17" x14ac:dyDescent="0.2">
      <c r="B18" s="5" t="s">
        <v>17</v>
      </c>
      <c r="C18" s="8"/>
      <c r="D18" s="8">
        <v>0</v>
      </c>
      <c r="E18" s="8">
        <v>105.8</v>
      </c>
      <c r="F18" s="8">
        <v>37</v>
      </c>
      <c r="G18" s="8"/>
      <c r="H18" s="8"/>
      <c r="I18" s="8"/>
      <c r="J18" s="8">
        <v>122</v>
      </c>
      <c r="K18" s="8"/>
      <c r="L18" s="8">
        <v>47.5</v>
      </c>
      <c r="M18" s="8">
        <v>0</v>
      </c>
      <c r="N18" s="8">
        <v>52.05</v>
      </c>
    </row>
    <row r="19" spans="1:17" x14ac:dyDescent="0.2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7" x14ac:dyDescent="0.2">
      <c r="A20" s="6" t="s">
        <v>19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7" x14ac:dyDescent="0.2">
      <c r="A21" s="6"/>
      <c r="B21" s="5" t="s">
        <v>17</v>
      </c>
      <c r="C21" s="8"/>
      <c r="D21" s="8">
        <v>897.48</v>
      </c>
      <c r="E21" s="8"/>
      <c r="F21" s="8">
        <v>930.64</v>
      </c>
      <c r="G21" s="8"/>
      <c r="H21" s="8"/>
      <c r="I21" s="8"/>
      <c r="J21" s="8"/>
      <c r="K21" s="8"/>
      <c r="L21" s="8"/>
      <c r="M21" s="8"/>
      <c r="N21" s="8">
        <v>914.06</v>
      </c>
    </row>
    <row r="22" spans="1:17" x14ac:dyDescent="0.2"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7" x14ac:dyDescent="0.2">
      <c r="A23" s="6" t="s">
        <v>20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7" x14ac:dyDescent="0.2">
      <c r="A24" s="10"/>
      <c r="B24" s="7" t="s">
        <v>21</v>
      </c>
      <c r="C24" s="8">
        <v>2.3199999999999998</v>
      </c>
      <c r="D24" s="8">
        <v>2.3199999999999998</v>
      </c>
      <c r="E24" s="8">
        <v>2.3199999999999998</v>
      </c>
      <c r="F24" s="8">
        <v>2.3199999999999998</v>
      </c>
      <c r="G24" s="8">
        <v>2.3199999999999998</v>
      </c>
      <c r="H24" s="8">
        <v>2.3199999999999998</v>
      </c>
      <c r="I24" s="8">
        <v>2.3199999999999998</v>
      </c>
      <c r="J24" s="8">
        <v>2.3199999999999998</v>
      </c>
      <c r="K24" s="8">
        <v>2.3199999999999998</v>
      </c>
      <c r="L24" s="8">
        <v>2.3199999999999998</v>
      </c>
      <c r="M24" s="8">
        <v>2.3199999999999998</v>
      </c>
      <c r="N24" s="8">
        <v>2.3199999999999998</v>
      </c>
    </row>
    <row r="25" spans="1:17" x14ac:dyDescent="0.2">
      <c r="A25" s="10"/>
      <c r="B25" s="7" t="s">
        <v>22</v>
      </c>
      <c r="C25" s="8">
        <v>2.44</v>
      </c>
      <c r="D25" s="8">
        <v>2.44</v>
      </c>
      <c r="E25" s="8">
        <v>2.44</v>
      </c>
      <c r="F25" s="8">
        <v>2.44</v>
      </c>
      <c r="G25" s="8">
        <v>2.44</v>
      </c>
      <c r="H25" s="8">
        <v>2.44</v>
      </c>
      <c r="I25" s="8">
        <v>2.44</v>
      </c>
      <c r="J25" s="8">
        <v>2.44</v>
      </c>
      <c r="K25" s="8">
        <v>2.44</v>
      </c>
      <c r="L25" s="8">
        <v>2.44</v>
      </c>
      <c r="M25" s="8">
        <v>2.44</v>
      </c>
      <c r="N25" s="8">
        <v>2.44</v>
      </c>
    </row>
    <row r="26" spans="1:17" s="18" customFormat="1" x14ac:dyDescent="0.2">
      <c r="E26"/>
      <c r="F26"/>
      <c r="G26"/>
      <c r="H26"/>
      <c r="I26"/>
      <c r="J26"/>
      <c r="K26"/>
      <c r="L26"/>
      <c r="M26"/>
      <c r="N26"/>
      <c r="O26"/>
      <c r="Q26" s="19"/>
    </row>
    <row r="27" spans="1:17" ht="15.75" x14ac:dyDescent="0.25">
      <c r="A27" s="11" t="s">
        <v>23</v>
      </c>
      <c r="B27" s="11"/>
      <c r="C27" s="1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7" x14ac:dyDescent="0.2">
      <c r="A28" s="6" t="s">
        <v>24</v>
      </c>
    </row>
    <row r="29" spans="1:17" x14ac:dyDescent="0.2">
      <c r="B29" s="7" t="s">
        <v>30</v>
      </c>
      <c r="C29" s="8">
        <v>68.16</v>
      </c>
      <c r="D29" s="8">
        <v>68.16</v>
      </c>
      <c r="E29" s="8">
        <v>68.16</v>
      </c>
      <c r="F29" s="8">
        <v>68.16</v>
      </c>
      <c r="G29" s="8">
        <v>68.16</v>
      </c>
      <c r="H29" s="8">
        <v>68.16</v>
      </c>
      <c r="I29" s="8">
        <v>68.16</v>
      </c>
      <c r="J29" s="8">
        <v>68.16</v>
      </c>
      <c r="K29" s="8">
        <v>68.16</v>
      </c>
      <c r="L29" s="8">
        <v>68.16</v>
      </c>
      <c r="M29" s="8">
        <v>68.16</v>
      </c>
      <c r="N29" s="8">
        <v>68.16</v>
      </c>
    </row>
    <row r="30" spans="1:17" ht="13.5" thickBot="1" x14ac:dyDescent="0.25">
      <c r="B30" s="7" t="s">
        <v>25</v>
      </c>
      <c r="C30" s="9">
        <v>3.4</v>
      </c>
      <c r="D30" s="9">
        <v>3.4</v>
      </c>
      <c r="E30" s="9">
        <v>3.4</v>
      </c>
      <c r="F30" s="9">
        <v>3.4</v>
      </c>
      <c r="G30" s="9">
        <v>3.4</v>
      </c>
      <c r="H30" s="9">
        <v>3.4</v>
      </c>
      <c r="I30" s="9">
        <v>3.4</v>
      </c>
      <c r="J30" s="9">
        <v>3.4</v>
      </c>
      <c r="K30" s="9">
        <v>3.4</v>
      </c>
      <c r="L30" s="9">
        <v>3.4</v>
      </c>
      <c r="M30" s="9">
        <v>3.4</v>
      </c>
      <c r="N30" s="8">
        <v>3.4</v>
      </c>
    </row>
    <row r="31" spans="1:17" x14ac:dyDescent="0.2">
      <c r="B31" s="5" t="s">
        <v>17</v>
      </c>
      <c r="C31" s="8">
        <v>71.56</v>
      </c>
      <c r="D31" s="8">
        <v>71.56</v>
      </c>
      <c r="E31" s="8">
        <v>71.56</v>
      </c>
      <c r="F31" s="8">
        <v>71.56</v>
      </c>
      <c r="G31" s="8">
        <v>71.56</v>
      </c>
      <c r="H31" s="8">
        <v>71.56</v>
      </c>
      <c r="I31" s="8">
        <v>71.56</v>
      </c>
      <c r="J31" s="8">
        <v>71.56</v>
      </c>
      <c r="K31" s="8">
        <v>71.56</v>
      </c>
      <c r="L31" s="8">
        <v>71.56</v>
      </c>
      <c r="M31" s="8">
        <v>71.56</v>
      </c>
      <c r="N31" s="8">
        <v>71.56</v>
      </c>
    </row>
    <row r="32" spans="1:17" x14ac:dyDescent="0.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">
      <c r="A33" s="6" t="s"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">
      <c r="B34" s="7" t="s">
        <v>27</v>
      </c>
      <c r="C34" s="8">
        <v>2955</v>
      </c>
      <c r="D34" s="8">
        <v>3037.5</v>
      </c>
      <c r="E34" s="8">
        <v>3063.7</v>
      </c>
      <c r="F34" s="8">
        <v>3166.7</v>
      </c>
      <c r="G34" s="8">
        <v>3092.1</v>
      </c>
      <c r="H34" s="8">
        <v>3039.3</v>
      </c>
      <c r="I34" s="8">
        <v>3180</v>
      </c>
      <c r="J34" s="8">
        <v>3157.6</v>
      </c>
      <c r="K34" s="8">
        <v>3101.1</v>
      </c>
      <c r="L34" s="8">
        <v>3150.5</v>
      </c>
      <c r="M34" s="8">
        <v>2876.7</v>
      </c>
      <c r="N34" s="8">
        <v>3074.5636363636363</v>
      </c>
    </row>
    <row r="35" spans="1:14" x14ac:dyDescent="0.2">
      <c r="B35" s="7" t="s">
        <v>28</v>
      </c>
      <c r="C35" s="8">
        <v>98.5</v>
      </c>
      <c r="D35" s="8">
        <v>101.25</v>
      </c>
      <c r="E35" s="8">
        <v>102.12333333333335</v>
      </c>
      <c r="F35" s="8">
        <v>105.55666666666667</v>
      </c>
      <c r="G35" s="8">
        <v>103.07</v>
      </c>
      <c r="H35" s="8">
        <v>101.31</v>
      </c>
      <c r="I35" s="8">
        <v>106</v>
      </c>
      <c r="J35" s="8">
        <v>105.25333333333334</v>
      </c>
      <c r="K35" s="8">
        <v>103.37</v>
      </c>
      <c r="L35" s="8">
        <v>105.01666666666667</v>
      </c>
      <c r="M35" s="8">
        <v>95.89</v>
      </c>
      <c r="N35" s="8">
        <v>102.48545454545456</v>
      </c>
    </row>
    <row r="36" spans="1:14" x14ac:dyDescent="0.2">
      <c r="B36" s="13" t="s">
        <v>82</v>
      </c>
      <c r="C36" s="14">
        <v>6.2796719896417663E-2</v>
      </c>
      <c r="D36" s="14">
        <v>6.2211498111624186E-2</v>
      </c>
      <c r="E36" s="14">
        <v>5.1784157151390842E-2</v>
      </c>
      <c r="F36" s="14">
        <v>9.2907679033649826E-2</v>
      </c>
      <c r="G36" s="14">
        <v>5.0769701294729463E-2</v>
      </c>
      <c r="H36" s="14">
        <v>7.445116131084939E-2</v>
      </c>
      <c r="I36" s="14">
        <v>5.5566620195180327E-2</v>
      </c>
      <c r="J36" s="14">
        <v>9.1952830514922201E-2</v>
      </c>
      <c r="K36" s="14">
        <v>6.4572605561277197E-2</v>
      </c>
      <c r="L36" s="14">
        <v>8.3241644890661437E-2</v>
      </c>
      <c r="M36" s="14">
        <v>7.5321471291865949E-2</v>
      </c>
      <c r="N36" s="14">
        <v>6.9492572731073565E-2</v>
      </c>
    </row>
    <row r="38" spans="1:14" x14ac:dyDescent="0.2">
      <c r="A38" s="6" t="s">
        <v>29</v>
      </c>
    </row>
    <row r="39" spans="1:14" x14ac:dyDescent="0.2">
      <c r="B39" s="7" t="s">
        <v>83</v>
      </c>
      <c r="C39" s="8">
        <v>471.86</v>
      </c>
      <c r="D39" s="8">
        <v>465.19</v>
      </c>
      <c r="E39" s="8">
        <v>452.18</v>
      </c>
      <c r="F39" s="8">
        <v>476.84</v>
      </c>
      <c r="G39" s="8">
        <v>465.19</v>
      </c>
      <c r="H39" s="8">
        <v>465.19</v>
      </c>
      <c r="I39" s="8">
        <v>465.19</v>
      </c>
      <c r="J39" s="8">
        <v>465.19</v>
      </c>
      <c r="K39" s="8">
        <v>441.16</v>
      </c>
      <c r="L39" s="8">
        <v>452.18</v>
      </c>
      <c r="M39" s="8">
        <v>465.19</v>
      </c>
      <c r="N39" s="8">
        <v>462.3054545454545</v>
      </c>
    </row>
    <row r="40" spans="1:14" ht="13.5" thickBot="1" x14ac:dyDescent="0.25">
      <c r="B40" s="7" t="s">
        <v>25</v>
      </c>
      <c r="C40" s="9">
        <v>23.59</v>
      </c>
      <c r="D40" s="9">
        <v>23.25</v>
      </c>
      <c r="E40" s="9">
        <v>22.6</v>
      </c>
      <c r="F40" s="9">
        <v>23.84</v>
      </c>
      <c r="G40" s="9">
        <v>23.25</v>
      </c>
      <c r="H40" s="9">
        <v>23.25</v>
      </c>
      <c r="I40" s="9">
        <v>23.25</v>
      </c>
      <c r="J40" s="9">
        <v>23.25</v>
      </c>
      <c r="K40" s="9">
        <v>22.05</v>
      </c>
      <c r="L40" s="9">
        <v>22.6</v>
      </c>
      <c r="M40" s="9">
        <v>23.25</v>
      </c>
      <c r="N40" s="8">
        <v>23.107272727272729</v>
      </c>
    </row>
    <row r="41" spans="1:14" x14ac:dyDescent="0.2">
      <c r="B41" s="5" t="s">
        <v>17</v>
      </c>
      <c r="C41" s="8">
        <v>495.45</v>
      </c>
      <c r="D41" s="8">
        <v>488.44</v>
      </c>
      <c r="E41" s="8">
        <v>474.78</v>
      </c>
      <c r="F41" s="8">
        <v>500.68</v>
      </c>
      <c r="G41" s="8">
        <v>488.44</v>
      </c>
      <c r="H41" s="8">
        <v>488.44</v>
      </c>
      <c r="I41" s="8">
        <v>488.44</v>
      </c>
      <c r="J41" s="8">
        <v>488.44</v>
      </c>
      <c r="K41" s="8">
        <v>463.21</v>
      </c>
      <c r="L41" s="8">
        <v>474.78</v>
      </c>
      <c r="M41" s="8">
        <v>488.44</v>
      </c>
      <c r="N41" s="8">
        <v>485.41272727272718</v>
      </c>
    </row>
    <row r="42" spans="1:14" x14ac:dyDescent="0.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x14ac:dyDescent="0.2">
      <c r="A43" s="6" t="s">
        <v>31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x14ac:dyDescent="0.2">
      <c r="B44" s="7" t="s">
        <v>27</v>
      </c>
      <c r="C44" s="8">
        <v>15671.7</v>
      </c>
      <c r="D44" s="8">
        <v>15543.9</v>
      </c>
      <c r="E44" s="8">
        <v>15160.3</v>
      </c>
      <c r="F44" s="8">
        <v>16040.3</v>
      </c>
      <c r="G44" s="8">
        <v>15598.5</v>
      </c>
      <c r="H44" s="8">
        <v>15545.7</v>
      </c>
      <c r="I44" s="8">
        <v>15686.4</v>
      </c>
      <c r="J44" s="8">
        <v>15664</v>
      </c>
      <c r="K44" s="8">
        <v>14850.6</v>
      </c>
      <c r="L44" s="8">
        <v>15247.1</v>
      </c>
      <c r="M44" s="8">
        <v>15383.1</v>
      </c>
      <c r="N44" s="8">
        <v>15490.145454545454</v>
      </c>
    </row>
    <row r="45" spans="1:14" x14ac:dyDescent="0.2">
      <c r="B45" s="7" t="s">
        <v>28</v>
      </c>
      <c r="C45" s="8">
        <v>522.39</v>
      </c>
      <c r="D45" s="8">
        <v>518.13</v>
      </c>
      <c r="E45" s="8">
        <v>505.34333333333336</v>
      </c>
      <c r="F45" s="8">
        <v>534.67666666666662</v>
      </c>
      <c r="G45" s="8">
        <v>519.95000000000005</v>
      </c>
      <c r="H45" s="8">
        <v>518.19000000000005</v>
      </c>
      <c r="I45" s="8">
        <v>522.88</v>
      </c>
      <c r="J45" s="8">
        <v>522.13333333333333</v>
      </c>
      <c r="K45" s="8">
        <v>495.02</v>
      </c>
      <c r="L45" s="8">
        <v>508.23666666666674</v>
      </c>
      <c r="M45" s="8">
        <v>512.77</v>
      </c>
      <c r="N45" s="8">
        <v>516.33818181818197</v>
      </c>
    </row>
    <row r="46" spans="1:14" x14ac:dyDescent="0.2">
      <c r="B46" s="13" t="s">
        <v>82</v>
      </c>
      <c r="C46" s="14">
        <v>0.13493960198140265</v>
      </c>
      <c r="D46" s="14">
        <v>0.11926466776116817</v>
      </c>
      <c r="E46" s="14">
        <v>0.14262478934214462</v>
      </c>
      <c r="F46" s="14">
        <v>0.15184046877019619</v>
      </c>
      <c r="G46" s="14">
        <v>0.1217665206791656</v>
      </c>
      <c r="H46" s="14">
        <v>0.12189049340752134</v>
      </c>
      <c r="I46" s="14">
        <v>0.11721721293961807</v>
      </c>
      <c r="J46" s="14">
        <v>0.12531160872719949</v>
      </c>
      <c r="K46" s="14">
        <v>0.11927103353155322</v>
      </c>
      <c r="L46" s="14">
        <v>0.14957928704988244</v>
      </c>
      <c r="M46" s="14">
        <v>0.12256722735067682</v>
      </c>
      <c r="N46" s="14">
        <v>0.12956676724991212</v>
      </c>
    </row>
    <row r="47" spans="1:14" x14ac:dyDescent="0.2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5.75" x14ac:dyDescent="0.25">
      <c r="A48" s="11" t="s">
        <v>32</v>
      </c>
      <c r="B48" s="15"/>
    </row>
    <row r="49" spans="1:14" x14ac:dyDescent="0.2">
      <c r="A49" s="6" t="s">
        <v>33</v>
      </c>
    </row>
    <row r="50" spans="1:14" x14ac:dyDescent="0.2">
      <c r="B50" s="7" t="s">
        <v>30</v>
      </c>
      <c r="C50" s="8">
        <v>191.95</v>
      </c>
      <c r="D50" s="8">
        <v>184.74</v>
      </c>
      <c r="E50" s="8">
        <v>180.24</v>
      </c>
      <c r="F50" s="8">
        <v>191.95</v>
      </c>
      <c r="G50" s="8">
        <v>191.04</v>
      </c>
      <c r="H50" s="8">
        <v>191.95</v>
      </c>
      <c r="I50" s="8">
        <v>191.95</v>
      </c>
      <c r="J50" s="8">
        <v>191.95</v>
      </c>
      <c r="K50" s="8">
        <v>190.63</v>
      </c>
      <c r="L50" s="8">
        <v>180.24</v>
      </c>
      <c r="M50" s="8"/>
      <c r="N50" s="8">
        <v>188.66400000000002</v>
      </c>
    </row>
    <row r="51" spans="1:14" ht="13.5" thickBot="1" x14ac:dyDescent="0.25">
      <c r="B51" s="7" t="s">
        <v>25</v>
      </c>
      <c r="C51" s="9">
        <v>9.59</v>
      </c>
      <c r="D51" s="9">
        <v>9.23</v>
      </c>
      <c r="E51" s="9">
        <v>9.01</v>
      </c>
      <c r="F51" s="9">
        <v>9.59</v>
      </c>
      <c r="G51" s="9">
        <v>9.5500000000000007</v>
      </c>
      <c r="H51" s="9">
        <v>9.59</v>
      </c>
      <c r="I51" s="9">
        <v>9.59</v>
      </c>
      <c r="J51" s="9">
        <v>9.59</v>
      </c>
      <c r="K51" s="9">
        <v>9.5299999999999994</v>
      </c>
      <c r="L51" s="9">
        <v>9.01</v>
      </c>
      <c r="M51" s="9"/>
      <c r="N51" s="8">
        <v>9.4280000000000008</v>
      </c>
    </row>
    <row r="52" spans="1:14" x14ac:dyDescent="0.2">
      <c r="B52" s="5" t="s">
        <v>17</v>
      </c>
      <c r="C52" s="8">
        <v>201.54</v>
      </c>
      <c r="D52" s="8">
        <v>193.97</v>
      </c>
      <c r="E52" s="8">
        <v>189.25</v>
      </c>
      <c r="F52" s="8">
        <v>201.54</v>
      </c>
      <c r="G52" s="8">
        <v>200.59</v>
      </c>
      <c r="H52" s="8">
        <v>201.54</v>
      </c>
      <c r="I52" s="8">
        <v>201.54</v>
      </c>
      <c r="J52" s="8">
        <v>201.54</v>
      </c>
      <c r="K52" s="8">
        <v>200.16</v>
      </c>
      <c r="L52" s="8">
        <v>189.25</v>
      </c>
      <c r="M52" s="8"/>
      <c r="N52" s="8">
        <v>198.09200000000001</v>
      </c>
    </row>
    <row r="53" spans="1:14" x14ac:dyDescent="0.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x14ac:dyDescent="0.2">
      <c r="A54" s="6" t="s">
        <v>34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x14ac:dyDescent="0.2">
      <c r="B55" s="7" t="s">
        <v>35</v>
      </c>
      <c r="C55" s="8">
        <v>5483.52</v>
      </c>
      <c r="D55" s="8">
        <v>5367.84</v>
      </c>
      <c r="E55" s="8">
        <v>5317.84</v>
      </c>
      <c r="F55" s="8">
        <v>5667.68</v>
      </c>
      <c r="G55" s="8">
        <v>5570.4</v>
      </c>
      <c r="H55" s="8">
        <v>5550.96</v>
      </c>
      <c r="I55" s="8">
        <v>5663.52</v>
      </c>
      <c r="J55" s="8">
        <v>5694.4</v>
      </c>
      <c r="K55" s="8">
        <v>5567.28</v>
      </c>
      <c r="L55" s="8">
        <v>5363.96</v>
      </c>
      <c r="M55" s="8"/>
      <c r="N55" s="8">
        <v>5524.74</v>
      </c>
    </row>
    <row r="56" spans="1:14" x14ac:dyDescent="0.2">
      <c r="B56" s="7" t="s">
        <v>28</v>
      </c>
      <c r="C56" s="8">
        <v>228.48</v>
      </c>
      <c r="D56" s="8">
        <v>223.66</v>
      </c>
      <c r="E56" s="8">
        <v>221.57666666666668</v>
      </c>
      <c r="F56" s="8">
        <v>236.15333333333334</v>
      </c>
      <c r="G56" s="8">
        <v>232.1</v>
      </c>
      <c r="H56" s="8">
        <v>231.29</v>
      </c>
      <c r="I56" s="8">
        <v>235.98</v>
      </c>
      <c r="J56" s="8">
        <v>237.26666666666665</v>
      </c>
      <c r="K56" s="8">
        <v>231.97</v>
      </c>
      <c r="L56" s="8">
        <v>223.49833333333333</v>
      </c>
      <c r="M56" s="8"/>
      <c r="N56" s="8">
        <v>230.19749999999999</v>
      </c>
    </row>
    <row r="57" spans="1:14" x14ac:dyDescent="0.2">
      <c r="B57" s="13" t="s">
        <v>82</v>
      </c>
      <c r="C57" s="14">
        <v>0.11312481730488155</v>
      </c>
      <c r="D57" s="14">
        <v>0.11179599343838542</v>
      </c>
      <c r="E57" s="14">
        <v>0.10513890505245338</v>
      </c>
      <c r="F57" s="14">
        <v>0.12751058344208532</v>
      </c>
      <c r="G57" s="14">
        <v>0.10618625488513955</v>
      </c>
      <c r="H57" s="14">
        <v>0.11750495240856162</v>
      </c>
      <c r="I57" s="14">
        <v>0.10788732394366196</v>
      </c>
      <c r="J57" s="14">
        <v>0.1253665978925067</v>
      </c>
      <c r="K57" s="14">
        <v>0.11288620226444057</v>
      </c>
      <c r="L57" s="14">
        <v>0.12204530051124163</v>
      </c>
      <c r="M57" s="14"/>
      <c r="N57" s="47">
        <v>0.11494469311433578</v>
      </c>
    </row>
    <row r="58" spans="1:14" x14ac:dyDescent="0.2">
      <c r="B58" s="13"/>
    </row>
    <row r="59" spans="1:14" x14ac:dyDescent="0.2">
      <c r="A59" s="6" t="s">
        <v>36</v>
      </c>
    </row>
    <row r="60" spans="1:14" x14ac:dyDescent="0.2">
      <c r="B60" s="7" t="s">
        <v>83</v>
      </c>
      <c r="C60" s="8">
        <v>817.13</v>
      </c>
      <c r="D60" s="8">
        <v>757.45</v>
      </c>
      <c r="E60" s="8">
        <v>771.76</v>
      </c>
      <c r="F60" s="8">
        <v>821.94</v>
      </c>
      <c r="G60" s="8">
        <v>798.07</v>
      </c>
      <c r="H60" s="8">
        <v>801.89</v>
      </c>
      <c r="I60" s="8">
        <v>801.9</v>
      </c>
      <c r="J60" s="8">
        <v>801.9</v>
      </c>
      <c r="K60" s="8">
        <v>763.34</v>
      </c>
      <c r="L60" s="8">
        <v>771.78</v>
      </c>
      <c r="M60" s="8"/>
      <c r="N60" s="8">
        <v>790.71600000000001</v>
      </c>
    </row>
    <row r="61" spans="1:14" ht="13.5" thickBot="1" x14ac:dyDescent="0.25">
      <c r="B61" s="7" t="s">
        <v>25</v>
      </c>
      <c r="C61" s="9">
        <v>40.85</v>
      </c>
      <c r="D61" s="9">
        <v>37.86</v>
      </c>
      <c r="E61" s="9">
        <v>38.58</v>
      </c>
      <c r="F61" s="9">
        <v>41.09</v>
      </c>
      <c r="G61" s="9">
        <v>39.9</v>
      </c>
      <c r="H61" s="9">
        <v>40.090000000000003</v>
      </c>
      <c r="I61" s="9">
        <v>40.090000000000003</v>
      </c>
      <c r="J61" s="9">
        <v>40.090000000000003</v>
      </c>
      <c r="K61" s="9">
        <v>38.159999999999997</v>
      </c>
      <c r="L61" s="9">
        <v>38.58</v>
      </c>
      <c r="M61" s="9"/>
      <c r="N61" s="8">
        <v>39.529000000000003</v>
      </c>
    </row>
    <row r="62" spans="1:14" x14ac:dyDescent="0.2">
      <c r="B62" s="5" t="s">
        <v>17</v>
      </c>
      <c r="C62" s="8">
        <v>857.98</v>
      </c>
      <c r="D62" s="8">
        <v>795.31</v>
      </c>
      <c r="E62" s="8">
        <v>810.34</v>
      </c>
      <c r="F62" s="8">
        <v>863.03</v>
      </c>
      <c r="G62" s="8">
        <v>837.97</v>
      </c>
      <c r="H62" s="8">
        <v>841.98</v>
      </c>
      <c r="I62" s="8">
        <v>841.99</v>
      </c>
      <c r="J62" s="8">
        <v>841.99</v>
      </c>
      <c r="K62" s="8">
        <v>801.5</v>
      </c>
      <c r="L62" s="8">
        <v>810.36</v>
      </c>
      <c r="M62" s="8"/>
      <c r="N62" s="8">
        <v>830.245</v>
      </c>
    </row>
    <row r="63" spans="1:14" x14ac:dyDescent="0.2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x14ac:dyDescent="0.2">
      <c r="A64" s="6" t="s">
        <v>37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x14ac:dyDescent="0.2">
      <c r="B65" s="7" t="s">
        <v>35</v>
      </c>
      <c r="C65" s="8">
        <v>21238.080000000002</v>
      </c>
      <c r="D65" s="8">
        <v>19800</v>
      </c>
      <c r="E65" s="8">
        <v>20224</v>
      </c>
      <c r="F65" s="8">
        <v>21543.439999999999</v>
      </c>
      <c r="G65" s="8">
        <v>20867.52</v>
      </c>
      <c r="H65" s="8">
        <v>20921.52</v>
      </c>
      <c r="I65" s="8">
        <v>21034.32</v>
      </c>
      <c r="J65" s="8">
        <v>21065.200000000001</v>
      </c>
      <c r="K65" s="8">
        <v>19999.439999999999</v>
      </c>
      <c r="L65" s="8">
        <v>20270.599999999999</v>
      </c>
      <c r="M65" s="8"/>
      <c r="N65" s="8">
        <v>20696.412000000004</v>
      </c>
    </row>
    <row r="66" spans="1:14" x14ac:dyDescent="0.2">
      <c r="B66" s="7" t="s">
        <v>28</v>
      </c>
      <c r="C66" s="8">
        <v>884.92</v>
      </c>
      <c r="D66" s="8">
        <v>825</v>
      </c>
      <c r="E66" s="8">
        <v>842.66666666666663</v>
      </c>
      <c r="F66" s="8">
        <v>897.64333333333343</v>
      </c>
      <c r="G66" s="8">
        <v>869.48</v>
      </c>
      <c r="H66" s="8">
        <v>871.73</v>
      </c>
      <c r="I66" s="8">
        <v>876.43</v>
      </c>
      <c r="J66" s="8">
        <v>877.71666666666658</v>
      </c>
      <c r="K66" s="8">
        <v>833.31</v>
      </c>
      <c r="L66" s="8">
        <v>844.60833333333323</v>
      </c>
      <c r="M66" s="8"/>
      <c r="N66" s="8">
        <v>862.35050000000012</v>
      </c>
    </row>
    <row r="67" spans="1:14" x14ac:dyDescent="0.2">
      <c r="B67" s="13" t="s">
        <v>82</v>
      </c>
      <c r="C67" s="14">
        <v>0.14252514428104779</v>
      </c>
      <c r="D67" s="14">
        <v>0.12138099768927568</v>
      </c>
      <c r="E67" s="14">
        <v>0.14644366644294093</v>
      </c>
      <c r="F67" s="14">
        <v>0.15272135778952567</v>
      </c>
      <c r="G67" s="14">
        <v>0.12169257563052316</v>
      </c>
      <c r="H67" s="14">
        <v>0.12301607750180366</v>
      </c>
      <c r="I67" s="14">
        <v>0.12036764799877275</v>
      </c>
      <c r="J67" s="14">
        <v>0.12512631846567657</v>
      </c>
      <c r="K67" s="14">
        <v>0.12159306566886952</v>
      </c>
      <c r="L67" s="14">
        <v>0.15113429086093433</v>
      </c>
      <c r="M67" s="14"/>
      <c r="N67" s="47">
        <v>0.13260011423293699</v>
      </c>
    </row>
    <row r="68" spans="1:14" x14ac:dyDescent="0.2">
      <c r="B68" s="13"/>
    </row>
    <row r="69" spans="1:14" ht="15.75" x14ac:dyDescent="0.25">
      <c r="A69" s="11" t="s">
        <v>38</v>
      </c>
      <c r="B69" s="15"/>
    </row>
    <row r="70" spans="1:14" x14ac:dyDescent="0.2">
      <c r="A70" s="6" t="s">
        <v>39</v>
      </c>
    </row>
    <row r="71" spans="1:14" x14ac:dyDescent="0.2">
      <c r="B71" s="7" t="s">
        <v>30</v>
      </c>
      <c r="C71" s="8">
        <v>218.16</v>
      </c>
      <c r="D71" s="8">
        <v>209.97</v>
      </c>
      <c r="E71" s="8">
        <v>204.85</v>
      </c>
      <c r="F71" s="8"/>
      <c r="G71" s="8"/>
      <c r="H71" s="8"/>
      <c r="I71" s="8"/>
      <c r="J71" s="8">
        <v>218.16</v>
      </c>
      <c r="K71" s="8"/>
      <c r="L71" s="8"/>
      <c r="M71" s="8"/>
      <c r="N71" s="8">
        <v>212.785</v>
      </c>
    </row>
    <row r="72" spans="1:14" ht="13.5" thickBot="1" x14ac:dyDescent="0.25">
      <c r="B72" s="7" t="s">
        <v>25</v>
      </c>
      <c r="C72" s="9">
        <v>10.9</v>
      </c>
      <c r="D72" s="9">
        <v>10.49</v>
      </c>
      <c r="E72" s="9">
        <v>10.24</v>
      </c>
      <c r="F72" s="9"/>
      <c r="G72" s="9"/>
      <c r="H72" s="9"/>
      <c r="I72" s="9"/>
      <c r="J72" s="9">
        <v>10.9</v>
      </c>
      <c r="K72" s="9"/>
      <c r="L72" s="9"/>
      <c r="M72" s="9"/>
      <c r="N72" s="9">
        <v>10.6325</v>
      </c>
    </row>
    <row r="73" spans="1:14" x14ac:dyDescent="0.2">
      <c r="B73" s="5" t="s">
        <v>17</v>
      </c>
      <c r="C73" s="8">
        <v>229.06</v>
      </c>
      <c r="D73" s="8">
        <v>220.46</v>
      </c>
      <c r="E73" s="8">
        <v>215.09</v>
      </c>
      <c r="F73" s="8"/>
      <c r="G73" s="8"/>
      <c r="H73" s="8"/>
      <c r="I73" s="8"/>
      <c r="J73" s="8">
        <v>229.06</v>
      </c>
      <c r="K73" s="8"/>
      <c r="L73" s="8"/>
      <c r="M73" s="8"/>
      <c r="N73" s="8">
        <v>223.41749999999999</v>
      </c>
    </row>
    <row r="74" spans="1:14" x14ac:dyDescent="0.2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x14ac:dyDescent="0.2">
      <c r="A75" s="6" t="s">
        <v>40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x14ac:dyDescent="0.2">
      <c r="B76" s="7" t="s">
        <v>35</v>
      </c>
      <c r="C76" s="8">
        <v>6144</v>
      </c>
      <c r="D76" s="8">
        <v>6003.6</v>
      </c>
      <c r="E76" s="8">
        <v>5938</v>
      </c>
      <c r="F76" s="8"/>
      <c r="G76" s="8"/>
      <c r="H76" s="8"/>
      <c r="I76" s="8"/>
      <c r="J76" s="8">
        <v>6354.88</v>
      </c>
      <c r="K76" s="8"/>
      <c r="L76" s="8"/>
      <c r="M76" s="8"/>
      <c r="N76" s="8">
        <v>6110.12</v>
      </c>
    </row>
    <row r="77" spans="1:14" x14ac:dyDescent="0.2">
      <c r="B77" s="7" t="s">
        <v>28</v>
      </c>
      <c r="C77" s="8">
        <v>256</v>
      </c>
      <c r="D77" s="8">
        <v>250.15</v>
      </c>
      <c r="E77" s="8">
        <v>247.41666666666666</v>
      </c>
      <c r="F77" s="8"/>
      <c r="G77" s="8"/>
      <c r="H77" s="8"/>
      <c r="I77" s="8"/>
      <c r="J77" s="8">
        <v>264.78666666666669</v>
      </c>
      <c r="K77" s="8"/>
      <c r="L77" s="8"/>
      <c r="M77" s="8"/>
      <c r="N77" s="8">
        <v>254.58833333333334</v>
      </c>
    </row>
    <row r="78" spans="1:14" x14ac:dyDescent="0.2">
      <c r="B78" s="13" t="s">
        <v>82</v>
      </c>
      <c r="C78" s="14">
        <v>0.11444865264899207</v>
      </c>
      <c r="D78" s="14">
        <v>0.11321258510969701</v>
      </c>
      <c r="E78" s="14">
        <v>0.10722436863224805</v>
      </c>
      <c r="F78" s="14"/>
      <c r="G78" s="14"/>
      <c r="H78" s="14"/>
      <c r="I78" s="14"/>
      <c r="J78" s="14">
        <v>0.12538694207733903</v>
      </c>
      <c r="N78" s="47">
        <v>0.11506813711706904</v>
      </c>
    </row>
    <row r="79" spans="1:14" x14ac:dyDescent="0.2">
      <c r="B79" s="13"/>
    </row>
    <row r="80" spans="1:14" x14ac:dyDescent="0.2">
      <c r="A80" s="6" t="s">
        <v>41</v>
      </c>
    </row>
    <row r="81" spans="1:14" x14ac:dyDescent="0.2">
      <c r="B81" s="7" t="s">
        <v>83</v>
      </c>
      <c r="C81" s="8">
        <v>869.36</v>
      </c>
      <c r="D81" s="8">
        <v>845.29</v>
      </c>
      <c r="E81" s="8">
        <v>821.33</v>
      </c>
      <c r="F81" s="8"/>
      <c r="G81" s="8"/>
      <c r="H81" s="8"/>
      <c r="I81" s="8"/>
      <c r="J81" s="8">
        <v>853.48</v>
      </c>
      <c r="K81" s="8"/>
      <c r="L81" s="8"/>
      <c r="M81" s="8"/>
      <c r="N81" s="8">
        <v>847.36500000000001</v>
      </c>
    </row>
    <row r="82" spans="1:14" ht="13.5" thickBot="1" x14ac:dyDescent="0.25">
      <c r="B82" s="7" t="s">
        <v>25</v>
      </c>
      <c r="C82" s="9">
        <v>43.46</v>
      </c>
      <c r="D82" s="9">
        <v>42.25</v>
      </c>
      <c r="E82" s="9">
        <v>41.06</v>
      </c>
      <c r="F82" s="9"/>
      <c r="G82" s="9"/>
      <c r="H82" s="9"/>
      <c r="I82" s="9"/>
      <c r="J82" s="9">
        <v>42.67</v>
      </c>
      <c r="K82" s="9"/>
      <c r="L82" s="9"/>
      <c r="M82" s="9"/>
      <c r="N82" s="9">
        <v>42.36</v>
      </c>
    </row>
    <row r="83" spans="1:14" x14ac:dyDescent="0.2">
      <c r="B83" s="5" t="s">
        <v>17</v>
      </c>
      <c r="C83" s="8">
        <v>912.82</v>
      </c>
      <c r="D83" s="8">
        <v>887.54</v>
      </c>
      <c r="E83" s="8">
        <v>862.39</v>
      </c>
      <c r="F83" s="8"/>
      <c r="G83" s="8"/>
      <c r="H83" s="8"/>
      <c r="I83" s="8"/>
      <c r="J83" s="8">
        <v>896.15</v>
      </c>
      <c r="K83" s="8"/>
      <c r="L83" s="8"/>
      <c r="M83" s="8"/>
      <c r="N83" s="8">
        <v>889.72500000000002</v>
      </c>
    </row>
    <row r="84" spans="1:14" x14ac:dyDescent="0.2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x14ac:dyDescent="0.2">
      <c r="A85" s="6" t="s">
        <v>42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2">
      <c r="B86" s="7" t="s">
        <v>35</v>
      </c>
      <c r="C86" s="8">
        <v>22554.240000000002</v>
      </c>
      <c r="D86" s="8">
        <v>22013.52</v>
      </c>
      <c r="E86" s="8">
        <v>21473.200000000001</v>
      </c>
      <c r="F86" s="8"/>
      <c r="G86" s="8"/>
      <c r="H86" s="8"/>
      <c r="I86" s="8"/>
      <c r="J86" s="8">
        <v>22365.040000000001</v>
      </c>
      <c r="K86" s="8"/>
      <c r="L86" s="8"/>
      <c r="M86" s="8"/>
      <c r="N86" s="8">
        <v>22101.5</v>
      </c>
    </row>
    <row r="87" spans="1:14" x14ac:dyDescent="0.2">
      <c r="B87" s="7" t="s">
        <v>28</v>
      </c>
      <c r="C87" s="8">
        <v>939.76</v>
      </c>
      <c r="D87" s="8">
        <v>917.23</v>
      </c>
      <c r="E87" s="8">
        <v>894.7166666666667</v>
      </c>
      <c r="F87" s="8"/>
      <c r="G87" s="8"/>
      <c r="H87" s="8"/>
      <c r="I87" s="8"/>
      <c r="J87" s="8">
        <v>931.87666666666667</v>
      </c>
      <c r="K87" s="8"/>
      <c r="L87" s="8"/>
      <c r="M87" s="8"/>
      <c r="N87" s="8">
        <v>920.89583333333337</v>
      </c>
    </row>
    <row r="88" spans="1:14" x14ac:dyDescent="0.2">
      <c r="B88" s="13" t="s">
        <v>82</v>
      </c>
      <c r="C88" s="14">
        <v>0.1423292450192668</v>
      </c>
      <c r="D88" s="14">
        <v>0.1217606124720243</v>
      </c>
      <c r="E88" s="14">
        <v>0.1467247117327648</v>
      </c>
      <c r="F88" s="14"/>
      <c r="G88" s="14"/>
      <c r="H88" s="14"/>
      <c r="I88" s="14"/>
      <c r="J88" s="14">
        <v>0.12512199490086462</v>
      </c>
      <c r="N88" s="47">
        <v>0.13398414103123013</v>
      </c>
    </row>
    <row r="89" spans="1:14" x14ac:dyDescent="0.2">
      <c r="B89" s="13"/>
    </row>
    <row r="90" spans="1:14" ht="15.75" x14ac:dyDescent="0.25">
      <c r="A90" s="11" t="s">
        <v>43</v>
      </c>
      <c r="B90" s="15"/>
    </row>
    <row r="91" spans="1:14" x14ac:dyDescent="0.2">
      <c r="A91" s="6" t="s">
        <v>44</v>
      </c>
    </row>
    <row r="92" spans="1:14" x14ac:dyDescent="0.2">
      <c r="B92" s="7" t="s">
        <v>30</v>
      </c>
      <c r="C92" s="8">
        <v>15666.04</v>
      </c>
      <c r="D92" s="8">
        <v>15077.65</v>
      </c>
      <c r="E92" s="8"/>
      <c r="F92" s="8">
        <v>15666.06</v>
      </c>
      <c r="G92" s="8"/>
      <c r="H92" s="8"/>
      <c r="I92" s="8"/>
      <c r="J92" s="8"/>
      <c r="K92" s="8"/>
      <c r="L92" s="8"/>
      <c r="M92" s="8"/>
      <c r="N92" s="8">
        <v>15469.916666666666</v>
      </c>
    </row>
    <row r="93" spans="1:14" ht="13.5" thickBot="1" x14ac:dyDescent="0.25">
      <c r="B93" s="7" t="s">
        <v>25</v>
      </c>
      <c r="C93" s="9">
        <v>783.3</v>
      </c>
      <c r="D93" s="9">
        <v>753.88</v>
      </c>
      <c r="E93" s="9"/>
      <c r="F93" s="9">
        <v>783.3</v>
      </c>
      <c r="G93" s="9"/>
      <c r="H93" s="9"/>
      <c r="I93" s="9"/>
      <c r="J93" s="9"/>
      <c r="K93" s="9"/>
      <c r="L93" s="9"/>
      <c r="M93" s="9"/>
      <c r="N93" s="9">
        <v>773.49333333333323</v>
      </c>
    </row>
    <row r="94" spans="1:14" x14ac:dyDescent="0.2">
      <c r="B94" s="5" t="s">
        <v>17</v>
      </c>
      <c r="C94" s="8">
        <v>16449.34</v>
      </c>
      <c r="D94" s="8">
        <v>15831.53</v>
      </c>
      <c r="E94" s="8"/>
      <c r="F94" s="8">
        <v>16449.36</v>
      </c>
      <c r="G94" s="8"/>
      <c r="H94" s="8"/>
      <c r="I94" s="8"/>
      <c r="J94" s="8"/>
      <c r="K94" s="8"/>
      <c r="L94" s="8"/>
      <c r="M94" s="8"/>
      <c r="N94" s="8">
        <v>16243.41</v>
      </c>
    </row>
    <row r="95" spans="1:14" x14ac:dyDescent="0.2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2">
      <c r="A96" s="6" t="s">
        <v>45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x14ac:dyDescent="0.2">
      <c r="B97" s="7" t="s">
        <v>85</v>
      </c>
      <c r="C97" s="8">
        <v>16639.740000000002</v>
      </c>
      <c r="D97" s="8">
        <v>16919.41</v>
      </c>
      <c r="E97" s="8"/>
      <c r="F97" s="8">
        <v>17570.400000000001</v>
      </c>
      <c r="G97" s="8"/>
      <c r="H97" s="8"/>
      <c r="I97" s="8"/>
      <c r="J97" s="8"/>
      <c r="K97" s="8"/>
      <c r="L97" s="8"/>
      <c r="M97" s="8"/>
      <c r="N97" s="8">
        <v>17043.183333333334</v>
      </c>
    </row>
    <row r="98" spans="1:14" x14ac:dyDescent="0.2">
      <c r="B98" s="13" t="s">
        <v>82</v>
      </c>
      <c r="C98" s="14">
        <v>6.2180670563092288E-2</v>
      </c>
      <c r="D98" s="14">
        <v>0.11855363063304281</v>
      </c>
      <c r="E98" s="14"/>
      <c r="F98" s="14">
        <v>0.1187354311426696</v>
      </c>
      <c r="N98" s="47">
        <v>9.9823244112934903E-2</v>
      </c>
    </row>
    <row r="99" spans="1:14" x14ac:dyDescent="0.2">
      <c r="B99" s="13"/>
      <c r="C99" s="47"/>
    </row>
    <row r="100" spans="1:14" x14ac:dyDescent="0.2">
      <c r="A100" s="6" t="s">
        <v>47</v>
      </c>
    </row>
    <row r="101" spans="1:14" x14ac:dyDescent="0.2">
      <c r="B101" s="7" t="s">
        <v>83</v>
      </c>
      <c r="C101" s="8">
        <v>45092.3</v>
      </c>
      <c r="D101" s="8">
        <v>46416.61</v>
      </c>
      <c r="E101" s="8"/>
      <c r="F101" s="8">
        <v>47005.04</v>
      </c>
      <c r="G101" s="8"/>
      <c r="H101" s="8"/>
      <c r="I101" s="8"/>
      <c r="J101" s="8"/>
      <c r="K101" s="8"/>
      <c r="L101" s="8"/>
      <c r="M101" s="8"/>
      <c r="N101" s="8">
        <v>46171.316666666673</v>
      </c>
    </row>
    <row r="102" spans="1:14" ht="13.5" thickBot="1" x14ac:dyDescent="0.25">
      <c r="B102" s="7" t="s">
        <v>25</v>
      </c>
      <c r="C102" s="9">
        <v>2254.61</v>
      </c>
      <c r="D102" s="9">
        <v>2320.8200000000002</v>
      </c>
      <c r="E102" s="9"/>
      <c r="F102" s="9">
        <v>2350.25</v>
      </c>
      <c r="G102" s="9"/>
      <c r="H102" s="9"/>
      <c r="I102" s="9"/>
      <c r="J102" s="9"/>
      <c r="K102" s="9"/>
      <c r="L102" s="9"/>
      <c r="M102" s="9"/>
      <c r="N102" s="9">
        <v>2308.56</v>
      </c>
    </row>
    <row r="103" spans="1:14" x14ac:dyDescent="0.2">
      <c r="B103" s="5" t="s">
        <v>17</v>
      </c>
      <c r="C103" s="8">
        <v>47346.91</v>
      </c>
      <c r="D103" s="8">
        <v>48737.43</v>
      </c>
      <c r="E103" s="8"/>
      <c r="F103" s="8">
        <v>49355.29</v>
      </c>
      <c r="G103" s="8"/>
      <c r="H103" s="8"/>
      <c r="I103" s="8"/>
      <c r="J103" s="8"/>
      <c r="K103" s="8"/>
      <c r="L103" s="8"/>
      <c r="M103" s="8"/>
      <c r="N103" s="8">
        <v>48479.876666666671</v>
      </c>
    </row>
    <row r="104" spans="1:14" x14ac:dyDescent="0.2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x14ac:dyDescent="0.2">
      <c r="A105" s="6" t="s">
        <v>48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x14ac:dyDescent="0.2">
      <c r="B106" s="7" t="s">
        <v>85</v>
      </c>
      <c r="C106" s="8">
        <v>47537.31</v>
      </c>
      <c r="D106" s="8">
        <v>49825.31</v>
      </c>
      <c r="E106" s="8"/>
      <c r="F106" s="8">
        <v>50476.33</v>
      </c>
      <c r="G106" s="8"/>
      <c r="H106" s="8"/>
      <c r="I106" s="8"/>
      <c r="J106" s="8"/>
      <c r="K106" s="8"/>
      <c r="L106" s="8"/>
      <c r="M106" s="8"/>
      <c r="N106" s="8">
        <v>49279.65</v>
      </c>
    </row>
    <row r="107" spans="1:14" x14ac:dyDescent="0.2">
      <c r="B107" s="13" t="s">
        <v>82</v>
      </c>
      <c r="C107" s="14">
        <v>0.10218281179175137</v>
      </c>
      <c r="D107" s="14">
        <v>0.12280238012342304</v>
      </c>
      <c r="E107" s="14"/>
      <c r="F107" s="14">
        <v>0.12281154836026009</v>
      </c>
      <c r="N107" s="47">
        <v>0.11593224675847817</v>
      </c>
    </row>
    <row r="108" spans="1:14" x14ac:dyDescent="0.2">
      <c r="B108" s="13"/>
    </row>
    <row r="109" spans="1:14" ht="15.75" x14ac:dyDescent="0.25">
      <c r="A109" s="11" t="s">
        <v>49</v>
      </c>
      <c r="B109" s="15"/>
      <c r="C109" s="3"/>
    </row>
    <row r="110" spans="1:14" x14ac:dyDescent="0.2">
      <c r="A110" s="6" t="s">
        <v>50</v>
      </c>
    </row>
    <row r="111" spans="1:14" x14ac:dyDescent="0.2">
      <c r="B111" s="7" t="s">
        <v>30</v>
      </c>
      <c r="C111" s="8">
        <v>11442.92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>
        <v>11442.92</v>
      </c>
    </row>
    <row r="112" spans="1:14" ht="13.5" thickBot="1" x14ac:dyDescent="0.25">
      <c r="B112" s="7" t="s">
        <v>25</v>
      </c>
      <c r="C112" s="9">
        <v>572.14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>
        <v>572.14</v>
      </c>
    </row>
    <row r="113" spans="1:14" x14ac:dyDescent="0.2">
      <c r="B113" s="5" t="s">
        <v>17</v>
      </c>
      <c r="C113" s="8">
        <v>12015.06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>
        <v>12015.06</v>
      </c>
    </row>
    <row r="114" spans="1:14" x14ac:dyDescent="0.2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x14ac:dyDescent="0.2">
      <c r="A115" s="6" t="s">
        <v>51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x14ac:dyDescent="0.2">
      <c r="B116" s="7" t="s">
        <v>86</v>
      </c>
      <c r="C116" s="8">
        <v>12205.46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>
        <v>12205.46</v>
      </c>
    </row>
    <row r="117" spans="1:14" x14ac:dyDescent="0.2">
      <c r="B117" s="13" t="s">
        <v>82</v>
      </c>
      <c r="C117" s="14">
        <v>4.106086116925356E-2</v>
      </c>
      <c r="N117" s="47">
        <v>4.106086116925356E-2</v>
      </c>
    </row>
    <row r="118" spans="1:14" x14ac:dyDescent="0.2">
      <c r="B118" s="13"/>
    </row>
    <row r="119" spans="1:14" x14ac:dyDescent="0.2">
      <c r="A119" s="6" t="s">
        <v>52</v>
      </c>
    </row>
    <row r="120" spans="1:14" x14ac:dyDescent="0.2">
      <c r="B120" s="7" t="s">
        <v>83</v>
      </c>
      <c r="C120" s="8">
        <v>32936.839999999997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>
        <v>32936.839999999997</v>
      </c>
    </row>
    <row r="121" spans="1:14" ht="13.5" thickBot="1" x14ac:dyDescent="0.25">
      <c r="B121" s="7" t="s">
        <v>25</v>
      </c>
      <c r="C121" s="9">
        <v>1646.84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>
        <v>1646.84</v>
      </c>
    </row>
    <row r="122" spans="1:14" x14ac:dyDescent="0.2">
      <c r="B122" s="5" t="s">
        <v>17</v>
      </c>
      <c r="C122" s="8">
        <v>34583.68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>
        <v>34583.68</v>
      </c>
    </row>
    <row r="123" spans="1:14" x14ac:dyDescent="0.2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x14ac:dyDescent="0.2">
      <c r="A124" s="6" t="s">
        <v>53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x14ac:dyDescent="0.2">
      <c r="B125" s="7" t="s">
        <v>86</v>
      </c>
      <c r="C125" s="8">
        <v>34774.080000000002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>
        <v>34774.080000000002</v>
      </c>
    </row>
    <row r="126" spans="1:14" x14ac:dyDescent="0.2">
      <c r="B126" s="13" t="s">
        <v>82</v>
      </c>
      <c r="C126" s="14">
        <v>9.4038519983916657E-2</v>
      </c>
      <c r="N126" s="47">
        <v>9.4038519983916657E-2</v>
      </c>
    </row>
    <row r="127" spans="1:14" x14ac:dyDescent="0.2">
      <c r="B127" s="13"/>
    </row>
    <row r="128" spans="1:14" ht="15.75" x14ac:dyDescent="0.25">
      <c r="A128" s="11" t="s">
        <v>54</v>
      </c>
      <c r="B128" s="15"/>
      <c r="C128" s="3"/>
    </row>
    <row r="129" spans="1:14" x14ac:dyDescent="0.2">
      <c r="A129" s="6" t="s">
        <v>55</v>
      </c>
    </row>
    <row r="130" spans="1:14" x14ac:dyDescent="0.2">
      <c r="B130" s="7" t="s">
        <v>30</v>
      </c>
      <c r="C130" s="8">
        <v>13622.7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>
        <v>13622.7</v>
      </c>
    </row>
    <row r="131" spans="1:14" ht="13.5" thickBot="1" x14ac:dyDescent="0.25">
      <c r="B131" s="7" t="s">
        <v>25</v>
      </c>
      <c r="C131" s="9">
        <v>681.12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>
        <v>681.12</v>
      </c>
    </row>
    <row r="132" spans="1:14" x14ac:dyDescent="0.2">
      <c r="B132" s="5" t="s">
        <v>17</v>
      </c>
      <c r="C132" s="8">
        <v>14303.82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>
        <v>14303.82</v>
      </c>
    </row>
    <row r="133" spans="1:14" x14ac:dyDescent="0.2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x14ac:dyDescent="0.2">
      <c r="A134" s="6" t="s">
        <v>56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x14ac:dyDescent="0.2">
      <c r="B135" s="7" t="s">
        <v>86</v>
      </c>
      <c r="C135" s="8">
        <v>14494.22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>
        <v>14494.22</v>
      </c>
    </row>
    <row r="136" spans="1:14" x14ac:dyDescent="0.2">
      <c r="B136" s="13" t="s">
        <v>82</v>
      </c>
      <c r="C136" s="14">
        <v>5.3472321150821456E-2</v>
      </c>
      <c r="N136" s="47">
        <v>5.3472321150821456E-2</v>
      </c>
    </row>
    <row r="137" spans="1:14" x14ac:dyDescent="0.2">
      <c r="B137" s="13"/>
    </row>
    <row r="138" spans="1:14" x14ac:dyDescent="0.2">
      <c r="A138" s="6" t="s">
        <v>57</v>
      </c>
    </row>
    <row r="139" spans="1:14" x14ac:dyDescent="0.2">
      <c r="B139" s="7" t="s">
        <v>83</v>
      </c>
      <c r="C139" s="8">
        <v>39850.379999999997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>
        <v>39850.379999999997</v>
      </c>
    </row>
    <row r="140" spans="1:14" ht="13.5" thickBot="1" x14ac:dyDescent="0.25">
      <c r="B140" s="7" t="s">
        <v>25</v>
      </c>
      <c r="C140" s="9">
        <v>1992.51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>
        <v>1992.51</v>
      </c>
    </row>
    <row r="141" spans="1:14" x14ac:dyDescent="0.2">
      <c r="B141" s="5" t="s">
        <v>17</v>
      </c>
      <c r="C141" s="8">
        <v>41842.89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>
        <v>41842.89</v>
      </c>
    </row>
    <row r="142" spans="1:14" x14ac:dyDescent="0.2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x14ac:dyDescent="0.2">
      <c r="A143" s="6" t="s">
        <v>58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x14ac:dyDescent="0.2">
      <c r="B144" s="7" t="s">
        <v>86</v>
      </c>
      <c r="C144" s="8">
        <v>42033.29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>
        <v>42033.29</v>
      </c>
    </row>
    <row r="145" spans="2:14" x14ac:dyDescent="0.2">
      <c r="B145" s="13" t="s">
        <v>82</v>
      </c>
      <c r="C145" s="14">
        <v>0.11669966291752765</v>
      </c>
      <c r="N145" s="47">
        <v>0.11669966291752765</v>
      </c>
    </row>
    <row r="146" spans="2:14" x14ac:dyDescent="0.2">
      <c r="B146" s="13"/>
      <c r="C146" s="14"/>
      <c r="N146" s="47"/>
    </row>
  </sheetData>
  <phoneticPr fontId="0" type="noConversion"/>
  <printOptions horizontalCentered="1"/>
  <pageMargins left="0.25" right="0.25" top="0.5" bottom="0.25" header="0.25" footer="0.25"/>
  <pageSetup scale="90" fitToHeight="4" orientation="landscape" r:id="rId1"/>
  <headerFooter alignWithMargins="0">
    <oddFooter>&amp;ROffice of Data Analysis and Institutional Research, DCU, &amp;F, &amp;D</oddFooter>
  </headerFooter>
  <rowBreaks count="3" manualBreakCount="3">
    <brk id="69" max="13" man="1"/>
    <brk id="92" max="13" man="1"/>
    <brk id="135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Summary T&amp;F</vt:lpstr>
      <vt:lpstr>Undergraduate T&amp;F</vt:lpstr>
      <vt:lpstr>Graduate T&amp;F</vt:lpstr>
      <vt:lpstr>Professional T&amp;F</vt:lpstr>
      <vt:lpstr>T&amp;F-All</vt:lpstr>
      <vt:lpstr>Survey Template</vt:lpstr>
      <vt:lpstr>Cost of Attendance</vt:lpstr>
      <vt:lpstr>2009-10 Max T&amp;F for VA Office</vt:lpstr>
      <vt:lpstr>WeightedAvg</vt:lpstr>
      <vt:lpstr>2006-07 Current Stu Survey</vt:lpstr>
      <vt:lpstr>2005-06 Survey Form</vt:lpstr>
      <vt:lpstr>Previous Year T&amp;F (2004-05)</vt:lpstr>
      <vt:lpstr>'2005-06 Survey Form'!Print_Area</vt:lpstr>
      <vt:lpstr>'2006-07 Current Stu Survey'!Print_Area</vt:lpstr>
      <vt:lpstr>'Graduate T&amp;F'!Print_Area</vt:lpstr>
      <vt:lpstr>'Previous Year T&amp;F (2004-05)'!Print_Area</vt:lpstr>
      <vt:lpstr>'Professional T&amp;F'!Print_Area</vt:lpstr>
      <vt:lpstr>'Summary T&amp;F'!Print_Area</vt:lpstr>
      <vt:lpstr>'Survey Template'!Print_Area</vt:lpstr>
      <vt:lpstr>'T&amp;F-All'!Print_Area</vt:lpstr>
      <vt:lpstr>'Undergraduate T&amp;F'!Print_Area</vt:lpstr>
      <vt:lpstr>'2005-06 Survey Form'!Print_Titles</vt:lpstr>
      <vt:lpstr>'2006-07 Current Stu Survey'!Print_Titles</vt:lpstr>
      <vt:lpstr>'Graduate T&amp;F'!Print_Titles</vt:lpstr>
      <vt:lpstr>'Previous Year T&amp;F (2004-05)'!Print_Titles</vt:lpstr>
      <vt:lpstr>'Professional T&amp;F'!Print_Titles</vt:lpstr>
      <vt:lpstr>'Survey Template'!Print_Titles</vt:lpstr>
      <vt:lpstr>'T&amp;F-All'!Print_Titles</vt:lpstr>
      <vt:lpstr>'Undergraduate T&amp;F'!Print_Titles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GRP</dc:creator>
  <cp:lastModifiedBy>jennifer.nabors</cp:lastModifiedBy>
  <cp:lastPrinted>2014-09-04T16:52:06Z</cp:lastPrinted>
  <dcterms:created xsi:type="dcterms:W3CDTF">1998-10-30T17:58:35Z</dcterms:created>
  <dcterms:modified xsi:type="dcterms:W3CDTF">2016-04-22T20:04:38Z</dcterms:modified>
</cp:coreProperties>
</file>