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90" yWindow="-75" windowWidth="12120" windowHeight="6930" tabRatio="811"/>
  </bookViews>
  <sheets>
    <sheet name="Summary T&amp;F" sheetId="9" r:id="rId1"/>
    <sheet name="Undergraduate T&amp;F" sheetId="21" r:id="rId2"/>
    <sheet name="Graduate T&amp;F" sheetId="20" r:id="rId3"/>
    <sheet name="Professional T&amp;F" sheetId="19" r:id="rId4"/>
    <sheet name="T&amp;F-All" sheetId="8" state="hidden" r:id="rId5"/>
    <sheet name="Survey Template" sheetId="14" state="hidden" r:id="rId6"/>
    <sheet name="2009-10 Max T&amp;F for VA Office" sheetId="18" state="hidden" r:id="rId7"/>
    <sheet name="WeightedAvg" sheetId="16" state="hidden" r:id="rId8"/>
    <sheet name="2006-07 Current Stu Survey" sheetId="15" state="hidden" r:id="rId9"/>
    <sheet name="2005-06 Survey Form" sheetId="13" state="hidden" r:id="rId10"/>
    <sheet name="Previous Year T&amp;F (2004-05)" sheetId="11" state="hidden" r:id="rId11"/>
  </sheets>
  <definedNames>
    <definedName name="_xlnm.Print_Area" localSheetId="9">'2005-06 Survey Form'!$A$1:$P$104</definedName>
    <definedName name="_xlnm.Print_Area" localSheetId="8">'2006-07 Current Stu Survey'!$A$1:$P$107</definedName>
    <definedName name="_xlnm.Print_Area" localSheetId="2">'Graduate T&amp;F'!$A$1:$P$49</definedName>
    <definedName name="_xlnm.Print_Area" localSheetId="10">'Previous Year T&amp;F (2004-05)'!$A$1:$N$155</definedName>
    <definedName name="_xlnm.Print_Area" localSheetId="3">'Professional T&amp;F'!$A$1:$P$182</definedName>
    <definedName name="_xlnm.Print_Area" localSheetId="0">'Summary T&amp;F'!$A$1:$P$70</definedName>
    <definedName name="_xlnm.Print_Area" localSheetId="5">'Survey Template'!$A$1:$O$168</definedName>
    <definedName name="_xlnm.Print_Area" localSheetId="4">'T&amp;F-All'!$A$1:$P$224</definedName>
    <definedName name="_xlnm.Print_Area" localSheetId="1">'Undergraduate T&amp;F'!$A$1:$P$49</definedName>
    <definedName name="_xlnm.Print_Titles" localSheetId="9">'2005-06 Survey Form'!$1:$8</definedName>
    <definedName name="_xlnm.Print_Titles" localSheetId="8">'2006-07 Current Stu Survey'!$1:$8</definedName>
    <definedName name="_xlnm.Print_Titles" localSheetId="2">'Graduate T&amp;F'!$1:$4</definedName>
    <definedName name="_xlnm.Print_Titles" localSheetId="10">'Previous Year T&amp;F (2004-05)'!$1:$3</definedName>
    <definedName name="_xlnm.Print_Titles" localSheetId="3">'Professional T&amp;F'!$1:$4</definedName>
    <definedName name="_xlnm.Print_Titles" localSheetId="5">'Survey Template'!$1:$9</definedName>
    <definedName name="_xlnm.Print_Titles" localSheetId="4">'T&amp;F-All'!$1:$3</definedName>
    <definedName name="_xlnm.Print_Titles" localSheetId="1">'Undergraduate T&amp;F'!$1:$4</definedName>
    <definedName name="wrn.Summary._.and._.Detail." localSheetId="8" hidden="1">{"detail",#N/A,FALSE,"1996-97";"summary",#N/A,FALSE,"1996-97"}</definedName>
    <definedName name="wrn.Summary._.and._.Detail." localSheetId="10" hidden="1">{"detail",#N/A,FALSE,"1996-97";"summary",#N/A,FALSE,"1996-97"}</definedName>
    <definedName name="wrn.Summary._.and._.Detail." localSheetId="5" hidden="1">{"detail",#N/A,FALSE,"1996-97";"summary",#N/A,FALSE,"1996-97"}</definedName>
    <definedName name="wrn.Summary._.and._.Detail." hidden="1">{"detail",#N/A,FALSE,"1996-97";"summary",#N/A,FALSE,"1996-97"}</definedName>
    <definedName name="wrn.summary1._.and._.Detail" hidden="1">{"detail",#N/A,FALSE,"1996-97";"summary",#N/A,FALSE,"1996-97"}</definedName>
  </definedNames>
  <calcPr calcId="125725"/>
</workbook>
</file>

<file path=xl/calcChain.xml><?xml version="1.0" encoding="utf-8"?>
<calcChain xmlns="http://schemas.openxmlformats.org/spreadsheetml/2006/main">
  <c r="H134" i="19"/>
  <c r="G134"/>
  <c r="H133"/>
  <c r="G133"/>
  <c r="H126"/>
  <c r="G126"/>
  <c r="H125"/>
  <c r="G125"/>
  <c r="G127" s="1"/>
  <c r="H117"/>
  <c r="G117"/>
  <c r="H116"/>
  <c r="G116"/>
  <c r="G118" s="1"/>
  <c r="H74"/>
  <c r="G74"/>
  <c r="H73"/>
  <c r="G73"/>
  <c r="G75" s="1"/>
  <c r="H66"/>
  <c r="G66"/>
  <c r="H65"/>
  <c r="G65"/>
  <c r="G67" s="1"/>
  <c r="H62"/>
  <c r="G62"/>
  <c r="H57"/>
  <c r="G57"/>
  <c r="H56"/>
  <c r="G56"/>
  <c r="H48"/>
  <c r="G48"/>
  <c r="H47"/>
  <c r="G47"/>
  <c r="H38"/>
  <c r="G38"/>
  <c r="H37"/>
  <c r="G37"/>
  <c r="H34"/>
  <c r="G34"/>
  <c r="H32"/>
  <c r="G32"/>
  <c r="H31"/>
  <c r="G31"/>
  <c r="H30"/>
  <c r="G30"/>
  <c r="H29"/>
  <c r="G29"/>
  <c r="H28"/>
  <c r="G28"/>
  <c r="H24"/>
  <c r="G24"/>
  <c r="H23"/>
  <c r="G23"/>
  <c r="H22"/>
  <c r="G22"/>
  <c r="H21"/>
  <c r="G21"/>
  <c r="H20"/>
  <c r="G20"/>
  <c r="G25" s="1"/>
  <c r="H17"/>
  <c r="G17"/>
  <c r="H16"/>
  <c r="G16"/>
  <c r="H15"/>
  <c r="G15"/>
  <c r="F15"/>
  <c r="H12"/>
  <c r="G12"/>
  <c r="H11"/>
  <c r="G11"/>
  <c r="H10"/>
  <c r="G10"/>
  <c r="H9"/>
  <c r="G9"/>
  <c r="H8"/>
  <c r="G8"/>
  <c r="H7"/>
  <c r="G7"/>
  <c r="H6"/>
  <c r="H13" s="1"/>
  <c r="G6"/>
  <c r="H40" i="20"/>
  <c r="G40"/>
  <c r="H39"/>
  <c r="G39"/>
  <c r="G41" s="1"/>
  <c r="H31"/>
  <c r="G31"/>
  <c r="H30"/>
  <c r="H32" s="1"/>
  <c r="G30"/>
  <c r="G32" s="1"/>
  <c r="H23"/>
  <c r="G23"/>
  <c r="H22"/>
  <c r="G22"/>
  <c r="H21"/>
  <c r="G21"/>
  <c r="H20"/>
  <c r="G20"/>
  <c r="H19"/>
  <c r="G19"/>
  <c r="H16"/>
  <c r="G16"/>
  <c r="H15"/>
  <c r="G15"/>
  <c r="H12"/>
  <c r="G12"/>
  <c r="H11"/>
  <c r="G11"/>
  <c r="H10"/>
  <c r="G10"/>
  <c r="H9"/>
  <c r="G9"/>
  <c r="H8"/>
  <c r="G8"/>
  <c r="H7"/>
  <c r="G7"/>
  <c r="H6"/>
  <c r="G6"/>
  <c r="H41" i="21"/>
  <c r="G41"/>
  <c r="H40"/>
  <c r="G40"/>
  <c r="G42" s="1"/>
  <c r="H39"/>
  <c r="G39"/>
  <c r="H31"/>
  <c r="G31"/>
  <c r="H30"/>
  <c r="G30"/>
  <c r="H29"/>
  <c r="G29"/>
  <c r="H22"/>
  <c r="G22"/>
  <c r="H21"/>
  <c r="G21"/>
  <c r="H20"/>
  <c r="G20"/>
  <c r="H19"/>
  <c r="G19"/>
  <c r="H18"/>
  <c r="G18"/>
  <c r="H15"/>
  <c r="G15"/>
  <c r="H12"/>
  <c r="G12"/>
  <c r="H11"/>
  <c r="G11"/>
  <c r="H10"/>
  <c r="G10"/>
  <c r="H9"/>
  <c r="G9"/>
  <c r="H8"/>
  <c r="G8"/>
  <c r="H7"/>
  <c r="G7"/>
  <c r="H6"/>
  <c r="G6"/>
  <c r="H79" i="8"/>
  <c r="G79"/>
  <c r="H78"/>
  <c r="G78"/>
  <c r="H70"/>
  <c r="G70"/>
  <c r="H69"/>
  <c r="G69"/>
  <c r="H60"/>
  <c r="G60"/>
  <c r="H59"/>
  <c r="G59"/>
  <c r="H58"/>
  <c r="G58"/>
  <c r="H50"/>
  <c r="G50"/>
  <c r="H49"/>
  <c r="G49"/>
  <c r="H48"/>
  <c r="G48"/>
  <c r="H45"/>
  <c r="G45"/>
  <c r="H40"/>
  <c r="G40"/>
  <c r="H39"/>
  <c r="G39"/>
  <c r="H36"/>
  <c r="G36"/>
  <c r="H34"/>
  <c r="G34"/>
  <c r="H33"/>
  <c r="G33"/>
  <c r="H32"/>
  <c r="G32"/>
  <c r="H31"/>
  <c r="G31"/>
  <c r="H30"/>
  <c r="G30"/>
  <c r="H26"/>
  <c r="G26"/>
  <c r="H25"/>
  <c r="G25"/>
  <c r="H24"/>
  <c r="G24"/>
  <c r="H23"/>
  <c r="G23"/>
  <c r="H22"/>
  <c r="G22"/>
  <c r="H19"/>
  <c r="G19"/>
  <c r="G18"/>
  <c r="H17"/>
  <c r="G17"/>
  <c r="H16"/>
  <c r="G16"/>
  <c r="H15"/>
  <c r="G15"/>
  <c r="H14"/>
  <c r="G14"/>
  <c r="H11"/>
  <c r="G11"/>
  <c r="H10"/>
  <c r="G10"/>
  <c r="H9"/>
  <c r="G9"/>
  <c r="H8"/>
  <c r="G8"/>
  <c r="H6"/>
  <c r="G6"/>
  <c r="H5"/>
  <c r="H12" s="1"/>
  <c r="G5"/>
  <c r="H76" i="14"/>
  <c r="G76"/>
  <c r="H75"/>
  <c r="G75"/>
  <c r="H29"/>
  <c r="G29"/>
  <c r="H28"/>
  <c r="G28"/>
  <c r="H12"/>
  <c r="G12"/>
  <c r="K76"/>
  <c r="G12" i="8" l="1"/>
  <c r="G27"/>
  <c r="G74" s="1"/>
  <c r="G51"/>
  <c r="G61"/>
  <c r="G64" s="1"/>
  <c r="G71"/>
  <c r="G80"/>
  <c r="G83" s="1"/>
  <c r="G13" i="21"/>
  <c r="G23"/>
  <c r="H25" i="19"/>
  <c r="H67"/>
  <c r="H42" i="21"/>
  <c r="G13" i="20"/>
  <c r="H27" i="8"/>
  <c r="H51"/>
  <c r="H61"/>
  <c r="H64" s="1"/>
  <c r="H71"/>
  <c r="H80"/>
  <c r="H83" s="1"/>
  <c r="H13" i="21"/>
  <c r="H23"/>
  <c r="H32"/>
  <c r="G24" i="20"/>
  <c r="G13" i="19"/>
  <c r="H58"/>
  <c r="H135"/>
  <c r="G32" i="21"/>
  <c r="H13" i="20"/>
  <c r="H24"/>
  <c r="H41"/>
  <c r="G58" i="19"/>
  <c r="H75"/>
  <c r="H118"/>
  <c r="H127"/>
  <c r="G135"/>
  <c r="O45" i="8"/>
  <c r="N45"/>
  <c r="M45"/>
  <c r="L45"/>
  <c r="K45"/>
  <c r="J45"/>
  <c r="I45"/>
  <c r="F45"/>
  <c r="E45"/>
  <c r="D45"/>
  <c r="C45"/>
  <c r="C15" i="20"/>
  <c r="D15"/>
  <c r="E15"/>
  <c r="F15"/>
  <c r="I15"/>
  <c r="J15"/>
  <c r="K15"/>
  <c r="L15"/>
  <c r="M15"/>
  <c r="N15"/>
  <c r="O15"/>
  <c r="C16"/>
  <c r="D16"/>
  <c r="E16"/>
  <c r="F16"/>
  <c r="I16"/>
  <c r="J16"/>
  <c r="K16"/>
  <c r="L16"/>
  <c r="M16"/>
  <c r="N16"/>
  <c r="O16"/>
  <c r="O41" i="21"/>
  <c r="N41"/>
  <c r="M41"/>
  <c r="L41"/>
  <c r="K41"/>
  <c r="J41"/>
  <c r="I41"/>
  <c r="F41"/>
  <c r="E41"/>
  <c r="D41"/>
  <c r="C41"/>
  <c r="O40"/>
  <c r="N40"/>
  <c r="M40"/>
  <c r="L40"/>
  <c r="K40"/>
  <c r="J40"/>
  <c r="I40"/>
  <c r="F40"/>
  <c r="E40"/>
  <c r="D40"/>
  <c r="C40"/>
  <c r="O39"/>
  <c r="N39"/>
  <c r="M39"/>
  <c r="L39"/>
  <c r="K39"/>
  <c r="J39"/>
  <c r="I39"/>
  <c r="F39"/>
  <c r="E39"/>
  <c r="D39"/>
  <c r="C39"/>
  <c r="O31"/>
  <c r="N31"/>
  <c r="M31"/>
  <c r="L31"/>
  <c r="K31"/>
  <c r="J31"/>
  <c r="I31"/>
  <c r="F31"/>
  <c r="E31"/>
  <c r="D31"/>
  <c r="C31"/>
  <c r="O30"/>
  <c r="N30"/>
  <c r="M30"/>
  <c r="L30"/>
  <c r="K30"/>
  <c r="J30"/>
  <c r="I30"/>
  <c r="F30"/>
  <c r="E30"/>
  <c r="D30"/>
  <c r="C30"/>
  <c r="O29"/>
  <c r="N29"/>
  <c r="M29"/>
  <c r="L29"/>
  <c r="K29"/>
  <c r="J29"/>
  <c r="I29"/>
  <c r="F29"/>
  <c r="E29"/>
  <c r="D29"/>
  <c r="C29"/>
  <c r="O22"/>
  <c r="N22"/>
  <c r="M22"/>
  <c r="L22"/>
  <c r="K22"/>
  <c r="J22"/>
  <c r="I22"/>
  <c r="F22"/>
  <c r="E22"/>
  <c r="D22"/>
  <c r="C22"/>
  <c r="O21"/>
  <c r="N21"/>
  <c r="M21"/>
  <c r="L21"/>
  <c r="K21"/>
  <c r="J21"/>
  <c r="I21"/>
  <c r="F21"/>
  <c r="E21"/>
  <c r="D21"/>
  <c r="C21"/>
  <c r="O20"/>
  <c r="N20"/>
  <c r="M20"/>
  <c r="L20"/>
  <c r="K20"/>
  <c r="J20"/>
  <c r="I20"/>
  <c r="F20"/>
  <c r="E20"/>
  <c r="D20"/>
  <c r="C20"/>
  <c r="O19"/>
  <c r="N19"/>
  <c r="M19"/>
  <c r="L19"/>
  <c r="K19"/>
  <c r="J19"/>
  <c r="I19"/>
  <c r="F19"/>
  <c r="E19"/>
  <c r="D19"/>
  <c r="C19"/>
  <c r="O18"/>
  <c r="N18"/>
  <c r="M18"/>
  <c r="L18"/>
  <c r="K18"/>
  <c r="J18"/>
  <c r="I18"/>
  <c r="F18"/>
  <c r="E18"/>
  <c r="D18"/>
  <c r="C18"/>
  <c r="O15"/>
  <c r="N15"/>
  <c r="M15"/>
  <c r="L15"/>
  <c r="K15"/>
  <c r="J15"/>
  <c r="I15"/>
  <c r="F15"/>
  <c r="E15"/>
  <c r="D15"/>
  <c r="C15"/>
  <c r="N12"/>
  <c r="M12"/>
  <c r="L12"/>
  <c r="K12"/>
  <c r="J12"/>
  <c r="I12"/>
  <c r="F12"/>
  <c r="E12"/>
  <c r="D12"/>
  <c r="C12"/>
  <c r="O11"/>
  <c r="N11"/>
  <c r="M11"/>
  <c r="L11"/>
  <c r="K11"/>
  <c r="J11"/>
  <c r="I11"/>
  <c r="F11"/>
  <c r="E11"/>
  <c r="D11"/>
  <c r="C11"/>
  <c r="O10"/>
  <c r="N10"/>
  <c r="M10"/>
  <c r="L10"/>
  <c r="K10"/>
  <c r="J10"/>
  <c r="I10"/>
  <c r="F10"/>
  <c r="E10"/>
  <c r="D10"/>
  <c r="C10"/>
  <c r="O9"/>
  <c r="N9"/>
  <c r="M9"/>
  <c r="L9"/>
  <c r="K9"/>
  <c r="J9"/>
  <c r="I9"/>
  <c r="F9"/>
  <c r="E9"/>
  <c r="D9"/>
  <c r="C9"/>
  <c r="O8"/>
  <c r="N8"/>
  <c r="M8"/>
  <c r="L8"/>
  <c r="K8"/>
  <c r="J8"/>
  <c r="I8"/>
  <c r="F8"/>
  <c r="E8"/>
  <c r="D8"/>
  <c r="C8"/>
  <c r="O7"/>
  <c r="N7"/>
  <c r="M7"/>
  <c r="L7"/>
  <c r="K7"/>
  <c r="J7"/>
  <c r="I7"/>
  <c r="F7"/>
  <c r="E7"/>
  <c r="D7"/>
  <c r="C7"/>
  <c r="O6"/>
  <c r="N6"/>
  <c r="M6"/>
  <c r="L6"/>
  <c r="K6"/>
  <c r="J6"/>
  <c r="I6"/>
  <c r="F6"/>
  <c r="E6"/>
  <c r="D6"/>
  <c r="C6"/>
  <c r="N40" i="20"/>
  <c r="M40"/>
  <c r="L40"/>
  <c r="K40"/>
  <c r="J40"/>
  <c r="I40"/>
  <c r="F40"/>
  <c r="E40"/>
  <c r="D40"/>
  <c r="C40"/>
  <c r="N39"/>
  <c r="M39"/>
  <c r="L39"/>
  <c r="K39"/>
  <c r="J39"/>
  <c r="I39"/>
  <c r="F39"/>
  <c r="E39"/>
  <c r="D39"/>
  <c r="C39"/>
  <c r="N31"/>
  <c r="M31"/>
  <c r="L31"/>
  <c r="K31"/>
  <c r="J31"/>
  <c r="I31"/>
  <c r="F31"/>
  <c r="E31"/>
  <c r="D31"/>
  <c r="C31"/>
  <c r="N30"/>
  <c r="M30"/>
  <c r="L30"/>
  <c r="K30"/>
  <c r="J30"/>
  <c r="I30"/>
  <c r="F30"/>
  <c r="E30"/>
  <c r="D30"/>
  <c r="C30"/>
  <c r="O23"/>
  <c r="N23"/>
  <c r="M23"/>
  <c r="L23"/>
  <c r="K23"/>
  <c r="J23"/>
  <c r="I23"/>
  <c r="F23"/>
  <c r="E23"/>
  <c r="D23"/>
  <c r="C23"/>
  <c r="O22"/>
  <c r="N22"/>
  <c r="M22"/>
  <c r="L22"/>
  <c r="K22"/>
  <c r="J22"/>
  <c r="I22"/>
  <c r="F22"/>
  <c r="E22"/>
  <c r="D22"/>
  <c r="C22"/>
  <c r="O21"/>
  <c r="N21"/>
  <c r="M21"/>
  <c r="L21"/>
  <c r="K21"/>
  <c r="J21"/>
  <c r="I21"/>
  <c r="F21"/>
  <c r="E21"/>
  <c r="D21"/>
  <c r="C21"/>
  <c r="O20"/>
  <c r="N20"/>
  <c r="M20"/>
  <c r="L20"/>
  <c r="K20"/>
  <c r="J20"/>
  <c r="I20"/>
  <c r="F20"/>
  <c r="E20"/>
  <c r="D20"/>
  <c r="C20"/>
  <c r="O19"/>
  <c r="N19"/>
  <c r="M19"/>
  <c r="L19"/>
  <c r="K19"/>
  <c r="J19"/>
  <c r="I19"/>
  <c r="F19"/>
  <c r="E19"/>
  <c r="D19"/>
  <c r="C19"/>
  <c r="N12"/>
  <c r="M12"/>
  <c r="L12"/>
  <c r="K12"/>
  <c r="J12"/>
  <c r="I12"/>
  <c r="F12"/>
  <c r="E12"/>
  <c r="D12"/>
  <c r="C12"/>
  <c r="O11"/>
  <c r="N11"/>
  <c r="M11"/>
  <c r="L11"/>
  <c r="K11"/>
  <c r="J11"/>
  <c r="I11"/>
  <c r="F11"/>
  <c r="E11"/>
  <c r="D11"/>
  <c r="C11"/>
  <c r="O10"/>
  <c r="N10"/>
  <c r="M10"/>
  <c r="L10"/>
  <c r="K10"/>
  <c r="J10"/>
  <c r="I10"/>
  <c r="F10"/>
  <c r="E10"/>
  <c r="D10"/>
  <c r="C10"/>
  <c r="O9"/>
  <c r="N9"/>
  <c r="M9"/>
  <c r="L9"/>
  <c r="K9"/>
  <c r="J9"/>
  <c r="I9"/>
  <c r="F9"/>
  <c r="E9"/>
  <c r="D9"/>
  <c r="C9"/>
  <c r="O8"/>
  <c r="N8"/>
  <c r="M8"/>
  <c r="L8"/>
  <c r="K8"/>
  <c r="J8"/>
  <c r="I8"/>
  <c r="F8"/>
  <c r="E8"/>
  <c r="D8"/>
  <c r="C8"/>
  <c r="O7"/>
  <c r="N7"/>
  <c r="M7"/>
  <c r="L7"/>
  <c r="K7"/>
  <c r="J7"/>
  <c r="I7"/>
  <c r="F7"/>
  <c r="E7"/>
  <c r="D7"/>
  <c r="C7"/>
  <c r="O6"/>
  <c r="N6"/>
  <c r="M6"/>
  <c r="L6"/>
  <c r="K6"/>
  <c r="J6"/>
  <c r="I6"/>
  <c r="F6"/>
  <c r="E6"/>
  <c r="D6"/>
  <c r="C6"/>
  <c r="M176" i="19"/>
  <c r="P176" s="1" a="1"/>
  <c r="P176" s="1"/>
  <c r="M175"/>
  <c r="P175" s="1" a="1"/>
  <c r="P175" s="1"/>
  <c r="M168"/>
  <c r="P168" s="1" a="1"/>
  <c r="P168" s="1"/>
  <c r="M167"/>
  <c r="P167" s="1" a="1"/>
  <c r="P167" s="1"/>
  <c r="C159"/>
  <c r="P159" s="1" a="1"/>
  <c r="P159" s="1"/>
  <c r="C158"/>
  <c r="P158" s="1" a="1"/>
  <c r="P158" s="1"/>
  <c r="C151"/>
  <c r="P151" s="1" a="1"/>
  <c r="P151" s="1"/>
  <c r="C150"/>
  <c r="P150" s="1" a="1"/>
  <c r="P150" s="1"/>
  <c r="N142"/>
  <c r="M142"/>
  <c r="L142"/>
  <c r="K142"/>
  <c r="J142"/>
  <c r="I142"/>
  <c r="F142"/>
  <c r="E142"/>
  <c r="D142"/>
  <c r="C142"/>
  <c r="N141"/>
  <c r="M141"/>
  <c r="L141"/>
  <c r="K141"/>
  <c r="J141"/>
  <c r="I141"/>
  <c r="F141"/>
  <c r="E141"/>
  <c r="D141"/>
  <c r="C141"/>
  <c r="K134"/>
  <c r="F134"/>
  <c r="C134"/>
  <c r="K133"/>
  <c r="F133"/>
  <c r="C133"/>
  <c r="F126"/>
  <c r="C126"/>
  <c r="F125"/>
  <c r="C125"/>
  <c r="F117"/>
  <c r="C117"/>
  <c r="F116"/>
  <c r="C116"/>
  <c r="C108"/>
  <c r="P108" s="1" a="1"/>
  <c r="P108" s="1"/>
  <c r="C107"/>
  <c r="P107" s="1" a="1"/>
  <c r="P107" s="1"/>
  <c r="C100"/>
  <c r="P100" s="1" a="1"/>
  <c r="P100" s="1"/>
  <c r="C99"/>
  <c r="P99" s="1" a="1"/>
  <c r="P99" s="1"/>
  <c r="C91"/>
  <c r="P91" s="1" a="1"/>
  <c r="P91" s="1"/>
  <c r="C90"/>
  <c r="P90" s="1" a="1"/>
  <c r="P90" s="1"/>
  <c r="C83"/>
  <c r="P83" s="1" a="1"/>
  <c r="P83" s="1"/>
  <c r="C82"/>
  <c r="P82" s="1" a="1"/>
  <c r="P82" s="1"/>
  <c r="L74"/>
  <c r="K74"/>
  <c r="J74"/>
  <c r="I74"/>
  <c r="F74"/>
  <c r="E74"/>
  <c r="D74"/>
  <c r="C74"/>
  <c r="N73"/>
  <c r="M73"/>
  <c r="L73"/>
  <c r="K73"/>
  <c r="J73"/>
  <c r="I73"/>
  <c r="F73"/>
  <c r="E73"/>
  <c r="D73"/>
  <c r="C73"/>
  <c r="O66"/>
  <c r="N66"/>
  <c r="M66"/>
  <c r="L66"/>
  <c r="K66"/>
  <c r="J66"/>
  <c r="I66"/>
  <c r="F66"/>
  <c r="E66"/>
  <c r="D66"/>
  <c r="C66"/>
  <c r="O65"/>
  <c r="N65"/>
  <c r="M65"/>
  <c r="L65"/>
  <c r="K65"/>
  <c r="J65"/>
  <c r="I65"/>
  <c r="F65"/>
  <c r="E65"/>
  <c r="D65"/>
  <c r="C65"/>
  <c r="K62"/>
  <c r="F62"/>
  <c r="N57"/>
  <c r="M57"/>
  <c r="L57"/>
  <c r="K57"/>
  <c r="J57"/>
  <c r="I57"/>
  <c r="F57"/>
  <c r="E57"/>
  <c r="D57"/>
  <c r="C57"/>
  <c r="N56"/>
  <c r="M56"/>
  <c r="L56"/>
  <c r="K56"/>
  <c r="J56"/>
  <c r="I56"/>
  <c r="F56"/>
  <c r="E56"/>
  <c r="D56"/>
  <c r="C56"/>
  <c r="O48"/>
  <c r="N48"/>
  <c r="M48"/>
  <c r="L48"/>
  <c r="K48"/>
  <c r="J48"/>
  <c r="I48"/>
  <c r="F48"/>
  <c r="E48"/>
  <c r="D48"/>
  <c r="C48"/>
  <c r="O47"/>
  <c r="N47"/>
  <c r="M47"/>
  <c r="L47"/>
  <c r="K47"/>
  <c r="J47"/>
  <c r="I47"/>
  <c r="F47"/>
  <c r="E47"/>
  <c r="D47"/>
  <c r="C47"/>
  <c r="C40"/>
  <c r="P40" s="1" a="1"/>
  <c r="P40" s="1"/>
  <c r="F38"/>
  <c r="C38"/>
  <c r="F37"/>
  <c r="C37"/>
  <c r="O34"/>
  <c r="N34"/>
  <c r="M34"/>
  <c r="L34"/>
  <c r="K34"/>
  <c r="J34"/>
  <c r="I34"/>
  <c r="F34"/>
  <c r="E34"/>
  <c r="D34"/>
  <c r="C34"/>
  <c r="F32"/>
  <c r="F31"/>
  <c r="C31"/>
  <c r="O30"/>
  <c r="N30"/>
  <c r="M30"/>
  <c r="L30"/>
  <c r="K30"/>
  <c r="J30"/>
  <c r="I30"/>
  <c r="F30"/>
  <c r="E30"/>
  <c r="D30"/>
  <c r="C30"/>
  <c r="O29"/>
  <c r="N29"/>
  <c r="M29"/>
  <c r="L29"/>
  <c r="K29"/>
  <c r="J29"/>
  <c r="I29"/>
  <c r="F29"/>
  <c r="E29"/>
  <c r="D29"/>
  <c r="C29"/>
  <c r="O28"/>
  <c r="N28"/>
  <c r="M28"/>
  <c r="L28"/>
  <c r="K28"/>
  <c r="J28"/>
  <c r="I28"/>
  <c r="F28"/>
  <c r="E28"/>
  <c r="D28"/>
  <c r="C28"/>
  <c r="O24"/>
  <c r="N24"/>
  <c r="M24"/>
  <c r="L24"/>
  <c r="K24"/>
  <c r="J24"/>
  <c r="I24"/>
  <c r="F24"/>
  <c r="E24"/>
  <c r="D24"/>
  <c r="C24"/>
  <c r="O23"/>
  <c r="N23"/>
  <c r="M23"/>
  <c r="L23"/>
  <c r="K23"/>
  <c r="J23"/>
  <c r="I23"/>
  <c r="F23"/>
  <c r="E23"/>
  <c r="D23"/>
  <c r="C23"/>
  <c r="O22"/>
  <c r="N22"/>
  <c r="M22"/>
  <c r="L22"/>
  <c r="K22"/>
  <c r="J22"/>
  <c r="I22"/>
  <c r="F22"/>
  <c r="E22"/>
  <c r="D22"/>
  <c r="C22"/>
  <c r="O21"/>
  <c r="N21"/>
  <c r="M21"/>
  <c r="L21"/>
  <c r="K21"/>
  <c r="J21"/>
  <c r="I21"/>
  <c r="F21"/>
  <c r="E21"/>
  <c r="D21"/>
  <c r="C21"/>
  <c r="O20"/>
  <c r="N20"/>
  <c r="M20"/>
  <c r="L20"/>
  <c r="K20"/>
  <c r="J20"/>
  <c r="I20"/>
  <c r="F20"/>
  <c r="E20"/>
  <c r="D20"/>
  <c r="C20"/>
  <c r="O17"/>
  <c r="N17"/>
  <c r="M17"/>
  <c r="L17"/>
  <c r="K17"/>
  <c r="J17"/>
  <c r="I17"/>
  <c r="F17"/>
  <c r="E17"/>
  <c r="D17"/>
  <c r="C17"/>
  <c r="O16"/>
  <c r="N16"/>
  <c r="M16"/>
  <c r="L16"/>
  <c r="K16"/>
  <c r="J16"/>
  <c r="I16"/>
  <c r="F16"/>
  <c r="E16"/>
  <c r="D16"/>
  <c r="C16"/>
  <c r="O15"/>
  <c r="N15"/>
  <c r="M15"/>
  <c r="L15"/>
  <c r="K15"/>
  <c r="J15"/>
  <c r="I15"/>
  <c r="E15"/>
  <c r="D15"/>
  <c r="C15"/>
  <c r="N12"/>
  <c r="M12"/>
  <c r="L12"/>
  <c r="K12"/>
  <c r="J12"/>
  <c r="I12"/>
  <c r="F12"/>
  <c r="E12"/>
  <c r="D12"/>
  <c r="C12"/>
  <c r="O11"/>
  <c r="N11"/>
  <c r="M11"/>
  <c r="L11"/>
  <c r="K11"/>
  <c r="J11"/>
  <c r="I11"/>
  <c r="F11"/>
  <c r="E11"/>
  <c r="D11"/>
  <c r="C11"/>
  <c r="O10"/>
  <c r="N10"/>
  <c r="M10"/>
  <c r="L10"/>
  <c r="K10"/>
  <c r="J10"/>
  <c r="I10"/>
  <c r="F10"/>
  <c r="E10"/>
  <c r="D10"/>
  <c r="C10"/>
  <c r="O9"/>
  <c r="N9"/>
  <c r="M9"/>
  <c r="L9"/>
  <c r="K9"/>
  <c r="J9"/>
  <c r="I9"/>
  <c r="F9"/>
  <c r="E9"/>
  <c r="D9"/>
  <c r="C9"/>
  <c r="O8"/>
  <c r="N8"/>
  <c r="M8"/>
  <c r="L8"/>
  <c r="K8"/>
  <c r="J8"/>
  <c r="I8"/>
  <c r="F8"/>
  <c r="E8"/>
  <c r="D8"/>
  <c r="C8"/>
  <c r="O7"/>
  <c r="N7"/>
  <c r="M7"/>
  <c r="L7"/>
  <c r="K7"/>
  <c r="J7"/>
  <c r="I7"/>
  <c r="F7"/>
  <c r="E7"/>
  <c r="D7"/>
  <c r="C7"/>
  <c r="O6"/>
  <c r="N6"/>
  <c r="M6"/>
  <c r="L6"/>
  <c r="K6"/>
  <c r="J6"/>
  <c r="I6"/>
  <c r="F6"/>
  <c r="E6"/>
  <c r="D6"/>
  <c r="C6"/>
  <c r="C87" i="8"/>
  <c r="D78"/>
  <c r="F36"/>
  <c r="F30"/>
  <c r="O36"/>
  <c r="N36"/>
  <c r="M36"/>
  <c r="L36"/>
  <c r="K36"/>
  <c r="J36"/>
  <c r="I36"/>
  <c r="E36"/>
  <c r="D36"/>
  <c r="C36"/>
  <c r="E116" i="14"/>
  <c r="O18" i="8"/>
  <c r="N18"/>
  <c r="M18"/>
  <c r="L18"/>
  <c r="K18"/>
  <c r="J18"/>
  <c r="I18"/>
  <c r="F18"/>
  <c r="E18"/>
  <c r="D18"/>
  <c r="C18"/>
  <c r="N10"/>
  <c r="M10"/>
  <c r="L10"/>
  <c r="K10"/>
  <c r="I10"/>
  <c r="E10"/>
  <c r="D10"/>
  <c r="C10"/>
  <c r="J10"/>
  <c r="D76" i="14"/>
  <c r="D75"/>
  <c r="M135"/>
  <c r="M47"/>
  <c r="M95"/>
  <c r="M209" i="8"/>
  <c r="F82" i="14"/>
  <c r="F81"/>
  <c r="F76"/>
  <c r="C76"/>
  <c r="O75"/>
  <c r="M75"/>
  <c r="L75"/>
  <c r="K75"/>
  <c r="J75"/>
  <c r="I75"/>
  <c r="F75"/>
  <c r="E75"/>
  <c r="C75"/>
  <c r="F35"/>
  <c r="F34"/>
  <c r="F31"/>
  <c r="O76"/>
  <c r="M76"/>
  <c r="J76"/>
  <c r="E76"/>
  <c r="M29"/>
  <c r="K29"/>
  <c r="J29"/>
  <c r="I29"/>
  <c r="F29"/>
  <c r="E29"/>
  <c r="C29"/>
  <c r="G35" i="21" l="1"/>
  <c r="G36" s="1"/>
  <c r="H54" i="8"/>
  <c r="H5" i="9" s="1"/>
  <c r="H74" i="8"/>
  <c r="G54"/>
  <c r="G55" s="1"/>
  <c r="G6" i="9" s="1"/>
  <c r="G45" i="21"/>
  <c r="G46" s="1"/>
  <c r="H13" i="9"/>
  <c r="H75" i="8"/>
  <c r="H14" i="9" s="1"/>
  <c r="H55" i="8"/>
  <c r="H6" i="9" s="1"/>
  <c r="H65" i="8"/>
  <c r="H10" i="9" s="1"/>
  <c r="H9"/>
  <c r="H84" i="8"/>
  <c r="H18" i="9" s="1"/>
  <c r="H17"/>
  <c r="G5"/>
  <c r="G84" i="8"/>
  <c r="G18" i="9" s="1"/>
  <c r="G17"/>
  <c r="H45" i="21"/>
  <c r="H46" s="1"/>
  <c r="H35"/>
  <c r="H36" s="1"/>
  <c r="G75" i="8"/>
  <c r="G14" i="9" s="1"/>
  <c r="G13"/>
  <c r="G9"/>
  <c r="G65" i="8"/>
  <c r="G10" i="9" s="1"/>
  <c r="H44" i="20"/>
  <c r="H45" s="1"/>
  <c r="H35"/>
  <c r="H36" s="1"/>
  <c r="G35"/>
  <c r="G36" s="1"/>
  <c r="G44"/>
  <c r="G45" s="1"/>
  <c r="C49" i="19"/>
  <c r="F118"/>
  <c r="P118" s="1" a="1"/>
  <c r="P118" s="1"/>
  <c r="F127"/>
  <c r="F130" s="1"/>
  <c r="F143"/>
  <c r="P126" a="1"/>
  <c r="P126" s="1"/>
  <c r="E49"/>
  <c r="K67"/>
  <c r="P16" i="20" a="1"/>
  <c r="P16" s="1"/>
  <c r="P15" a="1"/>
  <c r="P15" s="1"/>
  <c r="F135" i="19"/>
  <c r="F138" s="1"/>
  <c r="E58"/>
  <c r="K58"/>
  <c r="E75"/>
  <c r="K75"/>
  <c r="K78" s="1"/>
  <c r="C118"/>
  <c r="C127"/>
  <c r="C135"/>
  <c r="E25"/>
  <c r="K25"/>
  <c r="O25"/>
  <c r="P44" a="1"/>
  <c r="P44" s="1"/>
  <c r="F13" i="20"/>
  <c r="L13"/>
  <c r="P8" a="1"/>
  <c r="P8" s="1"/>
  <c r="I32"/>
  <c r="M32"/>
  <c r="C41"/>
  <c r="I41"/>
  <c r="M41"/>
  <c r="J32"/>
  <c r="D25" i="19"/>
  <c r="J25"/>
  <c r="P17" a="1"/>
  <c r="P17" s="1"/>
  <c r="F25"/>
  <c r="L25"/>
  <c r="P21" a="1"/>
  <c r="P21" s="1"/>
  <c r="L49"/>
  <c r="D58"/>
  <c r="J58"/>
  <c r="L67"/>
  <c r="P66" a="1"/>
  <c r="P66" s="1"/>
  <c r="I67"/>
  <c r="D75"/>
  <c r="J75"/>
  <c r="K135"/>
  <c r="K138" s="1"/>
  <c r="C143"/>
  <c r="C146" s="1"/>
  <c r="P23" a="1"/>
  <c r="P23" s="1"/>
  <c r="C75"/>
  <c r="I75"/>
  <c r="P8" a="1"/>
  <c r="P8" s="1"/>
  <c r="D49"/>
  <c r="P141" a="1"/>
  <c r="P141" s="1"/>
  <c r="I25"/>
  <c r="M25"/>
  <c r="P24" a="1"/>
  <c r="P24" s="1"/>
  <c r="K13"/>
  <c r="O13"/>
  <c r="P11" a="1"/>
  <c r="P11" s="1"/>
  <c r="P15" a="1"/>
  <c r="P15" s="1"/>
  <c r="P22" a="1"/>
  <c r="P22" s="1"/>
  <c r="P29" a="1"/>
  <c r="P29" s="1"/>
  <c r="P34" a="1"/>
  <c r="P34" s="1"/>
  <c r="P38" a="1"/>
  <c r="P38" s="1"/>
  <c r="P56" a="1"/>
  <c r="P56" s="1"/>
  <c r="I58"/>
  <c r="F67"/>
  <c r="E13"/>
  <c r="P9" a="1"/>
  <c r="P9" s="1"/>
  <c r="C13"/>
  <c r="I13"/>
  <c r="M13"/>
  <c r="P16" a="1"/>
  <c r="P16" s="1"/>
  <c r="P48" a="1"/>
  <c r="P48" s="1"/>
  <c r="F58"/>
  <c r="L58"/>
  <c r="D67"/>
  <c r="D70" s="1"/>
  <c r="F75"/>
  <c r="L75"/>
  <c r="L78" s="1"/>
  <c r="P142" a="1"/>
  <c r="P142" s="1"/>
  <c r="P6" a="1"/>
  <c r="P6" s="1"/>
  <c r="L13"/>
  <c r="D13"/>
  <c r="J13"/>
  <c r="N13"/>
  <c r="P10" a="1"/>
  <c r="P10" s="1"/>
  <c r="P12" a="1"/>
  <c r="P12" s="1"/>
  <c r="N25"/>
  <c r="P28" a="1"/>
  <c r="P28" s="1"/>
  <c r="P30" a="1"/>
  <c r="P30" s="1"/>
  <c r="P37" a="1"/>
  <c r="P37" s="1"/>
  <c r="P57" a="1"/>
  <c r="P57" s="1"/>
  <c r="C67"/>
  <c r="P74" a="1"/>
  <c r="P74" s="1"/>
  <c r="P117" a="1"/>
  <c r="P117" s="1"/>
  <c r="P125" a="1"/>
  <c r="P125" s="1"/>
  <c r="P133" a="1"/>
  <c r="P133" s="1"/>
  <c r="K143"/>
  <c r="P9" i="20" a="1"/>
  <c r="P9" s="1"/>
  <c r="P11" a="1"/>
  <c r="P11" s="1"/>
  <c r="F32"/>
  <c r="L32"/>
  <c r="D32"/>
  <c r="N32"/>
  <c r="F41"/>
  <c r="L41"/>
  <c r="K24"/>
  <c r="P40" a="1"/>
  <c r="P40" s="1"/>
  <c r="D13"/>
  <c r="J13"/>
  <c r="C13"/>
  <c r="I13"/>
  <c r="M13"/>
  <c r="E13"/>
  <c r="K13"/>
  <c r="O13"/>
  <c r="P12" a="1"/>
  <c r="P12" s="1"/>
  <c r="J24"/>
  <c r="E24"/>
  <c r="N13"/>
  <c r="P10" a="1"/>
  <c r="P10" s="1"/>
  <c r="D24"/>
  <c r="N24"/>
  <c r="O24"/>
  <c r="P22" a="1"/>
  <c r="P22" s="1"/>
  <c r="E41"/>
  <c r="K41"/>
  <c r="F24"/>
  <c r="L24"/>
  <c r="P20" a="1"/>
  <c r="P20" s="1"/>
  <c r="I24"/>
  <c r="M24"/>
  <c r="P21" a="1"/>
  <c r="P21" s="1"/>
  <c r="P23" a="1"/>
  <c r="P23" s="1"/>
  <c r="P31" a="1"/>
  <c r="P31" s="1"/>
  <c r="K32"/>
  <c r="D41"/>
  <c r="J41"/>
  <c r="N41"/>
  <c r="C32" i="21"/>
  <c r="I32"/>
  <c r="M32"/>
  <c r="C42"/>
  <c r="I42"/>
  <c r="M42"/>
  <c r="E42"/>
  <c r="D13"/>
  <c r="J13"/>
  <c r="P15" a="1"/>
  <c r="P15" s="1"/>
  <c r="F32"/>
  <c r="L32"/>
  <c r="K42"/>
  <c r="O42"/>
  <c r="F13"/>
  <c r="L13"/>
  <c r="P39" a="1"/>
  <c r="P39" s="1"/>
  <c r="J42"/>
  <c r="N42"/>
  <c r="P41" a="1"/>
  <c r="P41" s="1"/>
  <c r="P8" a="1"/>
  <c r="P8" s="1"/>
  <c r="P9" a="1"/>
  <c r="P9" s="1"/>
  <c r="P11" a="1"/>
  <c r="P11" s="1"/>
  <c r="E32"/>
  <c r="K32"/>
  <c r="O32"/>
  <c r="F42"/>
  <c r="L42"/>
  <c r="P7" a="1"/>
  <c r="P7" s="1"/>
  <c r="F23"/>
  <c r="L23"/>
  <c r="P19" a="1"/>
  <c r="P19" s="1"/>
  <c r="I23"/>
  <c r="M23"/>
  <c r="P20" a="1"/>
  <c r="P20" s="1"/>
  <c r="P22" a="1"/>
  <c r="P22" s="1"/>
  <c r="N13"/>
  <c r="E13"/>
  <c r="K13"/>
  <c r="O13"/>
  <c r="P10" a="1"/>
  <c r="P10" s="1"/>
  <c r="P12" a="1"/>
  <c r="P12" s="1"/>
  <c r="C13"/>
  <c r="I13"/>
  <c r="M13"/>
  <c r="D23"/>
  <c r="J23"/>
  <c r="N23"/>
  <c r="E23"/>
  <c r="K23"/>
  <c r="O23"/>
  <c r="P21" a="1"/>
  <c r="P21" s="1"/>
  <c r="P30" a="1"/>
  <c r="P30" s="1"/>
  <c r="J32"/>
  <c r="N32"/>
  <c r="P18" a="1"/>
  <c r="P18" s="1"/>
  <c r="P6" a="1"/>
  <c r="P6" s="1"/>
  <c r="P29" a="1"/>
  <c r="P29" s="1"/>
  <c r="P40" a="1"/>
  <c r="P40" s="1"/>
  <c r="D42"/>
  <c r="C23"/>
  <c r="P31" a="1"/>
  <c r="P31" s="1"/>
  <c r="D32"/>
  <c r="Q29"/>
  <c r="P26" a="1"/>
  <c r="P26" s="1"/>
  <c r="P7" i="20" a="1"/>
  <c r="P7" s="1"/>
  <c r="P19" a="1"/>
  <c r="P19" s="1"/>
  <c r="P6" a="1"/>
  <c r="P6" s="1"/>
  <c r="P30" a="1"/>
  <c r="P30" s="1"/>
  <c r="C32"/>
  <c r="C24"/>
  <c r="Q31"/>
  <c r="P27" a="1"/>
  <c r="P27" s="1"/>
  <c r="E32"/>
  <c r="P39" a="1"/>
  <c r="P39" s="1"/>
  <c r="P127" i="19" a="1"/>
  <c r="P127" s="1"/>
  <c r="K70"/>
  <c r="L52"/>
  <c r="L53" s="1"/>
  <c r="D78"/>
  <c r="K146"/>
  <c r="C25"/>
  <c r="C58"/>
  <c r="P73" a="1"/>
  <c r="P73" s="1"/>
  <c r="C84"/>
  <c r="C92"/>
  <c r="C101"/>
  <c r="C109"/>
  <c r="P116" a="1"/>
  <c r="P116" s="1"/>
  <c r="P134" a="1"/>
  <c r="P134" s="1"/>
  <c r="C152"/>
  <c r="C160"/>
  <c r="M169"/>
  <c r="M177"/>
  <c r="F13"/>
  <c r="P47" a="1"/>
  <c r="P47" s="1"/>
  <c r="P65" a="1"/>
  <c r="P65" s="1"/>
  <c r="P7" a="1"/>
  <c r="P7" s="1"/>
  <c r="P20" a="1"/>
  <c r="P20" s="1"/>
  <c r="F5" i="8"/>
  <c r="E5"/>
  <c r="D5"/>
  <c r="M184"/>
  <c r="M183"/>
  <c r="L184"/>
  <c r="L183"/>
  <c r="N184"/>
  <c r="N183"/>
  <c r="D32"/>
  <c r="C201"/>
  <c r="P201" s="1" a="1"/>
  <c r="P201" s="1"/>
  <c r="C200"/>
  <c r="P200" s="1" a="1"/>
  <c r="P200" s="1"/>
  <c r="C193"/>
  <c r="P193" s="1" a="1"/>
  <c r="P193" s="1"/>
  <c r="C192"/>
  <c r="P192" s="1" a="1"/>
  <c r="P192" s="1"/>
  <c r="F33"/>
  <c r="I32"/>
  <c r="F34"/>
  <c r="C33"/>
  <c r="C32"/>
  <c r="F183"/>
  <c r="F184"/>
  <c r="F40"/>
  <c r="F31"/>
  <c r="F39"/>
  <c r="F32"/>
  <c r="F78" i="14"/>
  <c r="F15" i="8"/>
  <c r="F11"/>
  <c r="O10"/>
  <c r="F10"/>
  <c r="I31"/>
  <c r="I114"/>
  <c r="I76" i="14"/>
  <c r="I79" i="8" s="1"/>
  <c r="M72" i="14"/>
  <c r="C9" i="8"/>
  <c r="C5"/>
  <c r="F167"/>
  <c r="F166"/>
  <c r="F158"/>
  <c r="F157"/>
  <c r="O110" i="14"/>
  <c r="O6" i="8" s="1"/>
  <c r="N59"/>
  <c r="M59"/>
  <c r="M11"/>
  <c r="L59"/>
  <c r="L112" i="14"/>
  <c r="J59" i="8"/>
  <c r="I59"/>
  <c r="I119" i="14"/>
  <c r="I25" i="8" s="1"/>
  <c r="I115" i="14"/>
  <c r="I8" i="8" s="1"/>
  <c r="E110" i="14"/>
  <c r="E112" s="1"/>
  <c r="C12"/>
  <c r="C28" s="1"/>
  <c r="O112"/>
  <c r="J112"/>
  <c r="I112"/>
  <c r="F112"/>
  <c r="D112"/>
  <c r="D8" i="8"/>
  <c r="O12" i="14"/>
  <c r="O58" i="8" s="1"/>
  <c r="N12" i="14"/>
  <c r="N58" i="8" s="1"/>
  <c r="M12" i="14"/>
  <c r="M130" s="1"/>
  <c r="M14" i="8" s="1"/>
  <c r="L12" i="14"/>
  <c r="L58" i="8" s="1"/>
  <c r="K12" i="14"/>
  <c r="K58" i="8" s="1"/>
  <c r="J12" i="14"/>
  <c r="J58" i="8" s="1"/>
  <c r="I12" i="14"/>
  <c r="I58" i="8" s="1"/>
  <c r="F12" i="14"/>
  <c r="F58" i="8" s="1"/>
  <c r="E12" i="14"/>
  <c r="E58" i="8" s="1"/>
  <c r="D12" i="14"/>
  <c r="D58" i="8" s="1"/>
  <c r="D9"/>
  <c r="L28" i="14"/>
  <c r="L60" i="8" s="1"/>
  <c r="K14"/>
  <c r="C59"/>
  <c r="I130" i="14"/>
  <c r="I14" i="8" s="1"/>
  <c r="D59"/>
  <c r="D7"/>
  <c r="D11"/>
  <c r="D79"/>
  <c r="D80" s="1"/>
  <c r="D22"/>
  <c r="D23"/>
  <c r="D24"/>
  <c r="D25"/>
  <c r="D26"/>
  <c r="P18" a="1"/>
  <c r="P18" s="1"/>
  <c r="F175"/>
  <c r="F176"/>
  <c r="M217"/>
  <c r="P217" s="1" a="1"/>
  <c r="P217" s="1"/>
  <c r="M218"/>
  <c r="P218" s="1" a="1"/>
  <c r="P218" s="1"/>
  <c r="M5"/>
  <c r="M6"/>
  <c r="M8"/>
  <c r="M9"/>
  <c r="M210"/>
  <c r="P210" s="1" a="1"/>
  <c r="P210" s="1"/>
  <c r="L114"/>
  <c r="L115"/>
  <c r="L32"/>
  <c r="L31"/>
  <c r="L106"/>
  <c r="L107"/>
  <c r="L30"/>
  <c r="C106"/>
  <c r="C107"/>
  <c r="C30"/>
  <c r="D106"/>
  <c r="D108" s="1"/>
  <c r="D107"/>
  <c r="D30"/>
  <c r="F106"/>
  <c r="F107"/>
  <c r="K106"/>
  <c r="K107"/>
  <c r="K32"/>
  <c r="K30"/>
  <c r="C42"/>
  <c r="P42" s="1" a="1"/>
  <c r="P42" s="1"/>
  <c r="K183"/>
  <c r="K184"/>
  <c r="K19"/>
  <c r="C183"/>
  <c r="C184"/>
  <c r="C40"/>
  <c r="F19"/>
  <c r="K175"/>
  <c r="K176"/>
  <c r="C175"/>
  <c r="C176"/>
  <c r="C39"/>
  <c r="C19"/>
  <c r="C166"/>
  <c r="C167"/>
  <c r="C157"/>
  <c r="C158"/>
  <c r="C148"/>
  <c r="P148" s="1" a="1"/>
  <c r="P148" s="1"/>
  <c r="C149"/>
  <c r="P149" s="1" a="1"/>
  <c r="P149" s="1"/>
  <c r="C31"/>
  <c r="C131"/>
  <c r="P131" s="1" a="1"/>
  <c r="P131" s="1"/>
  <c r="C132"/>
  <c r="P132" s="1" a="1"/>
  <c r="P132" s="1"/>
  <c r="C123"/>
  <c r="P123" s="1" a="1"/>
  <c r="P123" s="1"/>
  <c r="C124"/>
  <c r="P124" s="1" a="1"/>
  <c r="P124" s="1"/>
  <c r="C114"/>
  <c r="C115"/>
  <c r="C6"/>
  <c r="C7"/>
  <c r="C8"/>
  <c r="C11"/>
  <c r="C17"/>
  <c r="C96"/>
  <c r="C97"/>
  <c r="C22"/>
  <c r="C23"/>
  <c r="C24"/>
  <c r="C25"/>
  <c r="C26"/>
  <c r="C88"/>
  <c r="C16"/>
  <c r="C78"/>
  <c r="C79"/>
  <c r="C15"/>
  <c r="C69"/>
  <c r="C70"/>
  <c r="C58"/>
  <c r="C49"/>
  <c r="E22"/>
  <c r="E23"/>
  <c r="E24"/>
  <c r="E25"/>
  <c r="E26"/>
  <c r="O59"/>
  <c r="O5"/>
  <c r="O7"/>
  <c r="O8"/>
  <c r="O9"/>
  <c r="O22"/>
  <c r="O23"/>
  <c r="O24"/>
  <c r="O25"/>
  <c r="N5"/>
  <c r="N6"/>
  <c r="N7"/>
  <c r="N8"/>
  <c r="N9"/>
  <c r="N14"/>
  <c r="N11"/>
  <c r="N60"/>
  <c r="N22"/>
  <c r="N23"/>
  <c r="N24"/>
  <c r="N25"/>
  <c r="L5"/>
  <c r="L7"/>
  <c r="L8"/>
  <c r="L9"/>
  <c r="L11"/>
  <c r="L22"/>
  <c r="L23"/>
  <c r="L24"/>
  <c r="L25"/>
  <c r="L26"/>
  <c r="K5"/>
  <c r="K6"/>
  <c r="K7"/>
  <c r="K8"/>
  <c r="K9"/>
  <c r="K11"/>
  <c r="K59"/>
  <c r="J5"/>
  <c r="J6"/>
  <c r="J7"/>
  <c r="J8"/>
  <c r="J9"/>
  <c r="J11"/>
  <c r="I5"/>
  <c r="I6"/>
  <c r="I7"/>
  <c r="I9"/>
  <c r="I11"/>
  <c r="I22"/>
  <c r="I23"/>
  <c r="I24"/>
  <c r="I26"/>
  <c r="F6"/>
  <c r="F7"/>
  <c r="F8"/>
  <c r="F9"/>
  <c r="F22"/>
  <c r="F23"/>
  <c r="F24"/>
  <c r="F25"/>
  <c r="F26"/>
  <c r="E7"/>
  <c r="E8"/>
  <c r="E9"/>
  <c r="E11"/>
  <c r="L17"/>
  <c r="L96"/>
  <c r="L97"/>
  <c r="E17"/>
  <c r="E96"/>
  <c r="E98" s="1"/>
  <c r="E97"/>
  <c r="D96"/>
  <c r="D97"/>
  <c r="L87"/>
  <c r="L88"/>
  <c r="E87"/>
  <c r="E88"/>
  <c r="D87"/>
  <c r="D88"/>
  <c r="C140"/>
  <c r="C141"/>
  <c r="P141" s="1" a="1"/>
  <c r="P141" s="1"/>
  <c r="D114"/>
  <c r="D115"/>
  <c r="D31"/>
  <c r="F114"/>
  <c r="F115"/>
  <c r="K114"/>
  <c r="K115"/>
  <c r="K31"/>
  <c r="F102"/>
  <c r="K102"/>
  <c r="E16"/>
  <c r="E78"/>
  <c r="E79"/>
  <c r="F16"/>
  <c r="F78"/>
  <c r="F79"/>
  <c r="I16"/>
  <c r="J16"/>
  <c r="J78"/>
  <c r="J79"/>
  <c r="K16"/>
  <c r="K78"/>
  <c r="K79"/>
  <c r="L16"/>
  <c r="L78"/>
  <c r="L79"/>
  <c r="M16"/>
  <c r="M78"/>
  <c r="M79"/>
  <c r="N16"/>
  <c r="N78"/>
  <c r="N79"/>
  <c r="D69"/>
  <c r="D70"/>
  <c r="E15"/>
  <c r="E69"/>
  <c r="E70"/>
  <c r="F69"/>
  <c r="F70"/>
  <c r="I15"/>
  <c r="I69"/>
  <c r="I70"/>
  <c r="J15"/>
  <c r="J69"/>
  <c r="J70"/>
  <c r="K15"/>
  <c r="K69"/>
  <c r="K70"/>
  <c r="L15"/>
  <c r="L69"/>
  <c r="L70"/>
  <c r="M15"/>
  <c r="M69"/>
  <c r="M70"/>
  <c r="N15"/>
  <c r="N69"/>
  <c r="N70"/>
  <c r="O49"/>
  <c r="N49"/>
  <c r="N50"/>
  <c r="M49"/>
  <c r="L49"/>
  <c r="K49"/>
  <c r="J49"/>
  <c r="I49"/>
  <c r="D49"/>
  <c r="J184"/>
  <c r="I184"/>
  <c r="E184"/>
  <c r="D184"/>
  <c r="D183"/>
  <c r="E183"/>
  <c r="I183"/>
  <c r="J183"/>
  <c r="E114"/>
  <c r="E115"/>
  <c r="I115"/>
  <c r="J114"/>
  <c r="J115"/>
  <c r="M114"/>
  <c r="N114"/>
  <c r="K96"/>
  <c r="K97"/>
  <c r="J96"/>
  <c r="J97"/>
  <c r="I96"/>
  <c r="I97"/>
  <c r="F96"/>
  <c r="F97"/>
  <c r="N97"/>
  <c r="M97"/>
  <c r="M96"/>
  <c r="N96"/>
  <c r="E32"/>
  <c r="D19"/>
  <c r="O15"/>
  <c r="O16"/>
  <c r="O19"/>
  <c r="N19"/>
  <c r="M19"/>
  <c r="L19"/>
  <c r="J19"/>
  <c r="I19"/>
  <c r="E19"/>
  <c r="O31"/>
  <c r="N31"/>
  <c r="M31"/>
  <c r="J31"/>
  <c r="E31"/>
  <c r="O32"/>
  <c r="N32"/>
  <c r="M32"/>
  <c r="J32"/>
  <c r="E30"/>
  <c r="I30"/>
  <c r="J30"/>
  <c r="M30"/>
  <c r="N30"/>
  <c r="O30"/>
  <c r="O17"/>
  <c r="N17"/>
  <c r="M17"/>
  <c r="K17"/>
  <c r="J17"/>
  <c r="I17"/>
  <c r="F17"/>
  <c r="K82" i="15"/>
  <c r="D98"/>
  <c r="D96"/>
  <c r="D94"/>
  <c r="D84"/>
  <c r="D75"/>
  <c r="D74"/>
  <c r="D73"/>
  <c r="D72"/>
  <c r="D71"/>
  <c r="D54"/>
  <c r="D65"/>
  <c r="D53"/>
  <c r="D64"/>
  <c r="D52"/>
  <c r="D63"/>
  <c r="D51"/>
  <c r="D62"/>
  <c r="D50"/>
  <c r="D61"/>
  <c r="D48"/>
  <c r="D59"/>
  <c r="D47"/>
  <c r="D58"/>
  <c r="D46"/>
  <c r="D57"/>
  <c r="D32"/>
  <c r="P209" i="8" a="1"/>
  <c r="P209" s="1"/>
  <c r="O107"/>
  <c r="N107"/>
  <c r="M107"/>
  <c r="J107"/>
  <c r="I107"/>
  <c r="E107"/>
  <c r="O106"/>
  <c r="N106"/>
  <c r="M106"/>
  <c r="J106"/>
  <c r="I106"/>
  <c r="E106"/>
  <c r="O88"/>
  <c r="N88"/>
  <c r="M88"/>
  <c r="K88"/>
  <c r="J88"/>
  <c r="I88"/>
  <c r="F88"/>
  <c r="O87"/>
  <c r="N87"/>
  <c r="M87"/>
  <c r="K87"/>
  <c r="J87"/>
  <c r="I87"/>
  <c r="F87"/>
  <c r="P45" a="1"/>
  <c r="P45" s="1"/>
  <c r="J26"/>
  <c r="K26"/>
  <c r="M26"/>
  <c r="N26"/>
  <c r="O26"/>
  <c r="J25"/>
  <c r="K25"/>
  <c r="M25"/>
  <c r="J24"/>
  <c r="K24"/>
  <c r="M24"/>
  <c r="J23"/>
  <c r="K23"/>
  <c r="M23"/>
  <c r="J22"/>
  <c r="K22"/>
  <c r="M22"/>
  <c r="D23" i="15"/>
  <c r="E23"/>
  <c r="F23"/>
  <c r="G23"/>
  <c r="H23"/>
  <c r="I23"/>
  <c r="J23"/>
  <c r="K23"/>
  <c r="L23"/>
  <c r="M23"/>
  <c r="N23"/>
  <c r="D24"/>
  <c r="E24"/>
  <c r="F24"/>
  <c r="G24"/>
  <c r="H24"/>
  <c r="I24"/>
  <c r="J24"/>
  <c r="K24"/>
  <c r="L24"/>
  <c r="M24"/>
  <c r="D25"/>
  <c r="E25"/>
  <c r="F25"/>
  <c r="K25"/>
  <c r="E26"/>
  <c r="E27"/>
  <c r="G27"/>
  <c r="L28"/>
  <c r="D29"/>
  <c r="D30"/>
  <c r="D31"/>
  <c r="G31"/>
  <c r="E46"/>
  <c r="F46"/>
  <c r="F57" s="1"/>
  <c r="I46"/>
  <c r="E47"/>
  <c r="E58" s="1"/>
  <c r="F47"/>
  <c r="I47"/>
  <c r="I58" s="1"/>
  <c r="E48"/>
  <c r="F48"/>
  <c r="F59" s="1"/>
  <c r="E49"/>
  <c r="E60"/>
  <c r="E50"/>
  <c r="E57"/>
  <c r="G57"/>
  <c r="H57"/>
  <c r="I57"/>
  <c r="J57"/>
  <c r="K57"/>
  <c r="L57"/>
  <c r="M57"/>
  <c r="F58"/>
  <c r="G58"/>
  <c r="H58"/>
  <c r="J58"/>
  <c r="K58"/>
  <c r="L58"/>
  <c r="M58"/>
  <c r="E59"/>
  <c r="K59"/>
  <c r="E61"/>
  <c r="G61"/>
  <c r="G64"/>
  <c r="E84"/>
  <c r="F84"/>
  <c r="G84"/>
  <c r="H84"/>
  <c r="I84"/>
  <c r="J84"/>
  <c r="K84"/>
  <c r="L84"/>
  <c r="M84"/>
  <c r="N84"/>
  <c r="K13" i="13"/>
  <c r="K24" s="1"/>
  <c r="K12"/>
  <c r="D23"/>
  <c r="E23"/>
  <c r="F23"/>
  <c r="G23"/>
  <c r="H23"/>
  <c r="I23"/>
  <c r="J23"/>
  <c r="K23"/>
  <c r="L23"/>
  <c r="M23"/>
  <c r="D24"/>
  <c r="E24"/>
  <c r="F24"/>
  <c r="E25"/>
  <c r="D26"/>
  <c r="E26"/>
  <c r="G26"/>
  <c r="D27"/>
  <c r="D28"/>
  <c r="D29"/>
  <c r="G30"/>
  <c r="I44"/>
  <c r="I45"/>
  <c r="I56"/>
  <c r="D55"/>
  <c r="E55"/>
  <c r="F55"/>
  <c r="G55"/>
  <c r="H55"/>
  <c r="I55"/>
  <c r="J55"/>
  <c r="K55"/>
  <c r="L55"/>
  <c r="M55"/>
  <c r="N55"/>
  <c r="D56"/>
  <c r="E56"/>
  <c r="F56"/>
  <c r="G56"/>
  <c r="H56"/>
  <c r="J56"/>
  <c r="K56"/>
  <c r="L56"/>
  <c r="M56"/>
  <c r="D57"/>
  <c r="E57"/>
  <c r="F57"/>
  <c r="K57"/>
  <c r="D59"/>
  <c r="E59"/>
  <c r="G59"/>
  <c r="D60"/>
  <c r="D61"/>
  <c r="D62"/>
  <c r="G63"/>
  <c r="D82"/>
  <c r="E82"/>
  <c r="F82"/>
  <c r="G82"/>
  <c r="H82"/>
  <c r="I82"/>
  <c r="J82"/>
  <c r="K82"/>
  <c r="L82"/>
  <c r="M82"/>
  <c r="N82"/>
  <c r="M172" i="19" l="1"/>
  <c r="F121"/>
  <c r="F78"/>
  <c r="F70"/>
  <c r="F146"/>
  <c r="I70"/>
  <c r="P25" a="1"/>
  <c r="P25" s="1"/>
  <c r="P143" a="1"/>
  <c r="P143" s="1"/>
  <c r="E52"/>
  <c r="E53" s="1"/>
  <c r="L70"/>
  <c r="L35" i="20"/>
  <c r="L36" s="1"/>
  <c r="M45" i="21"/>
  <c r="M35"/>
  <c r="N35"/>
  <c r="N36" s="1"/>
  <c r="N45"/>
  <c r="J35"/>
  <c r="J36" s="1"/>
  <c r="J45"/>
  <c r="E45"/>
  <c r="E46" s="1"/>
  <c r="E35"/>
  <c r="E36" s="1"/>
  <c r="C35"/>
  <c r="C45"/>
  <c r="K45"/>
  <c r="K35"/>
  <c r="K36" s="1"/>
  <c r="F45"/>
  <c r="F46" s="1"/>
  <c r="F35"/>
  <c r="I35"/>
  <c r="I36" s="1"/>
  <c r="I45"/>
  <c r="I46" s="1"/>
  <c r="O35"/>
  <c r="O36" s="1"/>
  <c r="O45"/>
  <c r="D35"/>
  <c r="D36" s="1"/>
  <c r="D45"/>
  <c r="D46" s="1"/>
  <c r="L45"/>
  <c r="L35"/>
  <c r="L36" s="1"/>
  <c r="M35" i="20"/>
  <c r="M36" s="1"/>
  <c r="M44"/>
  <c r="M45" s="1"/>
  <c r="D35"/>
  <c r="D36" s="1"/>
  <c r="D44"/>
  <c r="F44"/>
  <c r="F45" s="1"/>
  <c r="F35"/>
  <c r="F36" s="1"/>
  <c r="E44"/>
  <c r="E45" s="1"/>
  <c r="E35"/>
  <c r="E36" s="1"/>
  <c r="J35"/>
  <c r="J36" s="1"/>
  <c r="J44"/>
  <c r="J45" s="1"/>
  <c r="L44"/>
  <c r="L45" s="1"/>
  <c r="K44"/>
  <c r="K35"/>
  <c r="K36" s="1"/>
  <c r="C35"/>
  <c r="C44"/>
  <c r="K45"/>
  <c r="N35"/>
  <c r="N36" s="1"/>
  <c r="N44"/>
  <c r="N45" s="1"/>
  <c r="I44"/>
  <c r="I45" s="1"/>
  <c r="I35"/>
  <c r="I36" s="1"/>
  <c r="P135" i="19" a="1"/>
  <c r="P135" s="1"/>
  <c r="P67" a="1"/>
  <c r="P67" s="1"/>
  <c r="E61"/>
  <c r="E62" s="1"/>
  <c r="C71" i="8"/>
  <c r="C98"/>
  <c r="K108"/>
  <c r="C108"/>
  <c r="M27"/>
  <c r="I27"/>
  <c r="N27"/>
  <c r="O12"/>
  <c r="C168"/>
  <c r="F108"/>
  <c r="D52" i="19"/>
  <c r="D53" s="1"/>
  <c r="L61"/>
  <c r="L62" s="1"/>
  <c r="I78"/>
  <c r="P13" a="1"/>
  <c r="P13" s="1"/>
  <c r="P58" a="1"/>
  <c r="P58" s="1"/>
  <c r="D61"/>
  <c r="D62" s="1"/>
  <c r="P49" a="1"/>
  <c r="P49" s="1"/>
  <c r="P41" i="20" a="1"/>
  <c r="P41" s="1"/>
  <c r="P13" a="1"/>
  <c r="P13" s="1"/>
  <c r="O46" i="21"/>
  <c r="M36"/>
  <c r="P75" i="19" a="1"/>
  <c r="P75" s="1"/>
  <c r="C138"/>
  <c r="P138" s="1" a="1"/>
  <c r="P138" s="1"/>
  <c r="P24" i="20" a="1"/>
  <c r="P24" s="1"/>
  <c r="D45"/>
  <c r="P13" i="21" a="1"/>
  <c r="P13" s="1"/>
  <c r="N46"/>
  <c r="F36"/>
  <c r="M46"/>
  <c r="J46"/>
  <c r="P32" a="1"/>
  <c r="P32" s="1"/>
  <c r="K46"/>
  <c r="L46"/>
  <c r="P23" a="1"/>
  <c r="P23" s="1"/>
  <c r="P42" a="1"/>
  <c r="P42" s="1"/>
  <c r="Q32"/>
  <c r="Q31"/>
  <c r="P32" i="20" a="1"/>
  <c r="P32" s="1"/>
  <c r="Q32"/>
  <c r="Q30"/>
  <c r="M179" i="19"/>
  <c r="P179" s="1" a="1"/>
  <c r="P179" s="1"/>
  <c r="P177" a="1"/>
  <c r="P177" s="1"/>
  <c r="C95"/>
  <c r="P95" s="1" a="1"/>
  <c r="P95" s="1"/>
  <c r="P92" a="1"/>
  <c r="P92" s="1"/>
  <c r="C70"/>
  <c r="C121"/>
  <c r="C163"/>
  <c r="P163" s="1" a="1"/>
  <c r="P163" s="1"/>
  <c r="P160" a="1"/>
  <c r="P160" s="1"/>
  <c r="C112"/>
  <c r="P112" s="1" a="1"/>
  <c r="P112" s="1"/>
  <c r="P109" a="1"/>
  <c r="P109" s="1"/>
  <c r="P146" a="1"/>
  <c r="P146" s="1"/>
  <c r="C61"/>
  <c r="C130"/>
  <c r="C78"/>
  <c r="C155"/>
  <c r="P155" s="1" a="1"/>
  <c r="P155" s="1"/>
  <c r="P152" a="1"/>
  <c r="P152" s="1"/>
  <c r="C104"/>
  <c r="P104" s="1" a="1"/>
  <c r="P104" s="1"/>
  <c r="P101" a="1"/>
  <c r="P101" s="1"/>
  <c r="P172" a="1"/>
  <c r="P172" s="1"/>
  <c r="P169" a="1"/>
  <c r="P169" s="1"/>
  <c r="C87"/>
  <c r="P87" s="1" a="1"/>
  <c r="P87" s="1"/>
  <c r="P84" a="1"/>
  <c r="P84" s="1"/>
  <c r="C52"/>
  <c r="I108" i="8"/>
  <c r="E27"/>
  <c r="C12"/>
  <c r="P140" a="1"/>
  <c r="P140" s="1"/>
  <c r="C142"/>
  <c r="J27"/>
  <c r="K27"/>
  <c r="D98"/>
  <c r="C116"/>
  <c r="F27"/>
  <c r="O27"/>
  <c r="C27"/>
  <c r="D27"/>
  <c r="D111" s="1"/>
  <c r="J12"/>
  <c r="L27"/>
  <c r="I48"/>
  <c r="M48"/>
  <c r="E6"/>
  <c r="E12" s="1"/>
  <c r="E101" s="1"/>
  <c r="P167" a="1"/>
  <c r="P167" s="1"/>
  <c r="C125"/>
  <c r="C128" s="1"/>
  <c r="C89"/>
  <c r="I78"/>
  <c r="I80" s="1"/>
  <c r="K48"/>
  <c r="C130" i="14"/>
  <c r="C14" i="8" s="1"/>
  <c r="E48"/>
  <c r="O48"/>
  <c r="P176" a="1"/>
  <c r="P176" s="1"/>
  <c r="E80"/>
  <c r="L6"/>
  <c r="L12" s="1"/>
  <c r="O130" i="14"/>
  <c r="O14" i="8" s="1"/>
  <c r="P166" a="1"/>
  <c r="P166" s="1"/>
  <c r="K80"/>
  <c r="F80"/>
  <c r="F116"/>
  <c r="F119" s="1"/>
  <c r="O28" i="14"/>
  <c r="O60" i="8" s="1"/>
  <c r="O61" s="1"/>
  <c r="C48"/>
  <c r="J98"/>
  <c r="P39" a="1"/>
  <c r="P39" s="1"/>
  <c r="P40" a="1"/>
  <c r="P40" s="1"/>
  <c r="I98"/>
  <c r="K98"/>
  <c r="K71"/>
  <c r="J80"/>
  <c r="D89"/>
  <c r="L89"/>
  <c r="C159"/>
  <c r="L71"/>
  <c r="E71"/>
  <c r="F71"/>
  <c r="P96" a="1"/>
  <c r="P96" s="1"/>
  <c r="P175" a="1"/>
  <c r="P175" s="1"/>
  <c r="P11" a="1"/>
  <c r="P11" s="1"/>
  <c r="K12"/>
  <c r="N12"/>
  <c r="P97" a="1"/>
  <c r="P97" s="1"/>
  <c r="P32" a="1"/>
  <c r="P32" s="1"/>
  <c r="P157" a="1"/>
  <c r="P157" s="1"/>
  <c r="C177"/>
  <c r="F185"/>
  <c r="P184" a="1"/>
  <c r="P184" s="1"/>
  <c r="P10" a="1"/>
  <c r="P10" s="1"/>
  <c r="F28" i="14"/>
  <c r="F60" i="8" s="1"/>
  <c r="F130" i="14"/>
  <c r="F14" i="8" s="1"/>
  <c r="D6"/>
  <c r="D12" s="1"/>
  <c r="I28" i="14"/>
  <c r="M28"/>
  <c r="E130"/>
  <c r="E14" i="8" s="1"/>
  <c r="K28" i="14"/>
  <c r="F12" i="8"/>
  <c r="P36" a="1"/>
  <c r="P36" s="1"/>
  <c r="P25" a="1"/>
  <c r="P25" s="1"/>
  <c r="P88" a="1"/>
  <c r="P88" s="1"/>
  <c r="N71"/>
  <c r="M71"/>
  <c r="J71"/>
  <c r="I71"/>
  <c r="P26" a="1"/>
  <c r="P26" s="1"/>
  <c r="F98"/>
  <c r="J116"/>
  <c r="I12"/>
  <c r="E116"/>
  <c r="P70" a="1"/>
  <c r="P70" s="1"/>
  <c r="M80"/>
  <c r="L80"/>
  <c r="K116"/>
  <c r="D116"/>
  <c r="E89"/>
  <c r="L98"/>
  <c r="C80"/>
  <c r="P23" a="1"/>
  <c r="P23" s="1"/>
  <c r="C150"/>
  <c r="K185"/>
  <c r="C194"/>
  <c r="C197" s="1"/>
  <c r="P158" a="1"/>
  <c r="P158" s="1"/>
  <c r="P183" a="1"/>
  <c r="P183" s="1"/>
  <c r="P8" a="1"/>
  <c r="P8" s="1"/>
  <c r="M219"/>
  <c r="F177"/>
  <c r="F180" s="1"/>
  <c r="P22" a="1"/>
  <c r="P22" s="1"/>
  <c r="I116"/>
  <c r="P107" a="1"/>
  <c r="P107" s="1"/>
  <c r="P5" a="1"/>
  <c r="P5" s="1"/>
  <c r="P9" a="1"/>
  <c r="P9" s="1"/>
  <c r="P114" a="1"/>
  <c r="P114" s="1"/>
  <c r="C133"/>
  <c r="D71"/>
  <c r="D48"/>
  <c r="F48"/>
  <c r="J48"/>
  <c r="L50"/>
  <c r="L48"/>
  <c r="N48"/>
  <c r="N51" s="1"/>
  <c r="E28" i="14"/>
  <c r="M7" i="8"/>
  <c r="J28" i="14"/>
  <c r="L130"/>
  <c r="L14" i="8" s="1"/>
  <c r="D130" i="14"/>
  <c r="D28"/>
  <c r="J130"/>
  <c r="J14" i="8" s="1"/>
  <c r="P31" a="1"/>
  <c r="P31" s="1"/>
  <c r="C185"/>
  <c r="C188" s="1"/>
  <c r="L108"/>
  <c r="O50"/>
  <c r="P142" a="1"/>
  <c r="P142" s="1"/>
  <c r="M58"/>
  <c r="P58" s="1" a="1"/>
  <c r="P58" s="1"/>
  <c r="P69" a="1"/>
  <c r="P69" s="1"/>
  <c r="N61"/>
  <c r="M211"/>
  <c r="N80"/>
  <c r="F168"/>
  <c r="F171" s="1"/>
  <c r="F159"/>
  <c r="P115" a="1"/>
  <c r="P115" s="1"/>
  <c r="K177"/>
  <c r="C60"/>
  <c r="C61" s="1"/>
  <c r="C50"/>
  <c r="L61"/>
  <c r="P79" a="1"/>
  <c r="P79" s="1"/>
  <c r="C202"/>
  <c r="C205" s="1"/>
  <c r="P87" a="1"/>
  <c r="P87" s="1"/>
  <c r="P106" a="1"/>
  <c r="P106" s="1"/>
  <c r="P19" a="1"/>
  <c r="P19" s="1"/>
  <c r="L116"/>
  <c r="P24" a="1"/>
  <c r="P24" s="1"/>
  <c r="P30" a="1"/>
  <c r="P30" s="1"/>
  <c r="C136" l="1"/>
  <c r="P70" i="19" a="1"/>
  <c r="P70" s="1"/>
  <c r="L119" i="8"/>
  <c r="L111"/>
  <c r="L29" i="9" s="1"/>
  <c r="I119" i="8"/>
  <c r="K188"/>
  <c r="K56" i="9" s="1"/>
  <c r="L101" i="8"/>
  <c r="L102" s="1"/>
  <c r="L26" i="9" s="1"/>
  <c r="I111" i="8"/>
  <c r="F188"/>
  <c r="F162"/>
  <c r="K119"/>
  <c r="D119"/>
  <c r="C180"/>
  <c r="C53" i="9" s="1"/>
  <c r="C162" i="8"/>
  <c r="C47" i="9" s="1"/>
  <c r="C111" i="8"/>
  <c r="C153"/>
  <c r="P153" s="1" a="1"/>
  <c r="P153" s="1"/>
  <c r="P44" i="9" s="1"/>
  <c r="C171" i="8"/>
  <c r="C50" i="9" s="1"/>
  <c r="F111" i="8"/>
  <c r="K180"/>
  <c r="K53" i="9" s="1"/>
  <c r="C119" i="8"/>
  <c r="C145"/>
  <c r="K111"/>
  <c r="K29" i="9" s="1"/>
  <c r="P78" i="19" a="1"/>
  <c r="P78" s="1"/>
  <c r="N64" i="8"/>
  <c r="N83"/>
  <c r="N54"/>
  <c r="N55" s="1"/>
  <c r="N6" i="9" s="1"/>
  <c r="N74" i="8"/>
  <c r="E92"/>
  <c r="E74"/>
  <c r="E83"/>
  <c r="J83"/>
  <c r="J74"/>
  <c r="J13" i="9" s="1"/>
  <c r="C83" i="8"/>
  <c r="C101"/>
  <c r="C102" s="1"/>
  <c r="C92"/>
  <c r="C74"/>
  <c r="C75" s="1"/>
  <c r="C14" i="9" s="1"/>
  <c r="C64" i="8"/>
  <c r="I83"/>
  <c r="I17" i="9" s="1"/>
  <c r="I74" i="8"/>
  <c r="I75" s="1"/>
  <c r="I14" i="9" s="1"/>
  <c r="F74" i="8"/>
  <c r="F75" s="1"/>
  <c r="F14" i="9" s="1"/>
  <c r="F83" i="8"/>
  <c r="F84" s="1"/>
  <c r="F18" i="9" s="1"/>
  <c r="K74" i="8"/>
  <c r="K75" s="1"/>
  <c r="K14" i="9" s="1"/>
  <c r="K83" i="8"/>
  <c r="K84" s="1"/>
  <c r="K18" i="9" s="1"/>
  <c r="L83" i="8"/>
  <c r="L92"/>
  <c r="L74"/>
  <c r="L13" i="9" s="1"/>
  <c r="L64" i="8"/>
  <c r="L65" s="1"/>
  <c r="L10" i="9" s="1"/>
  <c r="O64" i="8"/>
  <c r="O65" s="1"/>
  <c r="O10" i="9" s="1"/>
  <c r="L51" i="8"/>
  <c r="L54" s="1"/>
  <c r="L5" i="9" s="1"/>
  <c r="P45" i="21" a="1"/>
  <c r="P45" s="1"/>
  <c r="C46"/>
  <c r="P46" s="1" a="1"/>
  <c r="P46" s="1"/>
  <c r="Q35"/>
  <c r="C36"/>
  <c r="P35" a="1"/>
  <c r="P35" s="1"/>
  <c r="P44" i="20" a="1"/>
  <c r="P44" s="1"/>
  <c r="C45"/>
  <c r="P45" s="1" a="1"/>
  <c r="P45" s="1"/>
  <c r="Q35"/>
  <c r="C36"/>
  <c r="P35" a="1"/>
  <c r="P35" s="1"/>
  <c r="P130" i="19" a="1"/>
  <c r="P130" s="1"/>
  <c r="C53"/>
  <c r="P53" s="1" a="1"/>
  <c r="P53" s="1"/>
  <c r="P52" a="1"/>
  <c r="P52" s="1"/>
  <c r="P61" a="1"/>
  <c r="P61" s="1"/>
  <c r="C62"/>
  <c r="P62" s="1" a="1"/>
  <c r="P62" s="1"/>
  <c r="P121" a="1"/>
  <c r="P121" s="1"/>
  <c r="P136" i="8" a="1"/>
  <c r="P136" s="1"/>
  <c r="P38" i="9" s="1"/>
  <c r="P219" i="8" a="1"/>
  <c r="P219" s="1"/>
  <c r="C56" i="9"/>
  <c r="P125" i="8" a="1"/>
  <c r="P125" s="1"/>
  <c r="C35" i="9"/>
  <c r="C51" i="8"/>
  <c r="C54" s="1"/>
  <c r="L32" i="9"/>
  <c r="P145" i="8" a="1"/>
  <c r="P145" s="1"/>
  <c r="P41" i="9" s="1"/>
  <c r="K32"/>
  <c r="F32"/>
  <c r="O51" i="8"/>
  <c r="D29" i="9"/>
  <c r="F50" i="8"/>
  <c r="N65"/>
  <c r="N10" i="9" s="1"/>
  <c r="P89" i="8" a="1"/>
  <c r="P89" s="1"/>
  <c r="P78" a="1"/>
  <c r="P78" s="1"/>
  <c r="D32" i="9"/>
  <c r="P159" i="8" a="1"/>
  <c r="P159" s="1"/>
  <c r="P98" a="1"/>
  <c r="P98" s="1"/>
  <c r="J84"/>
  <c r="J18" i="9" s="1"/>
  <c r="P211" i="8" a="1"/>
  <c r="P211" s="1"/>
  <c r="P80" a="1"/>
  <c r="P80" s="1"/>
  <c r="P133" a="1"/>
  <c r="P133" s="1"/>
  <c r="P71" a="1"/>
  <c r="P71" s="1"/>
  <c r="P185" a="1"/>
  <c r="P185" s="1"/>
  <c r="P202" a="1"/>
  <c r="P202" s="1"/>
  <c r="Q48"/>
  <c r="Q71"/>
  <c r="E25" i="9"/>
  <c r="P27" i="8" a="1"/>
  <c r="P27" s="1"/>
  <c r="P6" a="1"/>
  <c r="P6" s="1"/>
  <c r="P194" a="1"/>
  <c r="P194" s="1"/>
  <c r="P168" a="1"/>
  <c r="P168" s="1"/>
  <c r="F53" i="9"/>
  <c r="C32"/>
  <c r="P177" i="8" a="1"/>
  <c r="P177" s="1"/>
  <c r="Q69"/>
  <c r="Q70"/>
  <c r="P150" a="1"/>
  <c r="P150" s="1"/>
  <c r="K60"/>
  <c r="K61" s="1"/>
  <c r="K50"/>
  <c r="M60"/>
  <c r="M61" s="1"/>
  <c r="M50"/>
  <c r="M51" s="1"/>
  <c r="I60"/>
  <c r="I61" s="1"/>
  <c r="I50"/>
  <c r="C44" i="9"/>
  <c r="C29"/>
  <c r="E59" i="8"/>
  <c r="E49"/>
  <c r="J60"/>
  <c r="J61" s="1"/>
  <c r="J50"/>
  <c r="J51" s="1"/>
  <c r="J54" s="1"/>
  <c r="E60"/>
  <c r="E50"/>
  <c r="D60"/>
  <c r="D61" s="1"/>
  <c r="D50"/>
  <c r="D51" s="1"/>
  <c r="D132" i="14"/>
  <c r="D16" i="8" s="1"/>
  <c r="D83" s="1"/>
  <c r="D131" i="14"/>
  <c r="D15" i="8" s="1"/>
  <c r="D14"/>
  <c r="D64" s="1"/>
  <c r="D133" i="14"/>
  <c r="D17" i="8" s="1"/>
  <c r="D92" s="1"/>
  <c r="F59"/>
  <c r="F61" s="1"/>
  <c r="F49"/>
  <c r="F51" s="1"/>
  <c r="F54" s="1"/>
  <c r="P7" a="1"/>
  <c r="P7" s="1"/>
  <c r="M12"/>
  <c r="M221" s="1"/>
  <c r="P48" a="1"/>
  <c r="P48" s="1"/>
  <c r="P108" a="1"/>
  <c r="P108" s="1"/>
  <c r="N17" i="9"/>
  <c r="F29"/>
  <c r="P116" i="8" a="1"/>
  <c r="P116" s="1"/>
  <c r="K13" i="9"/>
  <c r="P128" i="8" a="1"/>
  <c r="P128" s="1"/>
  <c r="P35" i="9" s="1"/>
  <c r="P205" i="8" a="1"/>
  <c r="P205" s="1"/>
  <c r="P62" i="9" s="1"/>
  <c r="C62"/>
  <c r="M214" i="8" l="1"/>
  <c r="D101"/>
  <c r="K64"/>
  <c r="K9" i="9" s="1"/>
  <c r="D54" i="8"/>
  <c r="D55" s="1"/>
  <c r="J64"/>
  <c r="J65" s="1"/>
  <c r="J10" i="9" s="1"/>
  <c r="O54" i="8"/>
  <c r="O5" i="9" s="1"/>
  <c r="F64" i="8"/>
  <c r="F65" s="1"/>
  <c r="F10" i="9" s="1"/>
  <c r="I64" i="8"/>
  <c r="I65" s="1"/>
  <c r="I10" i="9" s="1"/>
  <c r="M83" i="8"/>
  <c r="M54"/>
  <c r="M74"/>
  <c r="M64"/>
  <c r="M65" s="1"/>
  <c r="D74"/>
  <c r="D75" s="1"/>
  <c r="K17" i="9"/>
  <c r="E51" i="8"/>
  <c r="E54" s="1"/>
  <c r="N9" i="9"/>
  <c r="C38"/>
  <c r="P36" i="21" a="1"/>
  <c r="P36" s="1"/>
  <c r="Q36"/>
  <c r="Q36" i="20"/>
  <c r="P36" a="1"/>
  <c r="P36" s="1"/>
  <c r="C93" i="8"/>
  <c r="C22" i="9" s="1"/>
  <c r="L93" i="8"/>
  <c r="L22" i="9" s="1"/>
  <c r="E21"/>
  <c r="E93" i="8"/>
  <c r="E22" i="9" s="1"/>
  <c r="M55" i="8"/>
  <c r="J55"/>
  <c r="J6" i="9" s="1"/>
  <c r="C25"/>
  <c r="I51" i="8"/>
  <c r="K51"/>
  <c r="N75"/>
  <c r="N14" i="9" s="1"/>
  <c r="N13"/>
  <c r="P111" i="8" a="1"/>
  <c r="P111" s="1"/>
  <c r="P29" i="9" s="1"/>
  <c r="O9"/>
  <c r="F13"/>
  <c r="F17"/>
  <c r="F55" i="8"/>
  <c r="F6" i="9" s="1"/>
  <c r="N5"/>
  <c r="I84" i="8"/>
  <c r="I18" i="9" s="1"/>
  <c r="L17"/>
  <c r="L25"/>
  <c r="O55" i="8"/>
  <c r="O6" i="9" s="1"/>
  <c r="L75" i="8"/>
  <c r="L14" i="9" s="1"/>
  <c r="E17"/>
  <c r="J17"/>
  <c r="C26"/>
  <c r="E102" i="8"/>
  <c r="E26" i="9" s="1"/>
  <c r="E75" i="8"/>
  <c r="E14" i="9" s="1"/>
  <c r="L9"/>
  <c r="J75" i="8"/>
  <c r="J14" i="9" s="1"/>
  <c r="P60" i="8" a="1"/>
  <c r="P60" s="1"/>
  <c r="E13" i="9"/>
  <c r="P119" i="8" a="1"/>
  <c r="P119" s="1"/>
  <c r="P32" i="9" s="1"/>
  <c r="C21"/>
  <c r="E171" i="8"/>
  <c r="E50" i="9" s="1"/>
  <c r="C41"/>
  <c r="L84" i="8"/>
  <c r="L18" i="9" s="1"/>
  <c r="E84" i="8"/>
  <c r="E18" i="9" s="1"/>
  <c r="E162" i="8"/>
  <c r="P162" s="1" a="1"/>
  <c r="P162" s="1"/>
  <c r="P47" i="9" s="1"/>
  <c r="L21"/>
  <c r="I9"/>
  <c r="C17"/>
  <c r="C84" i="8"/>
  <c r="C18" i="9" s="1"/>
  <c r="C13"/>
  <c r="I13"/>
  <c r="N84" i="8"/>
  <c r="N18" i="9" s="1"/>
  <c r="C59"/>
  <c r="P197" i="8" a="1"/>
  <c r="P197" s="1"/>
  <c r="P59" i="9" s="1"/>
  <c r="F56"/>
  <c r="L55" i="8"/>
  <c r="L6" i="9" s="1"/>
  <c r="P50" i="8" a="1"/>
  <c r="P50" s="1"/>
  <c r="F9" i="9"/>
  <c r="D65" i="8"/>
  <c r="P14" a="1"/>
  <c r="P14" s="1"/>
  <c r="P16" a="1"/>
  <c r="P16" s="1"/>
  <c r="E55"/>
  <c r="P49" a="1"/>
  <c r="P49" s="1"/>
  <c r="P12" a="1"/>
  <c r="P12" s="1"/>
  <c r="P17" a="1"/>
  <c r="P17" s="1"/>
  <c r="D93"/>
  <c r="P15" a="1"/>
  <c r="P15" s="1"/>
  <c r="J9" i="9"/>
  <c r="E61" i="8"/>
  <c r="P59" a="1"/>
  <c r="P59" s="1"/>
  <c r="Q50"/>
  <c r="C55"/>
  <c r="C65"/>
  <c r="K65" l="1"/>
  <c r="K10" i="9" s="1"/>
  <c r="E64" i="8"/>
  <c r="E65" s="1"/>
  <c r="E10" i="9" s="1"/>
  <c r="I54" i="8"/>
  <c r="I55" s="1"/>
  <c r="I6" i="9" s="1"/>
  <c r="K54" i="8"/>
  <c r="K5" i="9" s="1"/>
  <c r="J5"/>
  <c r="F5"/>
  <c r="E47"/>
  <c r="P83" i="8" a="1"/>
  <c r="P83" s="1"/>
  <c r="P17" i="9" s="1"/>
  <c r="P171" i="8" a="1"/>
  <c r="P171" s="1"/>
  <c r="P50" i="9" s="1"/>
  <c r="P51" i="8" a="1"/>
  <c r="P51" s="1"/>
  <c r="Q51"/>
  <c r="P188" a="1"/>
  <c r="P188" s="1"/>
  <c r="P56" i="9" s="1"/>
  <c r="P61" i="8" a="1"/>
  <c r="P61" s="1"/>
  <c r="P180" a="1"/>
  <c r="P180" s="1"/>
  <c r="P53" i="9" s="1"/>
  <c r="P74" i="8" a="1"/>
  <c r="P74" s="1"/>
  <c r="P13" i="9" s="1"/>
  <c r="Q74" i="8"/>
  <c r="D13" i="9"/>
  <c r="D21"/>
  <c r="P92" i="8" a="1"/>
  <c r="P92" s="1"/>
  <c r="P21" i="9" s="1"/>
  <c r="M9"/>
  <c r="M10"/>
  <c r="M65"/>
  <c r="P214" i="8" a="1"/>
  <c r="P214" s="1"/>
  <c r="P65" i="9" s="1"/>
  <c r="M84" i="8"/>
  <c r="M18" i="9" s="1"/>
  <c r="M17"/>
  <c r="D84" i="8"/>
  <c r="D17" i="9"/>
  <c r="D10"/>
  <c r="D9"/>
  <c r="E9"/>
  <c r="D102" i="8"/>
  <c r="D25" i="9"/>
  <c r="P101" i="8" a="1"/>
  <c r="P101" s="1"/>
  <c r="P25" i="9" s="1"/>
  <c r="M68"/>
  <c r="P221" i="8" a="1"/>
  <c r="P221" s="1"/>
  <c r="P68" i="9" s="1"/>
  <c r="M5"/>
  <c r="M6"/>
  <c r="M13"/>
  <c r="M75" i="8"/>
  <c r="M14" i="9" s="1"/>
  <c r="E5"/>
  <c r="E6"/>
  <c r="D6"/>
  <c r="D5"/>
  <c r="P64" i="8" a="1"/>
  <c r="P64" s="1"/>
  <c r="P9" i="9" s="1"/>
  <c r="C9"/>
  <c r="C5"/>
  <c r="Q54" i="8" l="1"/>
  <c r="P54" a="1"/>
  <c r="P54" s="1"/>
  <c r="P5" i="9" s="1"/>
  <c r="I5"/>
  <c r="K55" i="8"/>
  <c r="K6" i="9" s="1"/>
  <c r="D22"/>
  <c r="P93" i="8" a="1"/>
  <c r="P93" s="1"/>
  <c r="P22" i="9" s="1"/>
  <c r="D14"/>
  <c r="P75" i="8" a="1"/>
  <c r="P75" s="1"/>
  <c r="P14" i="9" s="1"/>
  <c r="Q75" i="8"/>
  <c r="D26" i="9"/>
  <c r="P102" i="8" a="1"/>
  <c r="P102" s="1"/>
  <c r="P26" i="9" s="1"/>
  <c r="P84" i="8" a="1"/>
  <c r="P84" s="1"/>
  <c r="P18" i="9" s="1"/>
  <c r="D18"/>
  <c r="C6"/>
  <c r="Q55" i="8"/>
  <c r="C10" i="9"/>
  <c r="P65" i="8" a="1"/>
  <c r="P65" s="1"/>
  <c r="P10" i="9" s="1"/>
  <c r="P55" i="8" l="1" a="1"/>
  <c r="P55" s="1"/>
  <c r="P6" i="9" s="1"/>
</calcChain>
</file>

<file path=xl/comments1.xml><?xml version="1.0" encoding="utf-8"?>
<comments xmlns="http://schemas.openxmlformats.org/spreadsheetml/2006/main">
  <authors>
    <author xml:space="preserve"> J. Chen</author>
    <author>Jay Chen</author>
  </authors>
  <commentList>
    <comment ref="Q2" authorId="0">
      <text>
        <r>
          <rPr>
            <b/>
            <sz val="8"/>
            <color indexed="81"/>
            <rFont val="Tahoma"/>
            <family val="2"/>
          </rPr>
          <t xml:space="preserve">Use Fall 2005 All Student Enrollment Headcount as the base.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6" authorId="1">
      <text>
        <r>
          <rPr>
            <b/>
            <sz val="9"/>
            <color indexed="81"/>
            <rFont val="Tahoma"/>
            <family val="2"/>
          </rPr>
          <t>BOG approved in March, 2012 the CITF $1.38 increase for NCF and $2 increase for the rest.  FSU chooses to keep the old rate $4.44.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J. Chen</author>
    <author>Jay Chen</author>
  </authors>
  <commentList>
    <comment ref="Q2" authorId="0">
      <text>
        <r>
          <rPr>
            <b/>
            <sz val="8"/>
            <color indexed="81"/>
            <rFont val="Tahoma"/>
            <family val="2"/>
          </rPr>
          <t xml:space="preserve">Use Fall 2005 All Student Enrollment Headcount as the base.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7" authorId="1">
      <text>
        <r>
          <rPr>
            <b/>
            <sz val="9"/>
            <color indexed="81"/>
            <rFont val="Tahoma"/>
            <family val="2"/>
          </rPr>
          <t>BOG approved in March, 2012 the CITF $1.38 increase for NCF and $2 increase for the rest.  FSU chooses to keep the old rate $4.44.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 xml:space="preserve"> J. Chen</author>
    <author>Jay Chen</author>
    <author>j.chen</author>
  </authors>
  <commentList>
    <comment ref="Q2" authorId="0">
      <text>
        <r>
          <rPr>
            <b/>
            <sz val="8"/>
            <color indexed="81"/>
            <rFont val="Tahoma"/>
            <family val="2"/>
          </rPr>
          <t xml:space="preserve">Use Fall 2005 All Student Enrollment Headcount as the base.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" authorId="1">
      <text>
        <r>
          <rPr>
            <b/>
            <sz val="9"/>
            <color indexed="81"/>
            <rFont val="Tahoma"/>
            <family val="2"/>
          </rPr>
          <t xml:space="preserve">In 7/2012 FIU uses 50 chr instead of 40 for medicine students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" authorId="2">
      <text>
        <r>
          <rPr>
            <b/>
            <sz val="8"/>
            <color indexed="81"/>
            <rFont val="Tahoma"/>
            <family val="2"/>
          </rPr>
          <t>Included in block fee at UF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0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G30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H30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I30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0" authorId="2">
      <text>
        <r>
          <rPr>
            <b/>
            <sz val="8"/>
            <color indexed="81"/>
            <rFont val="Tahoma"/>
            <family val="2"/>
          </rPr>
          <t>Included in block fee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1" authorId="2">
      <text>
        <r>
          <rPr>
            <b/>
            <sz val="8"/>
            <color indexed="81"/>
            <rFont val="Tahoma"/>
            <family val="2"/>
          </rPr>
          <t xml:space="preserve">Included in block PharmD fee.
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G31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H31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C32" authorId="2">
      <text>
        <r>
          <rPr>
            <b/>
            <sz val="8"/>
            <color indexed="81"/>
            <rFont val="Tahoma"/>
            <family val="2"/>
          </rPr>
          <t>Included in DPT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2" authorId="2">
      <text>
        <r>
          <rPr>
            <b/>
            <sz val="8"/>
            <color indexed="81"/>
            <rFont val="Tahoma"/>
            <family val="2"/>
          </rPr>
          <t>Included in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2" authorId="2">
      <text>
        <r>
          <rPr>
            <b/>
            <sz val="8"/>
            <color indexed="81"/>
            <rFont val="Tahoma"/>
            <family val="2"/>
          </rPr>
          <t>Included in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2" authorId="2">
      <text>
        <r>
          <rPr>
            <b/>
            <sz val="8"/>
            <color indexed="81"/>
            <rFont val="Tahoma"/>
            <family val="2"/>
          </rPr>
          <t>Included in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4" authorId="1">
      <text>
        <r>
          <rPr>
            <b/>
            <sz val="9"/>
            <color indexed="81"/>
            <rFont val="Tahoma"/>
            <family val="2"/>
          </rPr>
          <t>BOG approved in March, 2012 the CITF $1.38 increase for NCF and $2 increase for the rest.  FSU chooses to keep the old rate $4.44.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3" authorId="1">
      <text>
        <r>
          <rPr>
            <b/>
            <sz val="9"/>
            <color indexed="81"/>
            <rFont val="Tahoma"/>
            <family val="2"/>
          </rPr>
          <t>On 7/24/12 FIU noted that it uses 50 instead of 40 chr for Medicine.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8" authorId="1">
      <text>
        <r>
          <rPr>
            <b/>
            <sz val="9"/>
            <color indexed="81"/>
            <rFont val="Tahoma"/>
            <family val="2"/>
          </rPr>
          <t>Jay Chen: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 xml:space="preserve"> J. Chen</author>
    <author>Jay Chen</author>
    <author>j.chen</author>
  </authors>
  <commentList>
    <comment ref="Q2" authorId="0">
      <text>
        <r>
          <rPr>
            <b/>
            <sz val="8"/>
            <color indexed="81"/>
            <rFont val="Tahoma"/>
            <family val="2"/>
          </rPr>
          <t xml:space="preserve">Use Fall 2005 All Student Enrollment Headcount as the base.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" authorId="1">
      <text>
        <r>
          <rPr>
            <b/>
            <sz val="9"/>
            <color indexed="81"/>
            <rFont val="Tahoma"/>
            <family val="2"/>
          </rPr>
          <t xml:space="preserve">FIU uses 50 chr instead of 40 for medicine students
</t>
        </r>
      </text>
    </comment>
    <comment ref="C32" authorId="2">
      <text>
        <r>
          <rPr>
            <b/>
            <sz val="8"/>
            <color indexed="81"/>
            <rFont val="Tahoma"/>
            <family val="2"/>
          </rPr>
          <t>Included in block fee at UF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2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G32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H32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I32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2" authorId="2">
      <text>
        <r>
          <rPr>
            <b/>
            <sz val="8"/>
            <color indexed="81"/>
            <rFont val="Tahoma"/>
            <family val="2"/>
          </rPr>
          <t>Included in block fee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3" authorId="2">
      <text>
        <r>
          <rPr>
            <b/>
            <sz val="8"/>
            <color indexed="81"/>
            <rFont val="Tahoma"/>
            <family val="2"/>
          </rPr>
          <t xml:space="preserve">Included in block PharmD fee.
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3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G33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H33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C34" authorId="2">
      <text>
        <r>
          <rPr>
            <b/>
            <sz val="8"/>
            <color indexed="81"/>
            <rFont val="Tahoma"/>
            <family val="2"/>
          </rPr>
          <t>Included in DPT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4" authorId="2">
      <text>
        <r>
          <rPr>
            <b/>
            <sz val="8"/>
            <color indexed="81"/>
            <rFont val="Tahoma"/>
            <family val="2"/>
          </rPr>
          <t>Included in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2">
      <text>
        <r>
          <rPr>
            <b/>
            <sz val="8"/>
            <color indexed="81"/>
            <rFont val="Tahoma"/>
            <family val="2"/>
          </rPr>
          <t>Included in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4" authorId="2">
      <text>
        <r>
          <rPr>
            <b/>
            <sz val="8"/>
            <color indexed="81"/>
            <rFont val="Tahoma"/>
            <family val="2"/>
          </rPr>
          <t>Included in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3" authorId="1">
      <text>
        <r>
          <rPr>
            <b/>
            <sz val="9"/>
            <color indexed="81"/>
            <rFont val="Tahoma"/>
            <family val="2"/>
          </rPr>
          <t>BOG approved in March, 2012 the CITF $1.38 increase for NCF and $2 increase for the rest.  FSU chooses to keep the old rate $4.44.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5" authorId="1">
      <text>
        <r>
          <rPr>
            <b/>
            <sz val="9"/>
            <color indexed="81"/>
            <rFont val="Tahoma"/>
            <family val="2"/>
          </rPr>
          <t>The Capital Improvement Trust Fund Fee (combines formerly Building fee + CITF fee) BOG approved in March, 2012 the CITF $1.38 increase for NCF and $2 increase for the rest.  FSU chooses to keep the old rate $4.44.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Jay Chen</author>
    <author>j.chen</author>
  </authors>
  <commentList>
    <comment ref="L9" authorId="0">
      <text>
        <r>
          <rPr>
            <b/>
            <sz val="9"/>
            <color indexed="81"/>
            <rFont val="Tahoma"/>
            <family val="2"/>
          </rPr>
          <t>FIU uses 50 chr instead of 40 for medicine students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6" authorId="1">
      <text>
        <r>
          <rPr>
            <b/>
            <sz val="8"/>
            <color indexed="81"/>
            <rFont val="Tahoma"/>
            <family val="2"/>
          </rPr>
          <t xml:space="preserve">7/26/11 Mike Moore called that </t>
        </r>
        <r>
          <rPr>
            <sz val="8"/>
            <color indexed="81"/>
            <rFont val="Tahoma"/>
            <family val="2"/>
          </rPr>
          <t xml:space="preserve">
$92.8(2.32*40) is only Building fee.  Need to add CITF fee $97.6 (2.44*40)
</t>
        </r>
      </text>
    </comment>
    <comment ref="I46" authorId="1">
      <text>
        <r>
          <rPr>
            <b/>
            <sz val="8"/>
            <color indexed="81"/>
            <rFont val="Tahoma"/>
            <family val="2"/>
          </rPr>
          <t>7/11/11 Norma changed to $190.4 from $92.8 in the 2nd submission.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9" authorId="1">
      <text>
        <r>
          <rPr>
            <b/>
            <sz val="8"/>
            <color indexed="81"/>
            <rFont val="Tahoma"/>
            <family val="2"/>
          </rPr>
          <t xml:space="preserve">7/26/11 Mike Moore called that </t>
        </r>
        <r>
          <rPr>
            <sz val="8"/>
            <color indexed="81"/>
            <rFont val="Tahoma"/>
            <family val="2"/>
          </rPr>
          <t xml:space="preserve">
$92.8(2.32*40) is only Building fee.  Need to add CITF fee $97.6 (2.44*40)
</t>
        </r>
      </text>
    </comment>
    <comment ref="F50" authorId="1">
      <text>
        <r>
          <rPr>
            <b/>
            <sz val="8"/>
            <color indexed="81"/>
            <rFont val="Tahoma"/>
            <family val="2"/>
          </rPr>
          <t xml:space="preserve">7/26/11 Mike Moore called that </t>
        </r>
        <r>
          <rPr>
            <sz val="8"/>
            <color indexed="81"/>
            <rFont val="Tahoma"/>
            <family val="2"/>
          </rPr>
          <t xml:space="preserve">
$92.8(2.32*40) is only Building fee.  Need to add CITF fee $97.6 (2.44*40)
</t>
        </r>
      </text>
    </comment>
    <comment ref="F78" authorId="1">
      <text>
        <r>
          <rPr>
            <b/>
            <sz val="8"/>
            <color indexed="81"/>
            <rFont val="Tahoma"/>
            <family val="2"/>
          </rPr>
          <t>based on new file.
Old submission is $2467.76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82" authorId="1">
      <text>
        <r>
          <rPr>
            <b/>
            <sz val="8"/>
            <color indexed="81"/>
            <rFont val="Tahoma"/>
            <family val="2"/>
          </rPr>
          <t>based on USF Fee regulation 4.0102</t>
        </r>
      </text>
    </comment>
    <comment ref="A90" authorId="0">
      <text>
        <r>
          <rPr>
            <b/>
            <sz val="9"/>
            <color indexed="81"/>
            <rFont val="Tahoma"/>
            <family val="2"/>
          </rPr>
          <t xml:space="preserve">BOG approved in March, 2012 the CITF $1.38 increase for NCF and $2 increase for the rest.  FSU chooses to keep the old rate $4.44.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" authorId="1">
      <text>
        <r>
          <rPr>
            <b/>
            <sz val="8"/>
            <color indexed="81"/>
            <rFont val="Tahoma"/>
            <family val="2"/>
          </rPr>
          <t xml:space="preserve">7/26/11 Mike Moore called that </t>
        </r>
        <r>
          <rPr>
            <sz val="8"/>
            <color indexed="81"/>
            <rFont val="Tahoma"/>
            <family val="2"/>
          </rPr>
          <t xml:space="preserve">
$92.8(2.32*40) is only Building fee.  Need to add CITF fee $97.6 (2.44*40)
</t>
        </r>
      </text>
    </comment>
    <comment ref="F97" authorId="1">
      <text>
        <r>
          <rPr>
            <b/>
            <sz val="8"/>
            <color indexed="81"/>
            <rFont val="Tahoma"/>
            <family val="2"/>
          </rPr>
          <t xml:space="preserve">7/26/11 Mike Moore called that </t>
        </r>
        <r>
          <rPr>
            <sz val="8"/>
            <color indexed="81"/>
            <rFont val="Tahoma"/>
            <family val="2"/>
          </rPr>
          <t xml:space="preserve">
$92.8(2.32*40) is only Building fee.  Need to add CITF fee $97.6 (2.44*40)
</t>
        </r>
      </text>
    </comment>
    <comment ref="F98" authorId="1">
      <text>
        <r>
          <rPr>
            <b/>
            <sz val="8"/>
            <color indexed="81"/>
            <rFont val="Tahoma"/>
            <family val="2"/>
          </rPr>
          <t xml:space="preserve">7/26/11 Mike Moore called that </t>
        </r>
        <r>
          <rPr>
            <sz val="8"/>
            <color indexed="81"/>
            <rFont val="Tahoma"/>
            <family val="2"/>
          </rPr>
          <t xml:space="preserve">
$92.8(2.32*40) is only Building fee.  Need to add CITF fee $97.6 (2.44*40)
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jianzhong.chen</author>
    <author xml:space="preserve"> J. Chen</author>
  </authors>
  <commentList>
    <comment ref="F8" authorId="0">
      <text>
        <r>
          <rPr>
            <b/>
            <sz val="8"/>
            <color indexed="81"/>
            <rFont val="Tahoma"/>
            <family val="2"/>
          </rPr>
          <t>No current sheet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8" authorId="0">
      <text>
        <r>
          <rPr>
            <b/>
            <sz val="8"/>
            <color indexed="81"/>
            <rFont val="Tahoma"/>
            <family val="2"/>
          </rPr>
          <t>Did not provide two separate sheet data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8" authorId="0">
      <text>
        <r>
          <rPr>
            <b/>
            <sz val="8"/>
            <color indexed="81"/>
            <rFont val="Tahoma"/>
            <family val="2"/>
          </rPr>
          <t>No current sheet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UNF did not provide two separate sheets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b/>
            <sz val="8"/>
            <color indexed="81"/>
            <rFont val="Tahoma"/>
            <family val="2"/>
          </rPr>
          <t>No current sheet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" authorId="0">
      <text>
        <r>
          <rPr>
            <b/>
            <sz val="8"/>
            <color indexed="81"/>
            <rFont val="Tahoma"/>
            <family val="2"/>
          </rPr>
          <t>for 2005 -06 Continued students data used.  2005-06 New students have a different number.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8"/>
            <color indexed="81"/>
            <rFont val="Tahoma"/>
            <family val="2"/>
          </rPr>
          <t>Lower than last years? Need to check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0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Tampa campus only</t>
        </r>
      </text>
    </comment>
    <comment ref="K82" authorId="1">
      <text>
        <r>
          <rPr>
            <b/>
            <sz val="8"/>
            <color indexed="81"/>
            <rFont val="Tahoma"/>
            <family val="2"/>
          </rPr>
          <t>On FIU James Bond 8/25/06 email to Pieter Swart, Prepaid College Board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92" authorId="2">
      <text>
        <r>
          <rPr>
            <b/>
            <sz val="8"/>
            <color indexed="81"/>
            <rFont val="Tahoma"/>
            <family val="2"/>
          </rPr>
          <t>For Fall06, SP06; For Summer 07 $55.00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2" authorId="0">
      <text>
        <r>
          <rPr>
            <b/>
            <sz val="8"/>
            <color indexed="81"/>
            <rFont val="Tahoma"/>
            <family val="2"/>
          </rPr>
          <t>Tampa campus only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3" authorId="0">
      <text>
        <r>
          <rPr>
            <b/>
            <sz val="8"/>
            <color indexed="81"/>
            <rFont val="Tahoma"/>
            <family val="2"/>
          </rPr>
          <t xml:space="preserve">Tampa Campus Only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FLDOE</author>
    <author xml:space="preserve"> </author>
  </authors>
  <commentList>
    <comment ref="I8" authorId="0">
      <text>
        <r>
          <rPr>
            <sz val="8"/>
            <color indexed="81"/>
            <rFont val="Tahoma"/>
            <family val="2"/>
          </rPr>
          <t xml:space="preserve">UWF Notes: The 
</t>
        </r>
      </text>
    </comment>
    <comment ref="J8" authorId="0">
      <text>
        <r>
          <rPr>
            <sz val="8"/>
            <color indexed="81"/>
            <rFont val="Tahoma"/>
            <family val="2"/>
          </rPr>
          <t xml:space="preserve">UCF Health Fee-$39.60 minimum, $99.00 maximum. Noted 7/6/05
</t>
        </r>
      </text>
    </comment>
    <comment ref="E13" authorId="1">
      <text>
        <r>
          <rPr>
            <b/>
            <sz val="8"/>
            <color indexed="81"/>
            <rFont val="Tahoma"/>
            <family val="2"/>
          </rPr>
          <t>2006-07 New Students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46" authorId="0">
      <text>
        <r>
          <rPr>
            <b/>
            <sz val="8"/>
            <color indexed="81"/>
            <rFont val="Tahoma"/>
            <family val="2"/>
          </rPr>
          <t>10/10/05 Tim confirmed FIU updated its non-resident Law tuition plus Out of State fee $666.67pch($229.07+$437.6)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81" authorId="0">
      <text>
        <r>
          <rPr>
            <b/>
            <sz val="8"/>
            <color indexed="81"/>
            <rFont val="Tahoma"/>
            <family val="2"/>
          </rPr>
          <t>Added 10/10/05 on Tim's Regulation Review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81" authorId="0">
      <text>
        <r>
          <rPr>
            <b/>
            <sz val="8"/>
            <color indexed="81"/>
            <rFont val="Tahoma"/>
            <family val="2"/>
          </rPr>
          <t>Revised 10/19/05 per Tim's regulation review.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2" authorId="0">
      <text>
        <r>
          <rPr>
            <b/>
            <sz val="8"/>
            <color indexed="81"/>
            <rFont val="Tahoma"/>
            <family val="2"/>
          </rPr>
          <t xml:space="preserve">FSU charges an Admissions Deposit to freshmen &amp; new law students. Noted 6/30/05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Regina Caldera Siewert</author>
  </authors>
  <commentList>
    <comment ref="F21" authorId="0">
      <text>
        <r>
          <rPr>
            <b/>
            <sz val="8"/>
            <color indexed="81"/>
            <rFont val="Tahoma"/>
            <family val="2"/>
          </rPr>
          <t>Regina Caldera Siewert:</t>
        </r>
        <r>
          <rPr>
            <sz val="8"/>
            <color indexed="81"/>
            <rFont val="Tahoma"/>
            <family val="2"/>
          </rPr>
          <t xml:space="preserve">
A&amp;S $228.36
Athl $255.26
Health $200.32
Transp $64.00
Flat Fee A&amp;S $14.00
Flat Fee Athl $20.00</t>
        </r>
      </text>
    </comment>
  </commentList>
</comments>
</file>

<file path=xl/sharedStrings.xml><?xml version="1.0" encoding="utf-8"?>
<sst xmlns="http://schemas.openxmlformats.org/spreadsheetml/2006/main" count="1100" uniqueCount="289">
  <si>
    <t>UF</t>
  </si>
  <si>
    <t>FSU</t>
  </si>
  <si>
    <t>FAMU</t>
  </si>
  <si>
    <t>USF</t>
  </si>
  <si>
    <t>FAU</t>
  </si>
  <si>
    <t>UWF</t>
  </si>
  <si>
    <t>UCF</t>
  </si>
  <si>
    <t>FIU</t>
  </si>
  <si>
    <t>UNF</t>
  </si>
  <si>
    <t>FGCU</t>
  </si>
  <si>
    <t>NCF</t>
  </si>
  <si>
    <t>Average</t>
  </si>
  <si>
    <t>Main Campus Local Fees - per credit hour</t>
  </si>
  <si>
    <t>Activity &amp; Service</t>
  </si>
  <si>
    <t>Athletic</t>
  </si>
  <si>
    <t>Health</t>
  </si>
  <si>
    <t>Access/Trans</t>
  </si>
  <si>
    <t>Subtotal</t>
  </si>
  <si>
    <t>Main Campus Local Fees - block per term</t>
  </si>
  <si>
    <t>Main Campus Local Fees - block Med Students (annual)</t>
  </si>
  <si>
    <t>Other Fees - per credit hour</t>
  </si>
  <si>
    <t>Building</t>
  </si>
  <si>
    <t>CITF</t>
  </si>
  <si>
    <t>UNDERGRADUATE</t>
  </si>
  <si>
    <t>Resident Undergraduate, per credit hour</t>
  </si>
  <si>
    <t>Financial Aid</t>
  </si>
  <si>
    <t>Resident Undergraduate, total</t>
  </si>
  <si>
    <t>2 Sem (30 hrs.)</t>
  </si>
  <si>
    <t>Per hour</t>
  </si>
  <si>
    <t>Non-Resident Undergraduate, per credit hour</t>
  </si>
  <si>
    <t>Tuition</t>
  </si>
  <si>
    <t>Non-Resident Undergraduate, total</t>
  </si>
  <si>
    <t>GRADUATE</t>
  </si>
  <si>
    <t>Resident Graduate, per credit hour</t>
  </si>
  <si>
    <t>Resident Graduate, total</t>
  </si>
  <si>
    <t>2 Sem (24 hrs.)</t>
  </si>
  <si>
    <t>Non-Resident Graduate, per credit hour</t>
  </si>
  <si>
    <t>Non-Resident Graduate, total</t>
  </si>
  <si>
    <t>LAW</t>
  </si>
  <si>
    <t>Resident Law, per credit hour</t>
  </si>
  <si>
    <t>Resident Law, total</t>
  </si>
  <si>
    <t>Non-Resident Law, per credit hour</t>
  </si>
  <si>
    <t>Non-Resident Law, total</t>
  </si>
  <si>
    <t>MEDICAL</t>
  </si>
  <si>
    <t>Resident Medical, annually</t>
  </si>
  <si>
    <t>Resident Medical, total</t>
  </si>
  <si>
    <t>Annually</t>
  </si>
  <si>
    <t>Non-Resident Medical, annually</t>
  </si>
  <si>
    <t>Non-Resident Medical, total</t>
  </si>
  <si>
    <t>VETERINARY MEDICINE</t>
  </si>
  <si>
    <t>Resident Vet. Med., annually</t>
  </si>
  <si>
    <t>Resident Vet. Med., total</t>
  </si>
  <si>
    <t>Non-Resident Vet. Med., annually</t>
  </si>
  <si>
    <t>Non-Resident Vet. Med., total</t>
  </si>
  <si>
    <t>DENTISTRY</t>
  </si>
  <si>
    <t>Resident Dentistry, annually</t>
  </si>
  <si>
    <t>Resident Dentistry, total</t>
  </si>
  <si>
    <t>Non-Resident Dentistry, annually</t>
  </si>
  <si>
    <t>Non-Resident Dentistry, total</t>
  </si>
  <si>
    <t>Resident Undergraduate, Full-time student, two semesters (30 credit hours)</t>
  </si>
  <si>
    <t>30 Hours</t>
  </si>
  <si>
    <t>Per Hour</t>
  </si>
  <si>
    <t>Resident Graduate, Full-time student, two semesters (24 credit hours)</t>
  </si>
  <si>
    <t>24 Hours</t>
  </si>
  <si>
    <t>Resident Law, Full-time student, two semesters (24 credit hours)</t>
  </si>
  <si>
    <t>Florida Residents</t>
  </si>
  <si>
    <t>Graduate</t>
  </si>
  <si>
    <t>Law</t>
  </si>
  <si>
    <t>Medicine*</t>
  </si>
  <si>
    <t>Vet Med*</t>
  </si>
  <si>
    <t>Dentistry*</t>
  </si>
  <si>
    <t>Financial Aid Fees</t>
  </si>
  <si>
    <t>Main Campus Local Fees</t>
  </si>
  <si>
    <t>Activity and Service Fees</t>
  </si>
  <si>
    <t>Per SCH</t>
  </si>
  <si>
    <t>Block</t>
  </si>
  <si>
    <t>Athletic Fees</t>
  </si>
  <si>
    <t>Health Fees</t>
  </si>
  <si>
    <t>Campus Access/Transportation Fees</t>
  </si>
  <si>
    <t>Medical Students Block Annual Fees</t>
  </si>
  <si>
    <t>Admissions Deposit</t>
  </si>
  <si>
    <t>Marshall Center Fee</t>
  </si>
  <si>
    <t>% Increase over 2003-04</t>
  </si>
  <si>
    <t>Tuition &amp; Out-of-State Fee</t>
  </si>
  <si>
    <t>Public Colleges and Universities of Florida, Tuition and Required Fees, 2004-05</t>
  </si>
  <si>
    <t>Annually (40 hrs)</t>
  </si>
  <si>
    <t>Annually (40hrs)</t>
  </si>
  <si>
    <t>(Medicine, Veterinary Medicine and Dentistry which are Annual Amounts)</t>
  </si>
  <si>
    <t xml:space="preserve">For resident undergraduates, the default value is the General Appropriations Act maximum. Cells colored in yellow are Last Year's Value.  </t>
  </si>
  <si>
    <t>Nonresident tuition includes tuition and out-of-state fees.</t>
  </si>
  <si>
    <t>Financial Aid Fee Calculates Automatically at 5%; Change if Needed.</t>
  </si>
  <si>
    <t>Undergrad</t>
  </si>
  <si>
    <t>Law-New</t>
  </si>
  <si>
    <t>Pharmacy</t>
  </si>
  <si>
    <t>Physical Therapy*</t>
  </si>
  <si>
    <t>Building Fees ($2.32) and the Capital Improvement Trust Fund Fee ($2.44)</t>
  </si>
  <si>
    <t>Nonresident</t>
  </si>
  <si>
    <t>Tuition and Out-of-State Fee</t>
  </si>
  <si>
    <t>Law - New</t>
  </si>
  <si>
    <t>Per SCH- Changing NCAA Divisions**</t>
  </si>
  <si>
    <t>Total Per SCH</t>
  </si>
  <si>
    <t>Pharmacy Students Block Annual Fees</t>
  </si>
  <si>
    <t>Other Required Fees</t>
  </si>
  <si>
    <t>List Per SCH/Block fees as needed and attach explanation</t>
  </si>
  <si>
    <t>SCH</t>
  </si>
  <si>
    <t>*Annual</t>
  </si>
  <si>
    <t>** Per SCH attributable to changing NCAA Divisions.  Per 1009.24(3) - Universities can charge up to an additional $2 per SCH if changing NCAA divisions.  These fees are not reimbursable under Bright Futures.</t>
  </si>
  <si>
    <t xml:space="preserve">Note 1: In addition to the tuition fees set forth, the FIU shall levy and collect an additional resident, matriculation fee of $28.79 per credit hour for graduate </t>
  </si>
  <si>
    <t xml:space="preserve">students enrolled in the School of Architecture effective Fall 2005.  The additional fees authorized by this paragraph shall not apply to graduate students </t>
  </si>
  <si>
    <t>who were enrolled in a graduate program in the School of Architecture prior to Fall 2005 and re-enroll in the same graduate program.</t>
  </si>
  <si>
    <t>Note 2: UWF numbers do not address Third Time Repeat Fee.  Fee rates do not include Material and Supply Fee, if applicable.  Alabama differential rates have also not been addressed.</t>
  </si>
  <si>
    <t xml:space="preserve">             Courses taken off-campus do not incur the Health or Transportation Fees.</t>
  </si>
  <si>
    <t>% Increase over 2004-05</t>
  </si>
  <si>
    <t>Changing NCAA Athletic Divisions</t>
  </si>
  <si>
    <t>PHARMACY</t>
  </si>
  <si>
    <t>Resident Pharmacy, annually</t>
  </si>
  <si>
    <t>Resident Pharmacy, total</t>
  </si>
  <si>
    <t>PHYSICAL THERAPY</t>
  </si>
  <si>
    <t>Resident Physical Therapy, total</t>
  </si>
  <si>
    <t>2006-07 Tuition and Fees Per Credit Hour Survey Form</t>
  </si>
  <si>
    <t>(Medicine, Veterinary Medicine, Pharmacy, Physical Therapy, and Dentistry which are Annual Amounts)</t>
  </si>
  <si>
    <t>Nurse Anesthetist</t>
  </si>
  <si>
    <t>Pharmacy*</t>
  </si>
  <si>
    <t>Master Public Health</t>
  </si>
  <si>
    <t>Current Students</t>
  </si>
  <si>
    <t xml:space="preserve">Law-2005-06 Continuing </t>
  </si>
  <si>
    <t>Law-2005-06 New</t>
  </si>
  <si>
    <t>*Annual.  UF's Physical</t>
  </si>
  <si>
    <t>Resident Nurse Anesthetist, total</t>
  </si>
  <si>
    <t>Avg</t>
  </si>
  <si>
    <t>Weighted</t>
  </si>
  <si>
    <t>Resident Master Public Health, total</t>
  </si>
  <si>
    <t>Physical Therapy Students Block Annual Fees</t>
  </si>
  <si>
    <t>UF Fall 05</t>
  </si>
  <si>
    <t>Main Campus Local Fees - Block Physical Therapy Students (Annual)</t>
  </si>
  <si>
    <t>-</t>
  </si>
  <si>
    <t>Total</t>
  </si>
  <si>
    <t>Grad</t>
  </si>
  <si>
    <t>Fall 2005 Enrollment</t>
  </si>
  <si>
    <t>All</t>
  </si>
  <si>
    <t>list</t>
  </si>
  <si>
    <t>Master Public Health*48 Hrs</t>
  </si>
  <si>
    <t>Masters in Public Health (48hrs) Students Block Annual Fees</t>
  </si>
  <si>
    <t>Student Affairs Facility Use Fee</t>
  </si>
  <si>
    <t>Campus Access/Trans</t>
  </si>
  <si>
    <t>Tuition Differential Fee for Undergrad</t>
  </si>
  <si>
    <t>Financial Aid Fees (Upto 5% of Tuition)</t>
  </si>
  <si>
    <t>Technology Fee (Upto 5% of Tuition)</t>
  </si>
  <si>
    <t>Undergrad. Base Tuition/SCH</t>
  </si>
  <si>
    <t>Graduate/SCH</t>
  </si>
  <si>
    <t>Law/SCH</t>
  </si>
  <si>
    <t>Per SCH for Law</t>
  </si>
  <si>
    <t>(Insert new rows for additional categories)</t>
  </si>
  <si>
    <t>Master Public Health*42 Hrs</t>
  </si>
  <si>
    <t>Master Public Health* 48 Hrs</t>
  </si>
  <si>
    <t>Master Public Health* 42 Hrs</t>
  </si>
  <si>
    <t>Masters in Public Health (42hrs) Students Block Annual Fees</t>
  </si>
  <si>
    <t>Tuition Differential/SCH</t>
  </si>
  <si>
    <t>Max Block Fee/Semester</t>
  </si>
  <si>
    <t>For VA Office</t>
  </si>
  <si>
    <t>Max FL. Undergrad Tuition/CHr</t>
  </si>
  <si>
    <t>Max FL. Undergrad Fees/CHr</t>
  </si>
  <si>
    <t>2009-10 Florida Resident Undergraduate Tuition and Fees</t>
  </si>
  <si>
    <t>State University System of Florida</t>
  </si>
  <si>
    <t>Nurse Anesthetist*32</t>
  </si>
  <si>
    <t>(Medicine, Nurse Anesthetist, Veterinary Medicine, Pharmacy, Physical Therapy, Dentistry, and Master Public Health which are Annual Amounts)</t>
  </si>
  <si>
    <t>Technology Fee for Undergraduate</t>
  </si>
  <si>
    <t>Non-Resident Undergraduate, Full-time student, two semesters (30 credit hours)</t>
  </si>
  <si>
    <t>Non-Resident Graduate, Full-time student, two semesters (24 credit hours)</t>
  </si>
  <si>
    <t>Non-Resident Law, Full-time student, two semesters (24 credit hours)</t>
  </si>
  <si>
    <t>Non-Resident Pharmacy, total</t>
  </si>
  <si>
    <t>Non-Resident Pharmacy, annually</t>
  </si>
  <si>
    <t>Non-Resident Physical Therapy, total</t>
  </si>
  <si>
    <t>Non-Resident Nurse Anesthetist, annually</t>
  </si>
  <si>
    <t>Non-Resident Nurse Anesthetist, total</t>
  </si>
  <si>
    <t>Non-Resident Master Public Health, total</t>
  </si>
  <si>
    <t>Non-Resident Physical Therapy, annually</t>
  </si>
  <si>
    <t>Per SCH for Non-FL Graduate</t>
  </si>
  <si>
    <t>Per SCH for FL Graduate</t>
  </si>
  <si>
    <t>For New Students in Main Campus</t>
  </si>
  <si>
    <t>Technology Fee for Resident Graduate</t>
  </si>
  <si>
    <t>Technology Fee for Non-Resident Graduate</t>
  </si>
  <si>
    <t>Main Campus Local Fees - Block Med/Vet./Dentistry Students (annual)</t>
  </si>
  <si>
    <t>Resident Subtotal</t>
  </si>
  <si>
    <t>Non-Resident Subtotal</t>
  </si>
  <si>
    <t>Main Campus Local Fees - Block Pharmacy Students (annual)</t>
  </si>
  <si>
    <t>Main Campus Local Fees - Block Public Health (42hrs) Students (Annual)</t>
  </si>
  <si>
    <t>Block Annual for Resident</t>
  </si>
  <si>
    <t>Block Annual for Non-Resident</t>
  </si>
  <si>
    <t>Technology Fee for Law</t>
  </si>
  <si>
    <t>Technology Fee for Nurse Anesthetist (FL/Non-FL)</t>
  </si>
  <si>
    <t>Resident Med/Vet./Dentistry (annual)</t>
  </si>
  <si>
    <t>Non-Resident Med/Vet./Dentistry (annual)</t>
  </si>
  <si>
    <t>Technology Fees for Physical Therapy (FL/NonFL)</t>
  </si>
  <si>
    <t>Per SCH for Physical Therapy (FL/Non-FL)</t>
  </si>
  <si>
    <t>USF Marshall Center or FSU Student Affairs Facility Use Fee</t>
  </si>
  <si>
    <t>Per SCH for Undergraduate (FL/Non_FL)</t>
  </si>
  <si>
    <t>Insert Any New Fee Category Here (Per Credit Hour)</t>
  </si>
  <si>
    <t>UNF_Student Life &amp; Services</t>
  </si>
  <si>
    <t>Block Per Term</t>
  </si>
  <si>
    <t>Block Annual</t>
  </si>
  <si>
    <t xml:space="preserve">Block Annual </t>
  </si>
  <si>
    <t>Block Per Term for Medical (FL/NonFL)</t>
  </si>
  <si>
    <r>
      <t>Non-resident Tuition &amp; Fee ( =</t>
    </r>
    <r>
      <rPr>
        <b/>
        <u/>
        <sz val="11"/>
        <color indexed="10"/>
        <rFont val="Book Antiqua"/>
        <family val="1"/>
      </rPr>
      <t>" Base Tuition"  + "Out-of-State Fee"</t>
    </r>
    <r>
      <rPr>
        <b/>
        <u/>
        <sz val="11"/>
        <rFont val="Book Antiqua"/>
        <family val="1"/>
      </rPr>
      <t>)</t>
    </r>
  </si>
  <si>
    <t>Tuition &amp; Fee for Medicine*</t>
  </si>
  <si>
    <t>Tuition &amp; Fee for Nurse Anesthetist*32</t>
  </si>
  <si>
    <t>Tuition &amp; Fee for Vet Med*</t>
  </si>
  <si>
    <t>Tuition &amp; Fee for Pharmacy*</t>
  </si>
  <si>
    <t>Tuition &amp; Fee for Physical Therapy*40</t>
  </si>
  <si>
    <t>Tuition &amp; Fee for Dentistry*</t>
  </si>
  <si>
    <t>Tuition &amp; Fee for Master Public Health* 48 Hrs</t>
  </si>
  <si>
    <t>Tuition &amp; Fee for Master Public Health* 42 Hrs</t>
  </si>
  <si>
    <t>"Base Tuition" + "Out-of-State Fee"</t>
  </si>
  <si>
    <t>Tuition &amp; Fee for Graduate</t>
  </si>
  <si>
    <t>Tuition &amp; Fee for Law</t>
  </si>
  <si>
    <t>Nonresident tuition and fee = Base Tuition + Out-of-State Fee.</t>
  </si>
  <si>
    <t>Tuition and Fees Survey for New Students on Main Campus</t>
  </si>
  <si>
    <t xml:space="preserve">For resident undergraduate base tuition, the default value is the General Appropriations Act maximum. </t>
  </si>
  <si>
    <t>Financial aid fee for resident undergraduate calculates automatically at 5% rounding down in two decimal; change if needed.</t>
  </si>
  <si>
    <t>Design, Construction, Planning Graduate Programs/SCH</t>
  </si>
  <si>
    <t>Physician Assistants Program/SCH</t>
  </si>
  <si>
    <t>Design, Construction, Planning Graduate Programs</t>
  </si>
  <si>
    <t>Physician Assistants Program</t>
  </si>
  <si>
    <t>Tuition &amp; Fee for Design, Construction, Planning Graduate Programs</t>
  </si>
  <si>
    <t>Tuition &amp; Fee Physician Assistants Program</t>
  </si>
  <si>
    <t>Per SCH for Design, Construction, Planning Graduate Programs (FL/Non_FL)</t>
  </si>
  <si>
    <t>Per SCH for Physician Assistants Program (FL/Non_FL)</t>
  </si>
  <si>
    <t>Tuition &amp; Fee for Sign Interpreter Training (DL/SCH)</t>
  </si>
  <si>
    <t>Sign Interpreter Training (DL/SCH)</t>
  </si>
  <si>
    <t>Green Fee</t>
  </si>
  <si>
    <t>Other (USF Marshall Center Fee - $1.5, FSU Student Affairs Facility Use Fee - $2, UNF Student Life and Services Fee - $5.16.</t>
  </si>
  <si>
    <t>Ann. Tech. Fees FL/NFL Physical Therapy</t>
  </si>
  <si>
    <t>Ann. Tech. Fees FL/NFL Pharmacy</t>
  </si>
  <si>
    <t>Ann. Physical Therapy (FL/NonFL)</t>
  </si>
  <si>
    <t>Ann. Med,Vet,Dentistry FL/NonFL</t>
  </si>
  <si>
    <t>Ann. Tech. Fee -FL/NFL Med/Vet/Dentistry</t>
  </si>
  <si>
    <t>Vet Med (Ann. 40 hrs)</t>
  </si>
  <si>
    <t>Medicine (Ann. 40-UF, FSU, USF, FAU &amp; 50 hrs-FIU)</t>
  </si>
  <si>
    <t>Pharmacy (Ann. 36-UF,  hrs)</t>
  </si>
  <si>
    <t>Master Public Health* (21 Hrs)</t>
  </si>
  <si>
    <t>Medicine* (40-UF, FSU, USF, FAU &amp; 50 hrs-FIU)</t>
  </si>
  <si>
    <t>Nurse Anesthetist* (32hrs-UNF)</t>
  </si>
  <si>
    <t>Vet Med* (40hrs)</t>
  </si>
  <si>
    <t>Pharmacy* (36-UF &amp; 32-USF)</t>
  </si>
  <si>
    <t>Physical Therapy* (39-UF, 32-USF, 40-UCF)</t>
  </si>
  <si>
    <t>Dentistry* (40-UF)</t>
  </si>
  <si>
    <t>Master Public Health* (24 Hrs)</t>
  </si>
  <si>
    <t>*Annual - Two term in an academic year.</t>
  </si>
  <si>
    <t>Resident Medical, Full-time student</t>
  </si>
  <si>
    <t>Non-Resident Medical, Full-time student</t>
  </si>
  <si>
    <t>Resident Vet. Med., Full-time student</t>
  </si>
  <si>
    <t>Non-Resident Vet. Med., Full-time student</t>
  </si>
  <si>
    <t>Resident Dentistry, Full-time student</t>
  </si>
  <si>
    <t>Non-Resident Dentistry, Full-time student</t>
  </si>
  <si>
    <t>Resident Pharmacy, Full-time student</t>
  </si>
  <si>
    <t>Non-Resident Pharmacy, Full-time student</t>
  </si>
  <si>
    <t>Resident Physical Therapy, Full-time student</t>
  </si>
  <si>
    <t>Non-Resident Physical Therapy, Full-time student</t>
  </si>
  <si>
    <t>Resident Master Public Health</t>
  </si>
  <si>
    <t>Non-Resident Master Public Health</t>
  </si>
  <si>
    <t>Resident Nurse Anesthetist, Full-time student</t>
  </si>
  <si>
    <t>Non-Resident Nurse Anesthetist, Full-time student</t>
  </si>
  <si>
    <t>Resident Physical Therapy, annually</t>
  </si>
  <si>
    <t>Resident Master Public Health, annually</t>
  </si>
  <si>
    <t>Non-Resident Master Public Health, annually</t>
  </si>
  <si>
    <t>Resident Nurse Anesthetist, annually</t>
  </si>
  <si>
    <t>Note 1:  Per SCH attributable to changing NCAA Divisions.  Per 1009.24(3) - Universities can charge up to an additional $2 per SCH if changing NCAA divisions.  These fees are not reimbursable under Bright Futures.</t>
  </si>
  <si>
    <t>Ann. PharmD (FL/NonFL)</t>
  </si>
  <si>
    <t>Note 2:  Students for PharmD (FAMU) and Doctoral of Physical Therapy (FAMU, FGCU, FIU, and UNF) are charged regular graduate tuition and fees.</t>
  </si>
  <si>
    <t>Public Colleges and Universities of Florida, Tuition and Required Fees, 2012-13</t>
  </si>
  <si>
    <t>Cells colored in yellow are 2012-13 data populated from the 2012-13 University Work Plans.</t>
  </si>
  <si>
    <t>All other data are from prior year's.  Please update these with the revised 2012-13 numbers.</t>
  </si>
  <si>
    <t>USF-T</t>
  </si>
  <si>
    <t>Per SCH forNurse Anesthetist*32 for FL/Non-FL</t>
  </si>
  <si>
    <t>Building Fees and the Capital Improvement Trust Fund Fee</t>
  </si>
  <si>
    <t>Tuition Differential Fee</t>
  </si>
  <si>
    <t>For New Undergraduates in Main Campus</t>
  </si>
  <si>
    <t>USF Marshall Center or FSU Student Affairs Facility Use</t>
  </si>
  <si>
    <t>For New Graduate Students in Main Campus</t>
  </si>
  <si>
    <t>For New Professional Students in Main Campus</t>
  </si>
  <si>
    <t>AVG</t>
  </si>
  <si>
    <t>The Capital Improvement Trust Fund Fee (combines formerly Building fee + CITF fee)</t>
  </si>
  <si>
    <t>Note : USF plans to have 50 FTE enrollment in Phamacy program in fall 2011.</t>
  </si>
  <si>
    <t>The Capital Improvement Trust Fund (CITF) fee, per credit hour (combines formerly Building fee + CITF fee)</t>
  </si>
  <si>
    <t>USF-SP</t>
  </si>
  <si>
    <t>USF-SM</t>
  </si>
  <si>
    <t>Note 3:  USF-T (USF-Tampa), USF-SP (USF-St. Petersburg), USF-SM (USF-Sarasota-Manatee)</t>
  </si>
  <si>
    <t>Note 1:  Students for PharmD (FAMU) and Doctoral of Physical Therapy (FAMU, FGCU, FIU, and UNF) are charged regular graduate tuition and fees.</t>
  </si>
  <si>
    <t>Note 2:  USF-T (USF-Tampa), USF-SP (USF-St. Petersburg), USF-SM (USF-Sarasota-Manatee)</t>
  </si>
</sst>
</file>

<file path=xl/styles.xml><?xml version="1.0" encoding="utf-8"?>
<styleSheet xmlns="http://schemas.openxmlformats.org/spreadsheetml/2006/main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%"/>
    <numFmt numFmtId="165" formatCode="&quot;$&quot;#,##0.000_);[Red]\(&quot;$&quot;#,##0.000\)"/>
    <numFmt numFmtId="166" formatCode="_(* #,##0_);_(* \(#,##0\);_(* &quot;-&quot;??_);_(@_)"/>
    <numFmt numFmtId="167" formatCode="_(&quot;$&quot;* #,##0_);_(&quot;$&quot;* \(#,##0\);_(&quot;$&quot;* &quot;-&quot;??_);_(@_)"/>
  </numFmts>
  <fonts count="61">
    <font>
      <sz val="10"/>
      <name val="Arial"/>
    </font>
    <font>
      <sz val="10"/>
      <name val="Arial"/>
      <family val="2"/>
    </font>
    <font>
      <b/>
      <sz val="20"/>
      <color indexed="32"/>
      <name val="Times New Roman"/>
      <family val="1"/>
    </font>
    <font>
      <b/>
      <sz val="18"/>
      <color indexed="32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7"/>
      <name val="Arial"/>
      <family val="2"/>
    </font>
    <font>
      <u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Book Antiqua"/>
      <family val="1"/>
    </font>
    <font>
      <u/>
      <sz val="10"/>
      <color indexed="10"/>
      <name val="Book Antiqua"/>
      <family val="1"/>
    </font>
    <font>
      <b/>
      <sz val="12"/>
      <name val="Book Antiqua"/>
      <family val="1"/>
    </font>
    <font>
      <b/>
      <sz val="10"/>
      <name val="Book Antiqua"/>
      <family val="1"/>
    </font>
    <font>
      <b/>
      <i/>
      <sz val="10"/>
      <name val="Book Antiqua"/>
      <family val="1"/>
    </font>
    <font>
      <u/>
      <sz val="10"/>
      <name val="Book Antiqua"/>
      <family val="1"/>
    </font>
    <font>
      <b/>
      <u/>
      <sz val="10"/>
      <name val="Book Antiqua"/>
      <family val="1"/>
    </font>
    <font>
      <sz val="10"/>
      <color indexed="10"/>
      <name val="Book Antiqua"/>
      <family val="1"/>
    </font>
    <font>
      <sz val="8"/>
      <name val="Book Antiqua"/>
      <family val="1"/>
    </font>
    <font>
      <sz val="7"/>
      <color indexed="10"/>
      <name val="Arial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23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Book Antiqua"/>
      <family val="1"/>
    </font>
    <font>
      <sz val="12"/>
      <color indexed="10"/>
      <name val="Book Antiqua"/>
      <family val="1"/>
    </font>
    <font>
      <sz val="10"/>
      <name val="Arial"/>
      <family val="2"/>
    </font>
    <font>
      <b/>
      <u/>
      <sz val="11"/>
      <name val="Book Antiqua"/>
      <family val="1"/>
    </font>
    <font>
      <b/>
      <u/>
      <sz val="11"/>
      <color indexed="10"/>
      <name val="Book Antiqua"/>
      <family val="1"/>
    </font>
    <font>
      <sz val="12"/>
      <name val="Book Antiqua"/>
      <family val="1"/>
    </font>
    <font>
      <sz val="12"/>
      <name val="Arial"/>
      <family val="2"/>
    </font>
    <font>
      <b/>
      <sz val="14"/>
      <name val="Book Antiqua"/>
      <family val="1"/>
    </font>
    <font>
      <b/>
      <sz val="11"/>
      <name val="Book Antiqua"/>
      <family val="1"/>
    </font>
    <font>
      <b/>
      <sz val="10"/>
      <color rgb="FFFF0000"/>
      <name val="Book Antiqua"/>
      <family val="1"/>
    </font>
    <font>
      <sz val="10"/>
      <name val="Arial"/>
      <family val="2"/>
    </font>
    <font>
      <sz val="10"/>
      <color rgb="FFFF0000"/>
      <name val="Book Antiqua"/>
      <family val="1"/>
    </font>
    <font>
      <b/>
      <i/>
      <sz val="10"/>
      <color rgb="FFFF0000"/>
      <name val="Book Antiqua"/>
      <family val="1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7" borderId="1" applyNumberFormat="0" applyAlignment="0" applyProtection="0"/>
    <xf numFmtId="0" fontId="39" fillId="0" borderId="6" applyNumberFormat="0" applyFill="0" applyAlignment="0" applyProtection="0"/>
    <xf numFmtId="0" fontId="40" fillId="22" borderId="0" applyNumberFormat="0" applyBorder="0" applyAlignment="0" applyProtection="0"/>
    <xf numFmtId="0" fontId="28" fillId="0" borderId="0"/>
    <xf numFmtId="0" fontId="47" fillId="0" borderId="0"/>
    <xf numFmtId="0" fontId="51" fillId="0" borderId="0"/>
    <xf numFmtId="0" fontId="1" fillId="0" borderId="0"/>
    <xf numFmtId="0" fontId="47" fillId="0" borderId="0"/>
    <xf numFmtId="0" fontId="1" fillId="0" borderId="0"/>
    <xf numFmtId="0" fontId="1" fillId="23" borderId="7" applyNumberFormat="0" applyFont="0" applyAlignment="0" applyProtection="0"/>
    <xf numFmtId="0" fontId="41" fillId="20" borderId="8" applyNumberFormat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7" fillId="23" borderId="7" applyNumberFormat="0" applyFont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" fillId="0" borderId="0"/>
    <xf numFmtId="0" fontId="55" fillId="23" borderId="7" applyNumberFormat="0" applyFont="0" applyAlignment="0" applyProtection="0"/>
    <xf numFmtId="9" fontId="55" fillId="0" borderId="0" applyFont="0" applyFill="0" applyBorder="0" applyAlignment="0" applyProtection="0"/>
  </cellStyleXfs>
  <cellXfs count="460">
    <xf numFmtId="0" fontId="0" fillId="0" borderId="0" xfId="0"/>
    <xf numFmtId="0" fontId="2" fillId="0" borderId="0" xfId="42" applyFont="1" applyAlignment="1">
      <alignment horizontal="centerContinuous"/>
    </xf>
    <xf numFmtId="0" fontId="3" fillId="0" borderId="0" xfId="42" applyFont="1" applyAlignment="1">
      <alignment horizontal="centerContinuous"/>
    </xf>
    <xf numFmtId="0" fontId="1" fillId="0" borderId="0" xfId="44" applyAlignment="1">
      <alignment horizontal="centerContinuous"/>
    </xf>
    <xf numFmtId="0" fontId="1" fillId="0" borderId="0" xfId="44"/>
    <xf numFmtId="0" fontId="4" fillId="0" borderId="0" xfId="44" applyFont="1" applyAlignment="1">
      <alignment horizontal="center"/>
    </xf>
    <xf numFmtId="0" fontId="5" fillId="0" borderId="0" xfId="44" applyFont="1"/>
    <xf numFmtId="0" fontId="1" fillId="0" borderId="0" xfId="44" applyFont="1" applyAlignment="1">
      <alignment horizontal="right"/>
    </xf>
    <xf numFmtId="8" fontId="1" fillId="0" borderId="0" xfId="44" applyNumberFormat="1"/>
    <xf numFmtId="8" fontId="1" fillId="0" borderId="10" xfId="44" applyNumberFormat="1" applyBorder="1"/>
    <xf numFmtId="0" fontId="1" fillId="0" borderId="0" xfId="44" applyFont="1"/>
    <xf numFmtId="0" fontId="6" fillId="0" borderId="0" xfId="44" applyFont="1" applyAlignment="1">
      <alignment horizontal="centerContinuous"/>
    </xf>
    <xf numFmtId="8" fontId="1" fillId="0" borderId="0" xfId="44" applyNumberFormat="1" applyAlignment="1">
      <alignment horizontal="centerContinuous"/>
    </xf>
    <xf numFmtId="0" fontId="7" fillId="0" borderId="0" xfId="44" applyFont="1" applyAlignment="1">
      <alignment horizontal="right"/>
    </xf>
    <xf numFmtId="164" fontId="1" fillId="0" borderId="0" xfId="44" applyNumberFormat="1"/>
    <xf numFmtId="0" fontId="8" fillId="0" borderId="0" xfId="44" applyFont="1" applyAlignment="1">
      <alignment horizontal="centerContinuous"/>
    </xf>
    <xf numFmtId="0" fontId="1" fillId="0" borderId="0" xfId="44" applyAlignment="1">
      <alignment horizontal="right"/>
    </xf>
    <xf numFmtId="8" fontId="11" fillId="0" borderId="0" xfId="0" applyNumberFormat="1" applyFont="1" applyAlignment="1">
      <alignment horizontal="centerContinuous"/>
    </xf>
    <xf numFmtId="8" fontId="4" fillId="0" borderId="0" xfId="0" applyNumberFormat="1" applyFont="1" applyAlignment="1">
      <alignment horizontal="centerContinuous"/>
    </xf>
    <xf numFmtId="8" fontId="0" fillId="0" borderId="0" xfId="0" applyNumberFormat="1"/>
    <xf numFmtId="164" fontId="0" fillId="0" borderId="0" xfId="0" applyNumberFormat="1"/>
    <xf numFmtId="8" fontId="4" fillId="0" borderId="0" xfId="0" applyNumberFormat="1" applyFont="1"/>
    <xf numFmtId="8" fontId="4" fillId="0" borderId="0" xfId="0" applyNumberFormat="1" applyFont="1" applyAlignment="1">
      <alignment horizontal="center"/>
    </xf>
    <xf numFmtId="8" fontId="5" fillId="0" borderId="0" xfId="0" applyNumberFormat="1" applyFont="1"/>
    <xf numFmtId="8" fontId="0" fillId="0" borderId="11" xfId="0" applyNumberFormat="1" applyBorder="1" applyProtection="1">
      <protection locked="0"/>
    </xf>
    <xf numFmtId="8" fontId="0" fillId="0" borderId="12" xfId="0" applyNumberFormat="1" applyBorder="1" applyProtection="1">
      <protection locked="0"/>
    </xf>
    <xf numFmtId="8" fontId="0" fillId="0" borderId="13" xfId="0" applyNumberFormat="1" applyBorder="1" applyProtection="1">
      <protection locked="0"/>
    </xf>
    <xf numFmtId="8" fontId="0" fillId="24" borderId="14" xfId="0" applyNumberFormat="1" applyFill="1" applyBorder="1"/>
    <xf numFmtId="8" fontId="0" fillId="24" borderId="13" xfId="0" applyNumberFormat="1" applyFill="1" applyBorder="1"/>
    <xf numFmtId="8" fontId="0" fillId="0" borderId="15" xfId="0" applyNumberFormat="1" applyBorder="1" applyProtection="1">
      <protection locked="0"/>
    </xf>
    <xf numFmtId="8" fontId="0" fillId="24" borderId="16" xfId="0" applyNumberFormat="1" applyFill="1" applyBorder="1"/>
    <xf numFmtId="8" fontId="0" fillId="24" borderId="17" xfId="0" applyNumberFormat="1" applyFill="1" applyBorder="1"/>
    <xf numFmtId="165" fontId="0" fillId="0" borderId="0" xfId="0" applyNumberFormat="1"/>
    <xf numFmtId="8" fontId="0" fillId="0" borderId="18" xfId="0" applyNumberFormat="1" applyBorder="1" applyProtection="1">
      <protection locked="0"/>
    </xf>
    <xf numFmtId="8" fontId="0" fillId="0" borderId="19" xfId="0" applyNumberFormat="1" applyBorder="1" applyProtection="1">
      <protection locked="0"/>
    </xf>
    <xf numFmtId="8" fontId="0" fillId="0" borderId="11" xfId="0" applyNumberFormat="1" applyBorder="1"/>
    <xf numFmtId="8" fontId="0" fillId="0" borderId="18" xfId="0" applyNumberFormat="1" applyBorder="1"/>
    <xf numFmtId="8" fontId="0" fillId="0" borderId="12" xfId="0" applyNumberFormat="1" applyBorder="1"/>
    <xf numFmtId="8" fontId="0" fillId="0" borderId="13" xfId="0" applyNumberFormat="1" applyBorder="1"/>
    <xf numFmtId="8" fontId="0" fillId="0" borderId="16" xfId="0" applyNumberFormat="1" applyBorder="1" applyProtection="1">
      <protection locked="0"/>
    </xf>
    <xf numFmtId="8" fontId="0" fillId="0" borderId="0" xfId="0" applyNumberFormat="1" applyProtection="1">
      <protection locked="0"/>
    </xf>
    <xf numFmtId="8" fontId="0" fillId="0" borderId="20" xfId="0" applyNumberFormat="1" applyBorder="1" applyProtection="1">
      <protection locked="0"/>
    </xf>
    <xf numFmtId="8" fontId="0" fillId="0" borderId="21" xfId="0" applyNumberFormat="1" applyBorder="1" applyProtection="1">
      <protection locked="0"/>
    </xf>
    <xf numFmtId="8" fontId="0" fillId="0" borderId="0" xfId="0" applyNumberFormat="1" applyBorder="1" applyProtection="1">
      <protection locked="0"/>
    </xf>
    <xf numFmtId="8" fontId="0" fillId="0" borderId="0" xfId="0" applyNumberFormat="1" applyFill="1" applyBorder="1" applyProtection="1">
      <protection locked="0"/>
    </xf>
    <xf numFmtId="8" fontId="0" fillId="0" borderId="20" xfId="0" applyNumberFormat="1" applyBorder="1"/>
    <xf numFmtId="8" fontId="0" fillId="0" borderId="21" xfId="0" applyNumberFormat="1" applyBorder="1"/>
    <xf numFmtId="8" fontId="0" fillId="0" borderId="22" xfId="0" applyNumberFormat="1" applyBorder="1"/>
    <xf numFmtId="10" fontId="1" fillId="0" borderId="0" xfId="47" applyNumberFormat="1"/>
    <xf numFmtId="8" fontId="5" fillId="0" borderId="0" xfId="0" applyNumberFormat="1" applyFont="1" applyBorder="1"/>
    <xf numFmtId="8" fontId="1" fillId="0" borderId="0" xfId="44" applyNumberFormat="1" applyBorder="1"/>
    <xf numFmtId="0" fontId="1" fillId="0" borderId="0" xfId="44" applyFont="1" applyBorder="1" applyAlignment="1">
      <alignment horizontal="right"/>
    </xf>
    <xf numFmtId="8" fontId="12" fillId="0" borderId="0" xfId="0" applyNumberFormat="1" applyFont="1" applyAlignment="1">
      <alignment horizontal="centerContinuous"/>
    </xf>
    <xf numFmtId="8" fontId="0" fillId="0" borderId="0" xfId="0" applyNumberFormat="1" applyAlignment="1">
      <alignment horizontal="left"/>
    </xf>
    <xf numFmtId="8" fontId="0" fillId="0" borderId="0" xfId="0" applyNumberFormat="1" applyAlignment="1">
      <alignment horizontal="centerContinuous"/>
    </xf>
    <xf numFmtId="8" fontId="0" fillId="0" borderId="23" xfId="0" applyNumberFormat="1" applyBorder="1" applyProtection="1">
      <protection locked="0"/>
    </xf>
    <xf numFmtId="8" fontId="0" fillId="24" borderId="24" xfId="0" applyNumberFormat="1" applyFill="1" applyBorder="1"/>
    <xf numFmtId="8" fontId="0" fillId="24" borderId="25" xfId="0" applyNumberFormat="1" applyFill="1" applyBorder="1"/>
    <xf numFmtId="8" fontId="0" fillId="0" borderId="26" xfId="0" applyNumberFormat="1" applyBorder="1" applyProtection="1">
      <protection locked="0"/>
    </xf>
    <xf numFmtId="8" fontId="0" fillId="0" borderId="19" xfId="0" applyNumberFormat="1" applyBorder="1"/>
    <xf numFmtId="8" fontId="0" fillId="0" borderId="23" xfId="0" applyNumberFormat="1" applyBorder="1"/>
    <xf numFmtId="8" fontId="0" fillId="0" borderId="16" xfId="0" applyNumberFormat="1" applyBorder="1"/>
    <xf numFmtId="8" fontId="0" fillId="25" borderId="11" xfId="0" applyNumberFormat="1" applyFill="1" applyBorder="1" applyProtection="1">
      <protection locked="0"/>
    </xf>
    <xf numFmtId="8" fontId="0" fillId="25" borderId="18" xfId="0" applyNumberFormat="1" applyFill="1" applyBorder="1" applyProtection="1">
      <protection locked="0"/>
    </xf>
    <xf numFmtId="8" fontId="0" fillId="25" borderId="19" xfId="0" applyNumberFormat="1" applyFill="1" applyBorder="1" applyProtection="1">
      <protection locked="0"/>
    </xf>
    <xf numFmtId="8" fontId="0" fillId="25" borderId="15" xfId="0" applyNumberFormat="1" applyFill="1" applyBorder="1" applyProtection="1">
      <protection locked="0"/>
    </xf>
    <xf numFmtId="8" fontId="0" fillId="25" borderId="16" xfId="0" applyNumberFormat="1" applyFill="1" applyBorder="1" applyProtection="1">
      <protection locked="0"/>
    </xf>
    <xf numFmtId="8" fontId="0" fillId="25" borderId="17" xfId="0" applyNumberFormat="1" applyFill="1" applyBorder="1" applyProtection="1">
      <protection locked="0"/>
    </xf>
    <xf numFmtId="8" fontId="4" fillId="0" borderId="0" xfId="0" applyNumberFormat="1" applyFont="1" applyAlignment="1">
      <alignment wrapText="1"/>
    </xf>
    <xf numFmtId="8" fontId="0" fillId="25" borderId="12" xfId="0" applyNumberFormat="1" applyFill="1" applyBorder="1" applyProtection="1">
      <protection locked="0"/>
    </xf>
    <xf numFmtId="8" fontId="0" fillId="25" borderId="13" xfId="0" applyNumberFormat="1" applyFill="1" applyBorder="1" applyProtection="1">
      <protection locked="0"/>
    </xf>
    <xf numFmtId="8" fontId="0" fillId="25" borderId="14" xfId="0" applyNumberFormat="1" applyFill="1" applyBorder="1" applyProtection="1">
      <protection locked="0"/>
    </xf>
    <xf numFmtId="8" fontId="0" fillId="25" borderId="27" xfId="0" applyNumberFormat="1" applyFill="1" applyBorder="1" applyProtection="1">
      <protection locked="0"/>
    </xf>
    <xf numFmtId="8" fontId="0" fillId="25" borderId="28" xfId="0" applyNumberFormat="1" applyFill="1" applyBorder="1" applyProtection="1">
      <protection locked="0"/>
    </xf>
    <xf numFmtId="8" fontId="0" fillId="25" borderId="29" xfId="0" applyNumberFormat="1" applyFill="1" applyBorder="1" applyProtection="1">
      <protection locked="0"/>
    </xf>
    <xf numFmtId="8" fontId="0" fillId="24" borderId="21" xfId="0" applyNumberFormat="1" applyFill="1" applyBorder="1" applyProtection="1">
      <protection locked="0"/>
    </xf>
    <xf numFmtId="8" fontId="0" fillId="24" borderId="22" xfId="0" applyNumberFormat="1" applyFill="1" applyBorder="1" applyProtection="1">
      <protection locked="0"/>
    </xf>
    <xf numFmtId="8" fontId="5" fillId="0" borderId="0" xfId="0" applyNumberFormat="1" applyFont="1" applyBorder="1" applyProtection="1">
      <protection locked="0"/>
    </xf>
    <xf numFmtId="8" fontId="13" fillId="0" borderId="0" xfId="0" applyNumberFormat="1" applyFont="1"/>
    <xf numFmtId="0" fontId="14" fillId="0" borderId="0" xfId="44" applyFont="1"/>
    <xf numFmtId="8" fontId="15" fillId="0" borderId="11" xfId="0" applyNumberFormat="1" applyFont="1" applyBorder="1" applyProtection="1">
      <protection locked="0"/>
    </xf>
    <xf numFmtId="8" fontId="15" fillId="0" borderId="18" xfId="0" applyNumberFormat="1" applyFont="1" applyBorder="1" applyProtection="1">
      <protection locked="0"/>
    </xf>
    <xf numFmtId="8" fontId="15" fillId="0" borderId="19" xfId="0" applyNumberFormat="1" applyFont="1" applyBorder="1" applyProtection="1">
      <protection locked="0"/>
    </xf>
    <xf numFmtId="8" fontId="15" fillId="0" borderId="12" xfId="0" applyNumberFormat="1" applyFont="1" applyBorder="1" applyProtection="1">
      <protection locked="0"/>
    </xf>
    <xf numFmtId="8" fontId="15" fillId="0" borderId="13" xfId="0" applyNumberFormat="1" applyFont="1" applyBorder="1" applyProtection="1">
      <protection locked="0"/>
    </xf>
    <xf numFmtId="8" fontId="15" fillId="24" borderId="13" xfId="0" applyNumberFormat="1" applyFont="1" applyFill="1" applyBorder="1"/>
    <xf numFmtId="8" fontId="15" fillId="24" borderId="14" xfId="0" applyNumberFormat="1" applyFont="1" applyFill="1" applyBorder="1"/>
    <xf numFmtId="8" fontId="15" fillId="0" borderId="23" xfId="0" applyNumberFormat="1" applyFont="1" applyBorder="1" applyProtection="1">
      <protection locked="0"/>
    </xf>
    <xf numFmtId="8" fontId="15" fillId="0" borderId="15" xfId="0" applyNumberFormat="1" applyFont="1" applyBorder="1" applyProtection="1">
      <protection locked="0"/>
    </xf>
    <xf numFmtId="8" fontId="15" fillId="24" borderId="24" xfId="0" applyNumberFormat="1" applyFont="1" applyFill="1" applyBorder="1"/>
    <xf numFmtId="8" fontId="16" fillId="0" borderId="18" xfId="0" applyNumberFormat="1" applyFont="1" applyBorder="1" applyProtection="1">
      <protection locked="0"/>
    </xf>
    <xf numFmtId="8" fontId="17" fillId="0" borderId="0" xfId="0" applyNumberFormat="1" applyFont="1" applyAlignment="1">
      <alignment horizontal="centerContinuous"/>
    </xf>
    <xf numFmtId="8" fontId="18" fillId="0" borderId="0" xfId="0" applyNumberFormat="1" applyFont="1" applyAlignment="1">
      <alignment horizontal="centerContinuous"/>
    </xf>
    <xf numFmtId="8" fontId="19" fillId="0" borderId="0" xfId="0" applyNumberFormat="1" applyFont="1" applyAlignment="1">
      <alignment horizontal="centerContinuous"/>
    </xf>
    <xf numFmtId="8" fontId="15" fillId="0" borderId="0" xfId="0" applyNumberFormat="1" applyFont="1"/>
    <xf numFmtId="8" fontId="15" fillId="0" borderId="0" xfId="0" applyNumberFormat="1" applyFont="1" applyAlignment="1">
      <alignment horizontal="left"/>
    </xf>
    <xf numFmtId="8" fontId="15" fillId="0" borderId="0" xfId="0" applyNumberFormat="1" applyFont="1" applyAlignment="1">
      <alignment horizontal="centerContinuous"/>
    </xf>
    <xf numFmtId="8" fontId="20" fillId="0" borderId="0" xfId="0" applyNumberFormat="1" applyFont="1"/>
    <xf numFmtId="8" fontId="18" fillId="0" borderId="0" xfId="0" applyNumberFormat="1" applyFont="1" applyAlignment="1">
      <alignment horizontal="left"/>
    </xf>
    <xf numFmtId="8" fontId="18" fillId="0" borderId="0" xfId="0" applyNumberFormat="1" applyFont="1" applyAlignment="1">
      <alignment horizontal="center"/>
    </xf>
    <xf numFmtId="8" fontId="21" fillId="0" borderId="0" xfId="0" applyNumberFormat="1" applyFont="1"/>
    <xf numFmtId="8" fontId="18" fillId="0" borderId="0" xfId="0" applyNumberFormat="1" applyFont="1"/>
    <xf numFmtId="8" fontId="15" fillId="24" borderId="12" xfId="0" applyNumberFormat="1" applyFont="1" applyFill="1" applyBorder="1"/>
    <xf numFmtId="8" fontId="15" fillId="24" borderId="25" xfId="0" applyNumberFormat="1" applyFont="1" applyFill="1" applyBorder="1"/>
    <xf numFmtId="8" fontId="15" fillId="24" borderId="16" xfId="0" applyNumberFormat="1" applyFont="1" applyFill="1" applyBorder="1"/>
    <xf numFmtId="8" fontId="15" fillId="24" borderId="17" xfId="0" applyNumberFormat="1" applyFont="1" applyFill="1" applyBorder="1"/>
    <xf numFmtId="165" fontId="15" fillId="0" borderId="0" xfId="0" applyNumberFormat="1" applyFont="1"/>
    <xf numFmtId="8" fontId="15" fillId="0" borderId="11" xfId="0" applyNumberFormat="1" applyFont="1" applyBorder="1"/>
    <xf numFmtId="8" fontId="15" fillId="0" borderId="18" xfId="0" applyNumberFormat="1" applyFont="1" applyBorder="1"/>
    <xf numFmtId="8" fontId="15" fillId="0" borderId="19" xfId="0" applyNumberFormat="1" applyFont="1" applyBorder="1"/>
    <xf numFmtId="8" fontId="15" fillId="0" borderId="12" xfId="0" applyNumberFormat="1" applyFont="1" applyBorder="1"/>
    <xf numFmtId="8" fontId="15" fillId="0" borderId="13" xfId="0" applyNumberFormat="1" applyFont="1" applyBorder="1"/>
    <xf numFmtId="0" fontId="15" fillId="0" borderId="0" xfId="0" applyFont="1"/>
    <xf numFmtId="8" fontId="22" fillId="0" borderId="19" xfId="0" applyNumberFormat="1" applyFont="1" applyBorder="1" applyProtection="1">
      <protection locked="0"/>
    </xf>
    <xf numFmtId="8" fontId="15" fillId="25" borderId="11" xfId="0" applyNumberFormat="1" applyFont="1" applyFill="1" applyBorder="1" applyProtection="1">
      <protection locked="0"/>
    </xf>
    <xf numFmtId="8" fontId="15" fillId="25" borderId="18" xfId="0" applyNumberFormat="1" applyFont="1" applyFill="1" applyBorder="1" applyProtection="1">
      <protection locked="0"/>
    </xf>
    <xf numFmtId="8" fontId="15" fillId="25" borderId="19" xfId="0" applyNumberFormat="1" applyFont="1" applyFill="1" applyBorder="1" applyProtection="1">
      <protection locked="0"/>
    </xf>
    <xf numFmtId="8" fontId="15" fillId="25" borderId="15" xfId="0" applyNumberFormat="1" applyFont="1" applyFill="1" applyBorder="1" applyProtection="1">
      <protection locked="0"/>
    </xf>
    <xf numFmtId="8" fontId="15" fillId="25" borderId="16" xfId="0" applyNumberFormat="1" applyFont="1" applyFill="1" applyBorder="1" applyProtection="1">
      <protection locked="0"/>
    </xf>
    <xf numFmtId="8" fontId="15" fillId="25" borderId="17" xfId="0" applyNumberFormat="1" applyFont="1" applyFill="1" applyBorder="1" applyProtection="1">
      <protection locked="0"/>
    </xf>
    <xf numFmtId="8" fontId="15" fillId="0" borderId="0" xfId="0" applyNumberFormat="1" applyFont="1" applyProtection="1">
      <protection locked="0"/>
    </xf>
    <xf numFmtId="8" fontId="18" fillId="0" borderId="0" xfId="0" applyNumberFormat="1" applyFont="1" applyAlignment="1">
      <alignment wrapText="1"/>
    </xf>
    <xf numFmtId="8" fontId="15" fillId="25" borderId="12" xfId="0" applyNumberFormat="1" applyFont="1" applyFill="1" applyBorder="1" applyProtection="1">
      <protection locked="0"/>
    </xf>
    <xf numFmtId="8" fontId="15" fillId="25" borderId="13" xfId="0" applyNumberFormat="1" applyFont="1" applyFill="1" applyBorder="1" applyProtection="1">
      <protection locked="0"/>
    </xf>
    <xf numFmtId="8" fontId="15" fillId="25" borderId="14" xfId="0" applyNumberFormat="1" applyFont="1" applyFill="1" applyBorder="1" applyProtection="1">
      <protection locked="0"/>
    </xf>
    <xf numFmtId="8" fontId="15" fillId="25" borderId="27" xfId="0" applyNumberFormat="1" applyFont="1" applyFill="1" applyBorder="1" applyProtection="1">
      <protection locked="0"/>
    </xf>
    <xf numFmtId="8" fontId="15" fillId="25" borderId="28" xfId="0" applyNumberFormat="1" applyFont="1" applyFill="1" applyBorder="1" applyProtection="1">
      <protection locked="0"/>
    </xf>
    <xf numFmtId="8" fontId="15" fillId="25" borderId="29" xfId="0" applyNumberFormat="1" applyFont="1" applyFill="1" applyBorder="1" applyProtection="1">
      <protection locked="0"/>
    </xf>
    <xf numFmtId="8" fontId="15" fillId="0" borderId="20" xfId="0" applyNumberFormat="1" applyFont="1" applyBorder="1" applyProtection="1">
      <protection locked="0"/>
    </xf>
    <xf numFmtId="8" fontId="15" fillId="0" borderId="21" xfId="0" applyNumberFormat="1" applyFont="1" applyBorder="1" applyProtection="1">
      <protection locked="0"/>
    </xf>
    <xf numFmtId="8" fontId="15" fillId="24" borderId="21" xfId="0" applyNumberFormat="1" applyFont="1" applyFill="1" applyBorder="1" applyProtection="1">
      <protection locked="0"/>
    </xf>
    <xf numFmtId="8" fontId="15" fillId="24" borderId="22" xfId="0" applyNumberFormat="1" applyFont="1" applyFill="1" applyBorder="1" applyProtection="1">
      <protection locked="0"/>
    </xf>
    <xf numFmtId="8" fontId="21" fillId="0" borderId="0" xfId="0" applyNumberFormat="1" applyFont="1" applyBorder="1" applyProtection="1">
      <protection locked="0"/>
    </xf>
    <xf numFmtId="8" fontId="15" fillId="0" borderId="0" xfId="0" applyNumberFormat="1" applyFont="1" applyBorder="1" applyProtection="1">
      <protection locked="0"/>
    </xf>
    <xf numFmtId="8" fontId="15" fillId="0" borderId="0" xfId="0" applyNumberFormat="1" applyFont="1" applyFill="1" applyBorder="1" applyProtection="1">
      <protection locked="0"/>
    </xf>
    <xf numFmtId="8" fontId="21" fillId="0" borderId="0" xfId="0" applyNumberFormat="1" applyFont="1" applyBorder="1"/>
    <xf numFmtId="8" fontId="15" fillId="0" borderId="30" xfId="0" applyNumberFormat="1" applyFont="1" applyBorder="1" applyProtection="1">
      <protection locked="0"/>
    </xf>
    <xf numFmtId="8" fontId="15" fillId="0" borderId="20" xfId="0" applyNumberFormat="1" applyFont="1" applyBorder="1"/>
    <xf numFmtId="8" fontId="15" fillId="0" borderId="21" xfId="0" applyNumberFormat="1" applyFont="1" applyBorder="1"/>
    <xf numFmtId="8" fontId="15" fillId="0" borderId="22" xfId="0" applyNumberFormat="1" applyFont="1" applyBorder="1"/>
    <xf numFmtId="8" fontId="23" fillId="0" borderId="0" xfId="0" applyNumberFormat="1" applyFont="1"/>
    <xf numFmtId="8" fontId="15" fillId="0" borderId="15" xfId="0" applyNumberFormat="1" applyFont="1" applyBorder="1"/>
    <xf numFmtId="8" fontId="22" fillId="0" borderId="18" xfId="0" applyNumberFormat="1" applyFont="1" applyBorder="1" applyProtection="1">
      <protection locked="0"/>
    </xf>
    <xf numFmtId="8" fontId="22" fillId="0" borderId="13" xfId="0" applyNumberFormat="1" applyFont="1" applyBorder="1" applyProtection="1">
      <protection locked="0"/>
    </xf>
    <xf numFmtId="8" fontId="15" fillId="24" borderId="0" xfId="0" applyNumberFormat="1" applyFont="1" applyFill="1" applyBorder="1"/>
    <xf numFmtId="164" fontId="14" fillId="0" borderId="0" xfId="44" applyNumberFormat="1" applyFont="1"/>
    <xf numFmtId="0" fontId="24" fillId="0" borderId="0" xfId="44" applyFont="1" applyAlignment="1">
      <alignment horizontal="right"/>
    </xf>
    <xf numFmtId="10" fontId="14" fillId="0" borderId="0" xfId="47" applyNumberFormat="1" applyFont="1"/>
    <xf numFmtId="8" fontId="15" fillId="0" borderId="23" xfId="0" applyNumberFormat="1" applyFont="1" applyFill="1" applyBorder="1" applyProtection="1">
      <protection locked="0"/>
    </xf>
    <xf numFmtId="0" fontId="26" fillId="26" borderId="31" xfId="0" applyFont="1" applyFill="1" applyBorder="1" applyAlignment="1">
      <alignment horizontal="right" wrapText="1"/>
    </xf>
    <xf numFmtId="0" fontId="25" fillId="26" borderId="31" xfId="0" applyFont="1" applyFill="1" applyBorder="1" applyAlignment="1">
      <alignment horizontal="center"/>
    </xf>
    <xf numFmtId="0" fontId="27" fillId="26" borderId="31" xfId="0" applyFont="1" applyFill="1" applyBorder="1" applyAlignment="1">
      <alignment horizontal="center"/>
    </xf>
    <xf numFmtId="0" fontId="26" fillId="26" borderId="31" xfId="0" applyFont="1" applyFill="1" applyBorder="1" applyAlignment="1">
      <alignment horizontal="right"/>
    </xf>
    <xf numFmtId="0" fontId="26" fillId="26" borderId="31" xfId="0" applyFont="1" applyFill="1" applyBorder="1" applyAlignment="1">
      <alignment horizontal="center"/>
    </xf>
    <xf numFmtId="0" fontId="25" fillId="26" borderId="31" xfId="0" applyFont="1" applyFill="1" applyBorder="1" applyAlignment="1">
      <alignment wrapText="1"/>
    </xf>
    <xf numFmtId="0" fontId="4" fillId="0" borderId="0" xfId="0" applyFont="1"/>
    <xf numFmtId="0" fontId="26" fillId="26" borderId="0" xfId="0" applyFont="1" applyFill="1" applyBorder="1" applyAlignment="1">
      <alignment horizontal="right" wrapText="1"/>
    </xf>
    <xf numFmtId="0" fontId="4" fillId="0" borderId="31" xfId="0" applyFont="1" applyBorder="1"/>
    <xf numFmtId="0" fontId="25" fillId="26" borderId="0" xfId="0" applyFont="1" applyFill="1" applyAlignment="1">
      <alignment horizontal="center"/>
    </xf>
    <xf numFmtId="44" fontId="1" fillId="0" borderId="0" xfId="29"/>
    <xf numFmtId="8" fontId="15" fillId="24" borderId="28" xfId="0" applyNumberFormat="1" applyFont="1" applyFill="1" applyBorder="1"/>
    <xf numFmtId="8" fontId="15" fillId="24" borderId="18" xfId="0" applyNumberFormat="1" applyFont="1" applyFill="1" applyBorder="1" applyProtection="1">
      <protection locked="0"/>
    </xf>
    <xf numFmtId="8" fontId="21" fillId="0" borderId="0" xfId="0" applyNumberFormat="1" applyFont="1" applyBorder="1" applyAlignment="1" applyProtection="1">
      <alignment wrapText="1"/>
      <protection locked="0"/>
    </xf>
    <xf numFmtId="8" fontId="18" fillId="0" borderId="0" xfId="0" applyNumberFormat="1" applyFont="1" applyBorder="1" applyAlignment="1" applyProtection="1">
      <alignment wrapText="1"/>
      <protection locked="0"/>
    </xf>
    <xf numFmtId="8" fontId="18" fillId="0" borderId="0" xfId="0" applyNumberFormat="1" applyFont="1" applyFill="1" applyBorder="1" applyAlignment="1" applyProtection="1">
      <alignment wrapText="1"/>
      <protection locked="0"/>
    </xf>
    <xf numFmtId="8" fontId="15" fillId="24" borderId="11" xfId="0" applyNumberFormat="1" applyFont="1" applyFill="1" applyBorder="1" applyProtection="1">
      <protection locked="0"/>
    </xf>
    <xf numFmtId="8" fontId="0" fillId="24" borderId="27" xfId="0" applyNumberFormat="1" applyFill="1" applyBorder="1" applyProtection="1">
      <protection locked="0"/>
    </xf>
    <xf numFmtId="8" fontId="0" fillId="24" borderId="28" xfId="0" applyNumberFormat="1" applyFill="1" applyBorder="1" applyProtection="1">
      <protection locked="0"/>
    </xf>
    <xf numFmtId="0" fontId="4" fillId="0" borderId="0" xfId="44" applyFont="1" applyAlignment="1">
      <alignment horizontal="right"/>
    </xf>
    <xf numFmtId="8" fontId="15" fillId="26" borderId="0" xfId="0" applyNumberFormat="1" applyFont="1" applyFill="1" applyBorder="1" applyProtection="1">
      <protection locked="0"/>
    </xf>
    <xf numFmtId="8" fontId="46" fillId="0" borderId="14" xfId="0" applyNumberFormat="1" applyFont="1" applyBorder="1" applyAlignment="1">
      <alignment horizontal="left"/>
    </xf>
    <xf numFmtId="8" fontId="46" fillId="0" borderId="17" xfId="0" applyNumberFormat="1" applyFont="1" applyBorder="1" applyAlignment="1">
      <alignment horizontal="left"/>
    </xf>
    <xf numFmtId="8" fontId="45" fillId="0" borderId="12" xfId="0" applyNumberFormat="1" applyFont="1" applyBorder="1" applyAlignment="1">
      <alignment horizontal="right"/>
    </xf>
    <xf numFmtId="8" fontId="45" fillId="0" borderId="15" xfId="0" applyNumberFormat="1" applyFont="1" applyBorder="1" applyAlignment="1">
      <alignment horizontal="right"/>
    </xf>
    <xf numFmtId="8" fontId="19" fillId="0" borderId="0" xfId="0" applyNumberFormat="1" applyFont="1" applyAlignment="1">
      <alignment horizontal="left"/>
    </xf>
    <xf numFmtId="8" fontId="15" fillId="0" borderId="0" xfId="0" applyNumberFormat="1" applyFont="1" applyBorder="1"/>
    <xf numFmtId="8" fontId="15" fillId="24" borderId="34" xfId="0" applyNumberFormat="1" applyFont="1" applyFill="1" applyBorder="1"/>
    <xf numFmtId="166" fontId="15" fillId="0" borderId="0" xfId="28" applyNumberFormat="1" applyFont="1"/>
    <xf numFmtId="8" fontId="0" fillId="0" borderId="0" xfId="0" applyNumberFormat="1" applyBorder="1"/>
    <xf numFmtId="0" fontId="47" fillId="0" borderId="0" xfId="44" applyFont="1" applyBorder="1" applyAlignment="1">
      <alignment horizontal="right"/>
    </xf>
    <xf numFmtId="8" fontId="15" fillId="0" borderId="0" xfId="0" applyNumberFormat="1" applyFont="1" applyAlignment="1">
      <alignment horizontal="right"/>
    </xf>
    <xf numFmtId="0" fontId="1" fillId="0" borderId="0" xfId="44" applyAlignment="1"/>
    <xf numFmtId="8" fontId="15" fillId="26" borderId="0" xfId="0" applyNumberFormat="1" applyFont="1" applyFill="1"/>
    <xf numFmtId="8" fontId="18" fillId="26" borderId="0" xfId="0" applyNumberFormat="1" applyFont="1" applyFill="1"/>
    <xf numFmtId="8" fontId="48" fillId="0" borderId="0" xfId="0" applyNumberFormat="1" applyFont="1"/>
    <xf numFmtId="8" fontId="15" fillId="26" borderId="12" xfId="0" applyNumberFormat="1" applyFont="1" applyFill="1" applyBorder="1" applyProtection="1">
      <protection locked="0"/>
    </xf>
    <xf numFmtId="8" fontId="15" fillId="26" borderId="15" xfId="0" applyNumberFormat="1" applyFont="1" applyFill="1" applyBorder="1" applyProtection="1">
      <protection locked="0"/>
    </xf>
    <xf numFmtId="8" fontId="15" fillId="26" borderId="20" xfId="0" applyNumberFormat="1" applyFont="1" applyFill="1" applyBorder="1"/>
    <xf numFmtId="8" fontId="15" fillId="26" borderId="21" xfId="0" applyNumberFormat="1" applyFont="1" applyFill="1" applyBorder="1"/>
    <xf numFmtId="8" fontId="15" fillId="26" borderId="13" xfId="0" applyNumberFormat="1" applyFont="1" applyFill="1" applyBorder="1"/>
    <xf numFmtId="0" fontId="15" fillId="26" borderId="0" xfId="0" applyFont="1" applyFill="1"/>
    <xf numFmtId="8" fontId="15" fillId="26" borderId="0" xfId="0" applyNumberFormat="1" applyFont="1" applyFill="1" applyProtection="1">
      <protection locked="0"/>
    </xf>
    <xf numFmtId="8" fontId="15" fillId="26" borderId="13" xfId="0" applyNumberFormat="1" applyFont="1" applyFill="1" applyBorder="1" applyProtection="1">
      <protection locked="0"/>
    </xf>
    <xf numFmtId="8" fontId="15" fillId="26" borderId="34" xfId="0" applyNumberFormat="1" applyFont="1" applyFill="1" applyBorder="1" applyProtection="1">
      <protection locked="0"/>
    </xf>
    <xf numFmtId="0" fontId="47" fillId="0" borderId="0" xfId="44" applyFont="1" applyAlignment="1">
      <alignment horizontal="right"/>
    </xf>
    <xf numFmtId="167" fontId="1" fillId="0" borderId="0" xfId="29" applyNumberFormat="1" applyAlignment="1">
      <alignment horizontal="centerContinuous"/>
    </xf>
    <xf numFmtId="167" fontId="4" fillId="0" borderId="0" xfId="29" applyNumberFormat="1" applyFont="1" applyAlignment="1">
      <alignment horizontal="center"/>
    </xf>
    <xf numFmtId="167" fontId="1" fillId="0" borderId="0" xfId="29" applyNumberFormat="1"/>
    <xf numFmtId="167" fontId="0" fillId="0" borderId="0" xfId="29" applyNumberFormat="1" applyFont="1"/>
    <xf numFmtId="8" fontId="15" fillId="27" borderId="18" xfId="0" applyNumberFormat="1" applyFont="1" applyFill="1" applyBorder="1" applyProtection="1">
      <protection locked="0"/>
    </xf>
    <xf numFmtId="8" fontId="15" fillId="27" borderId="18" xfId="43" applyNumberFormat="1" applyFont="1" applyFill="1" applyBorder="1" applyProtection="1">
      <protection locked="0"/>
    </xf>
    <xf numFmtId="8" fontId="15" fillId="27" borderId="34" xfId="0" applyNumberFormat="1" applyFont="1" applyFill="1" applyBorder="1" applyProtection="1">
      <protection locked="0"/>
    </xf>
    <xf numFmtId="8" fontId="15" fillId="27" borderId="11" xfId="0" applyNumberFormat="1" applyFont="1" applyFill="1" applyBorder="1"/>
    <xf numFmtId="8" fontId="15" fillId="27" borderId="11" xfId="0" applyNumberFormat="1" applyFont="1" applyFill="1" applyBorder="1" applyProtection="1">
      <protection locked="0"/>
    </xf>
    <xf numFmtId="8" fontId="15" fillId="27" borderId="12" xfId="0" applyNumberFormat="1" applyFont="1" applyFill="1" applyBorder="1" applyProtection="1">
      <protection locked="0"/>
    </xf>
    <xf numFmtId="8" fontId="15" fillId="27" borderId="35" xfId="0" applyNumberFormat="1" applyFont="1" applyFill="1" applyBorder="1" applyProtection="1">
      <protection locked="0"/>
    </xf>
    <xf numFmtId="8" fontId="15" fillId="27" borderId="13" xfId="0" applyNumberFormat="1" applyFont="1" applyFill="1" applyBorder="1" applyProtection="1">
      <protection locked="0"/>
    </xf>
    <xf numFmtId="8" fontId="15" fillId="27" borderId="18" xfId="0" applyNumberFormat="1" applyFont="1" applyFill="1" applyBorder="1" applyProtection="1"/>
    <xf numFmtId="8" fontId="15" fillId="27" borderId="18" xfId="0" applyNumberFormat="1" applyFont="1" applyFill="1" applyBorder="1"/>
    <xf numFmtId="8" fontId="15" fillId="27" borderId="16" xfId="0" applyNumberFormat="1" applyFont="1" applyFill="1" applyBorder="1" applyProtection="1">
      <protection locked="0"/>
    </xf>
    <xf numFmtId="8" fontId="15" fillId="27" borderId="28" xfId="0" applyNumberFormat="1" applyFont="1" applyFill="1" applyBorder="1" applyProtection="1">
      <protection locked="0"/>
    </xf>
    <xf numFmtId="8" fontId="15" fillId="27" borderId="12" xfId="0" applyNumberFormat="1" applyFont="1" applyFill="1" applyBorder="1"/>
    <xf numFmtId="8" fontId="15" fillId="27" borderId="13" xfId="0" applyNumberFormat="1" applyFont="1" applyFill="1" applyBorder="1"/>
    <xf numFmtId="8" fontId="15" fillId="24" borderId="13" xfId="0" applyNumberFormat="1" applyFont="1" applyFill="1" applyBorder="1" applyProtection="1">
      <protection locked="0"/>
    </xf>
    <xf numFmtId="8" fontId="15" fillId="24" borderId="15" xfId="0" applyNumberFormat="1" applyFont="1" applyFill="1" applyBorder="1"/>
    <xf numFmtId="8" fontId="0" fillId="24" borderId="18" xfId="0" applyNumberFormat="1" applyFill="1" applyBorder="1" applyProtection="1">
      <protection locked="0"/>
    </xf>
    <xf numFmtId="8" fontId="52" fillId="0" borderId="0" xfId="0" applyNumberFormat="1" applyFont="1" applyAlignment="1">
      <alignment horizontal="centerContinuous"/>
    </xf>
    <xf numFmtId="8" fontId="53" fillId="0" borderId="0" xfId="0" applyNumberFormat="1" applyFont="1" applyAlignment="1">
      <alignment horizontal="centerContinuous"/>
    </xf>
    <xf numFmtId="8" fontId="50" fillId="25" borderId="0" xfId="0" applyNumberFormat="1" applyFont="1" applyFill="1" applyAlignment="1">
      <alignment horizontal="left"/>
    </xf>
    <xf numFmtId="8" fontId="17" fillId="25" borderId="0" xfId="0" applyNumberFormat="1" applyFont="1" applyFill="1" applyAlignment="1">
      <alignment horizontal="left"/>
    </xf>
    <xf numFmtId="8" fontId="17" fillId="27" borderId="0" xfId="0" applyNumberFormat="1" applyFont="1" applyFill="1" applyAlignment="1">
      <alignment horizontal="centerContinuous"/>
    </xf>
    <xf numFmtId="8" fontId="18" fillId="0" borderId="0" xfId="40" applyNumberFormat="1" applyFont="1"/>
    <xf numFmtId="8" fontId="15" fillId="26" borderId="12" xfId="40" applyNumberFormat="1" applyFont="1" applyFill="1" applyBorder="1" applyProtection="1">
      <protection locked="0"/>
    </xf>
    <xf numFmtId="8" fontId="18" fillId="28" borderId="0" xfId="0" applyNumberFormat="1" applyFont="1" applyFill="1" applyBorder="1" applyAlignment="1" applyProtection="1">
      <alignment horizontal="center"/>
      <protection locked="0"/>
    </xf>
    <xf numFmtId="8" fontId="15" fillId="24" borderId="13" xfId="40" applyNumberFormat="1" applyFont="1" applyFill="1" applyBorder="1"/>
    <xf numFmtId="8" fontId="18" fillId="0" borderId="0" xfId="40" applyNumberFormat="1" applyFont="1"/>
    <xf numFmtId="0" fontId="47" fillId="0" borderId="0" xfId="40"/>
    <xf numFmtId="8" fontId="15" fillId="24" borderId="13" xfId="40" applyNumberFormat="1" applyFont="1" applyFill="1" applyBorder="1"/>
    <xf numFmtId="8" fontId="18" fillId="0" borderId="0" xfId="40" applyNumberFormat="1" applyFont="1"/>
    <xf numFmtId="0" fontId="47" fillId="0" borderId="0" xfId="40"/>
    <xf numFmtId="8" fontId="15" fillId="24" borderId="13" xfId="40" applyNumberFormat="1" applyFont="1" applyFill="1" applyBorder="1"/>
    <xf numFmtId="8" fontId="18" fillId="0" borderId="0" xfId="40" applyNumberFormat="1" applyFont="1"/>
    <xf numFmtId="0" fontId="47" fillId="0" borderId="0" xfId="40"/>
    <xf numFmtId="8" fontId="15" fillId="24" borderId="13" xfId="40" applyNumberFormat="1" applyFont="1" applyFill="1" applyBorder="1"/>
    <xf numFmtId="8" fontId="18" fillId="0" borderId="0" xfId="40" applyNumberFormat="1" applyFont="1"/>
    <xf numFmtId="8" fontId="15" fillId="26" borderId="27" xfId="40" applyNumberFormat="1" applyFont="1" applyFill="1" applyBorder="1" applyProtection="1">
      <protection locked="0"/>
    </xf>
    <xf numFmtId="0" fontId="47" fillId="0" borderId="0" xfId="40"/>
    <xf numFmtId="8" fontId="15" fillId="24" borderId="13" xfId="40" applyNumberFormat="1" applyFont="1" applyFill="1" applyBorder="1"/>
    <xf numFmtId="8" fontId="18" fillId="0" borderId="0" xfId="40" applyNumberFormat="1" applyFont="1"/>
    <xf numFmtId="8" fontId="15" fillId="24" borderId="12" xfId="40" applyNumberFormat="1" applyFont="1" applyFill="1" applyBorder="1"/>
    <xf numFmtId="8" fontId="15" fillId="26" borderId="12" xfId="40" applyNumberFormat="1" applyFont="1" applyFill="1" applyBorder="1" applyProtection="1">
      <protection locked="0"/>
    </xf>
    <xf numFmtId="8" fontId="15" fillId="24" borderId="12" xfId="40" applyNumberFormat="1" applyFont="1" applyFill="1" applyBorder="1" applyProtection="1">
      <protection locked="0"/>
    </xf>
    <xf numFmtId="8" fontId="47" fillId="0" borderId="0" xfId="40" applyNumberFormat="1" applyProtection="1">
      <protection locked="0"/>
    </xf>
    <xf numFmtId="8" fontId="15" fillId="26" borderId="0" xfId="40" applyNumberFormat="1" applyFont="1" applyFill="1" applyBorder="1" applyProtection="1">
      <protection locked="0"/>
    </xf>
    <xf numFmtId="8" fontId="15" fillId="26" borderId="13" xfId="40" applyNumberFormat="1" applyFont="1" applyFill="1" applyBorder="1" applyProtection="1">
      <protection locked="0"/>
    </xf>
    <xf numFmtId="8" fontId="15" fillId="26" borderId="13" xfId="40" applyNumberFormat="1" applyFont="1" applyFill="1" applyBorder="1" applyProtection="1">
      <protection locked="0"/>
    </xf>
    <xf numFmtId="8" fontId="15" fillId="26" borderId="13" xfId="0" applyNumberFormat="1" applyFont="1" applyFill="1" applyBorder="1" applyProtection="1">
      <protection locked="0"/>
    </xf>
    <xf numFmtId="8" fontId="15" fillId="24" borderId="13" xfId="0" applyNumberFormat="1" applyFont="1" applyFill="1" applyBorder="1"/>
    <xf numFmtId="8" fontId="15" fillId="26" borderId="13" xfId="0" applyNumberFormat="1" applyFont="1" applyFill="1" applyBorder="1" applyProtection="1">
      <protection locked="0"/>
    </xf>
    <xf numFmtId="8" fontId="15" fillId="26" borderId="13" xfId="0" applyNumberFormat="1" applyFont="1" applyFill="1" applyBorder="1" applyProtection="1">
      <protection locked="0"/>
    </xf>
    <xf numFmtId="8" fontId="54" fillId="0" borderId="0" xfId="0" applyNumberFormat="1" applyFont="1" applyAlignment="1">
      <alignment horizontal="center"/>
    </xf>
    <xf numFmtId="8" fontId="15" fillId="26" borderId="13" xfId="56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34" xfId="57" applyNumberFormat="1" applyFont="1" applyFill="1" applyBorder="1" applyProtection="1">
      <protection locked="0"/>
    </xf>
    <xf numFmtId="8" fontId="15" fillId="26" borderId="34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4" borderId="13" xfId="57" applyNumberFormat="1" applyFont="1" applyFill="1" applyBorder="1"/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34" xfId="57" applyNumberFormat="1" applyFont="1" applyFill="1" applyBorder="1" applyProtection="1">
      <protection locked="0"/>
    </xf>
    <xf numFmtId="8" fontId="15" fillId="26" borderId="34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21" xfId="57" applyNumberFormat="1" applyFont="1" applyFill="1" applyBorder="1" applyProtection="1">
      <protection locked="0"/>
    </xf>
    <xf numFmtId="8" fontId="15" fillId="26" borderId="13" xfId="0" applyNumberFormat="1" applyFont="1" applyFill="1" applyBorder="1" applyProtection="1">
      <protection locked="0"/>
    </xf>
    <xf numFmtId="0" fontId="1" fillId="0" borderId="0" xfId="44" applyFont="1" applyAlignment="1">
      <alignment horizontal="right" wrapText="1"/>
    </xf>
    <xf numFmtId="8" fontId="15" fillId="26" borderId="13" xfId="0" applyNumberFormat="1" applyFont="1" applyFill="1" applyBorder="1" applyProtection="1">
      <protection locked="0"/>
    </xf>
    <xf numFmtId="8" fontId="15" fillId="24" borderId="24" xfId="0" applyNumberFormat="1" applyFont="1" applyFill="1" applyBorder="1"/>
    <xf numFmtId="8" fontId="15" fillId="0" borderId="0" xfId="0" applyNumberFormat="1" applyFont="1"/>
    <xf numFmtId="8" fontId="18" fillId="0" borderId="0" xfId="0" applyNumberFormat="1" applyFont="1"/>
    <xf numFmtId="8" fontId="15" fillId="24" borderId="16" xfId="0" applyNumberFormat="1" applyFont="1" applyFill="1" applyBorder="1"/>
    <xf numFmtId="8" fontId="15" fillId="26" borderId="12" xfId="0" applyNumberFormat="1" applyFont="1" applyFill="1" applyBorder="1" applyProtection="1">
      <protection locked="0"/>
    </xf>
    <xf numFmtId="8" fontId="15" fillId="26" borderId="13" xfId="0" applyNumberFormat="1" applyFont="1" applyFill="1" applyBorder="1" applyProtection="1">
      <protection locked="0"/>
    </xf>
    <xf numFmtId="8" fontId="15" fillId="24" borderId="13" xfId="0" applyNumberFormat="1" applyFont="1" applyFill="1" applyBorder="1"/>
    <xf numFmtId="8" fontId="15" fillId="24" borderId="24" xfId="0" applyNumberFormat="1" applyFont="1" applyFill="1" applyBorder="1"/>
    <xf numFmtId="8" fontId="15" fillId="0" borderId="0" xfId="0" applyNumberFormat="1" applyFont="1"/>
    <xf numFmtId="8" fontId="18" fillId="0" borderId="0" xfId="0" applyNumberFormat="1" applyFont="1"/>
    <xf numFmtId="8" fontId="15" fillId="24" borderId="16" xfId="0" applyNumberFormat="1" applyFont="1" applyFill="1" applyBorder="1"/>
    <xf numFmtId="8" fontId="15" fillId="26" borderId="13" xfId="0" applyNumberFormat="1" applyFont="1" applyFill="1" applyBorder="1" applyProtection="1">
      <protection locked="0"/>
    </xf>
    <xf numFmtId="8" fontId="15" fillId="27" borderId="18" xfId="0" applyNumberFormat="1" applyFont="1" applyFill="1" applyBorder="1" applyProtection="1">
      <protection locked="0"/>
    </xf>
    <xf numFmtId="8" fontId="15" fillId="24" borderId="13" xfId="0" applyNumberFormat="1" applyFont="1" applyFill="1" applyBorder="1" applyProtection="1">
      <protection locked="0"/>
    </xf>
    <xf numFmtId="8" fontId="18" fillId="0" borderId="0" xfId="0" applyNumberFormat="1" applyFont="1"/>
    <xf numFmtId="8" fontId="15" fillId="26" borderId="21" xfId="0" applyNumberFormat="1" applyFont="1" applyFill="1" applyBorder="1" applyProtection="1">
      <protection locked="0"/>
    </xf>
    <xf numFmtId="8" fontId="15" fillId="26" borderId="13" xfId="0" applyNumberFormat="1" applyFont="1" applyFill="1" applyBorder="1"/>
    <xf numFmtId="8" fontId="15" fillId="26" borderId="13" xfId="0" applyNumberFormat="1" applyFont="1" applyFill="1" applyBorder="1" applyProtection="1">
      <protection locked="0"/>
    </xf>
    <xf numFmtId="8" fontId="56" fillId="26" borderId="13" xfId="0" applyNumberFormat="1" applyFont="1" applyFill="1" applyBorder="1" applyProtection="1">
      <protection locked="0"/>
    </xf>
    <xf numFmtId="0" fontId="1" fillId="0" borderId="0" xfId="44" applyFont="1" applyBorder="1" applyAlignment="1">
      <alignment horizontal="center"/>
    </xf>
    <xf numFmtId="8" fontId="56" fillId="26" borderId="24" xfId="0" applyNumberFormat="1" applyFont="1" applyFill="1" applyBorder="1" applyProtection="1">
      <protection locked="0"/>
    </xf>
    <xf numFmtId="8" fontId="56" fillId="26" borderId="21" xfId="0" applyNumberFormat="1" applyFont="1" applyFill="1" applyBorder="1" applyProtection="1">
      <protection locked="0"/>
    </xf>
    <xf numFmtId="8" fontId="15" fillId="27" borderId="34" xfId="60" applyNumberFormat="1" applyFont="1" applyFill="1" applyBorder="1" applyProtection="1">
      <protection locked="0"/>
    </xf>
    <xf numFmtId="8" fontId="15" fillId="27" borderId="18" xfId="60" applyNumberFormat="1" applyFont="1" applyFill="1" applyBorder="1" applyProtection="1">
      <protection locked="0"/>
    </xf>
    <xf numFmtId="8" fontId="57" fillId="0" borderId="0" xfId="0" applyNumberFormat="1" applyFont="1" applyAlignment="1">
      <alignment horizontal="centerContinuous"/>
    </xf>
    <xf numFmtId="8" fontId="54" fillId="0" borderId="0" xfId="0" applyNumberFormat="1" applyFont="1" applyAlignment="1">
      <alignment horizontal="centerContinuous"/>
    </xf>
    <xf numFmtId="8" fontId="56" fillId="0" borderId="0" xfId="0" applyNumberFormat="1" applyFont="1" applyAlignment="1">
      <alignment horizontal="centerContinuous"/>
    </xf>
    <xf numFmtId="8" fontId="54" fillId="28" borderId="0" xfId="0" applyNumberFormat="1" applyFont="1" applyFill="1" applyBorder="1" applyAlignment="1" applyProtection="1">
      <alignment horizontal="center"/>
      <protection locked="0"/>
    </xf>
    <xf numFmtId="8" fontId="56" fillId="27" borderId="19" xfId="0" applyNumberFormat="1" applyFont="1" applyFill="1" applyBorder="1" applyProtection="1">
      <protection locked="0"/>
    </xf>
    <xf numFmtId="8" fontId="56" fillId="27" borderId="34" xfId="0" applyNumberFormat="1" applyFont="1" applyFill="1" applyBorder="1" applyProtection="1">
      <protection locked="0"/>
    </xf>
    <xf numFmtId="8" fontId="56" fillId="24" borderId="14" xfId="0" applyNumberFormat="1" applyFont="1" applyFill="1" applyBorder="1"/>
    <xf numFmtId="8" fontId="56" fillId="24" borderId="25" xfId="0" applyNumberFormat="1" applyFont="1" applyFill="1" applyBorder="1"/>
    <xf numFmtId="8" fontId="56" fillId="24" borderId="29" xfId="0" applyNumberFormat="1" applyFont="1" applyFill="1" applyBorder="1"/>
    <xf numFmtId="8" fontId="56" fillId="26" borderId="0" xfId="40" applyNumberFormat="1" applyFont="1" applyFill="1" applyBorder="1" applyProtection="1">
      <protection locked="0"/>
    </xf>
    <xf numFmtId="8" fontId="56" fillId="26" borderId="22" xfId="0" applyNumberFormat="1" applyFont="1" applyFill="1" applyBorder="1"/>
    <xf numFmtId="8" fontId="58" fillId="24" borderId="33" xfId="0" applyNumberFormat="1" applyFont="1" applyFill="1" applyBorder="1" applyProtection="1">
      <protection locked="0"/>
    </xf>
    <xf numFmtId="8" fontId="56" fillId="24" borderId="32" xfId="0" applyNumberFormat="1" applyFont="1" applyFill="1" applyBorder="1" applyProtection="1">
      <protection locked="0"/>
    </xf>
    <xf numFmtId="8" fontId="54" fillId="0" borderId="0" xfId="0" applyNumberFormat="1" applyFont="1" applyFill="1" applyBorder="1" applyAlignment="1" applyProtection="1">
      <alignment wrapText="1"/>
      <protection locked="0"/>
    </xf>
    <xf numFmtId="8" fontId="56" fillId="0" borderId="0" xfId="0" applyNumberFormat="1" applyFont="1" applyFill="1" applyBorder="1" applyProtection="1">
      <protection locked="0"/>
    </xf>
    <xf numFmtId="8" fontId="58" fillId="24" borderId="21" xfId="0" applyNumberFormat="1" applyFont="1" applyFill="1" applyBorder="1" applyProtection="1">
      <protection locked="0"/>
    </xf>
    <xf numFmtId="8" fontId="58" fillId="24" borderId="22" xfId="0" applyNumberFormat="1" applyFont="1" applyFill="1" applyBorder="1" applyProtection="1">
      <protection locked="0"/>
    </xf>
    <xf numFmtId="8" fontId="58" fillId="0" borderId="0" xfId="0" applyNumberFormat="1" applyFont="1" applyProtection="1">
      <protection locked="0"/>
    </xf>
    <xf numFmtId="8" fontId="56" fillId="24" borderId="22" xfId="0" applyNumberFormat="1" applyFont="1" applyFill="1" applyBorder="1" applyProtection="1">
      <protection locked="0"/>
    </xf>
    <xf numFmtId="8" fontId="58" fillId="24" borderId="19" xfId="0" applyNumberFormat="1" applyFont="1" applyFill="1" applyBorder="1" applyProtection="1">
      <protection locked="0"/>
    </xf>
    <xf numFmtId="8" fontId="56" fillId="26" borderId="0" xfId="0" applyNumberFormat="1" applyFont="1" applyFill="1" applyBorder="1" applyProtection="1">
      <protection locked="0"/>
    </xf>
    <xf numFmtId="8" fontId="56" fillId="0" borderId="0" xfId="0" applyNumberFormat="1" applyFont="1" applyProtection="1">
      <protection locked="0"/>
    </xf>
    <xf numFmtId="8" fontId="56" fillId="24" borderId="16" xfId="0" applyNumberFormat="1" applyFont="1" applyFill="1" applyBorder="1"/>
    <xf numFmtId="0" fontId="56" fillId="0" borderId="0" xfId="0" applyFont="1"/>
    <xf numFmtId="8" fontId="56" fillId="26" borderId="14" xfId="0" applyNumberFormat="1" applyFont="1" applyFill="1" applyBorder="1" applyProtection="1">
      <protection locked="0"/>
    </xf>
    <xf numFmtId="8" fontId="56" fillId="27" borderId="14" xfId="0" applyNumberFormat="1" applyFont="1" applyFill="1" applyBorder="1" applyProtection="1">
      <protection locked="0"/>
    </xf>
    <xf numFmtId="8" fontId="56" fillId="0" borderId="0" xfId="0" applyNumberFormat="1" applyFont="1" applyBorder="1"/>
    <xf numFmtId="8" fontId="56" fillId="24" borderId="17" xfId="0" applyNumberFormat="1" applyFont="1" applyFill="1" applyBorder="1"/>
    <xf numFmtId="8" fontId="56" fillId="24" borderId="14" xfId="40" applyNumberFormat="1" applyFont="1" applyFill="1" applyBorder="1"/>
    <xf numFmtId="8" fontId="56" fillId="27" borderId="19" xfId="0" applyNumberFormat="1" applyFont="1" applyFill="1" applyBorder="1"/>
    <xf numFmtId="8" fontId="56" fillId="24" borderId="0" xfId="0" applyNumberFormat="1" applyFont="1" applyFill="1" applyBorder="1"/>
    <xf numFmtId="8" fontId="56" fillId="27" borderId="18" xfId="0" applyNumberFormat="1" applyFont="1" applyFill="1" applyBorder="1" applyProtection="1">
      <protection locked="0"/>
    </xf>
    <xf numFmtId="8" fontId="56" fillId="0" borderId="0" xfId="0" applyNumberFormat="1" applyFont="1"/>
    <xf numFmtId="8" fontId="15" fillId="24" borderId="24" xfId="0" applyNumberFormat="1" applyFont="1" applyFill="1" applyBorder="1"/>
    <xf numFmtId="8" fontId="15" fillId="24" borderId="12" xfId="0" applyNumberFormat="1" applyFont="1" applyFill="1" applyBorder="1"/>
    <xf numFmtId="8" fontId="15" fillId="24" borderId="16" xfId="0" applyNumberFormat="1" applyFont="1" applyFill="1" applyBorder="1"/>
    <xf numFmtId="8" fontId="15" fillId="26" borderId="12" xfId="0" applyNumberFormat="1" applyFont="1" applyFill="1" applyBorder="1" applyProtection="1">
      <protection locked="0"/>
    </xf>
    <xf numFmtId="8" fontId="15" fillId="26" borderId="15" xfId="0" applyNumberFormat="1" applyFont="1" applyFill="1" applyBorder="1" applyProtection="1">
      <protection locked="0"/>
    </xf>
    <xf numFmtId="8" fontId="15" fillId="24" borderId="12" xfId="0" applyNumberFormat="1" applyFont="1" applyFill="1" applyBorder="1"/>
    <xf numFmtId="8" fontId="15" fillId="26" borderId="12" xfId="0" applyNumberFormat="1" applyFont="1" applyFill="1" applyBorder="1" applyProtection="1">
      <protection locked="0"/>
    </xf>
    <xf numFmtId="8" fontId="15" fillId="26" borderId="15" xfId="0" applyNumberFormat="1" applyFont="1" applyFill="1" applyBorder="1" applyProtection="1">
      <protection locked="0"/>
    </xf>
    <xf numFmtId="8" fontId="15" fillId="24" borderId="12" xfId="0" applyNumberFormat="1" applyFont="1" applyFill="1" applyBorder="1"/>
    <xf numFmtId="8" fontId="15" fillId="0" borderId="12" xfId="0" applyNumberFormat="1" applyFont="1" applyBorder="1"/>
    <xf numFmtId="8" fontId="15" fillId="26" borderId="12" xfId="0" applyNumberFormat="1" applyFont="1" applyFill="1" applyBorder="1" applyProtection="1">
      <protection locked="0"/>
    </xf>
    <xf numFmtId="8" fontId="15" fillId="26" borderId="27" xfId="0" applyNumberFormat="1" applyFont="1" applyFill="1" applyBorder="1" applyProtection="1">
      <protection locked="0"/>
    </xf>
    <xf numFmtId="8" fontId="15" fillId="24" borderId="12" xfId="0" applyNumberFormat="1" applyFont="1" applyFill="1" applyBorder="1"/>
    <xf numFmtId="8" fontId="15" fillId="26" borderId="12" xfId="0" applyNumberFormat="1" applyFont="1" applyFill="1" applyBorder="1" applyProtection="1">
      <protection locked="0"/>
    </xf>
    <xf numFmtId="8" fontId="15" fillId="26" borderId="27" xfId="0" applyNumberFormat="1" applyFont="1" applyFill="1" applyBorder="1" applyProtection="1">
      <protection locked="0"/>
    </xf>
    <xf numFmtId="8" fontId="15" fillId="24" borderId="12" xfId="0" applyNumberFormat="1" applyFont="1" applyFill="1" applyBorder="1"/>
    <xf numFmtId="8" fontId="15" fillId="26" borderId="12" xfId="0" applyNumberFormat="1" applyFont="1" applyFill="1" applyBorder="1" applyProtection="1">
      <protection locked="0"/>
    </xf>
    <xf numFmtId="8" fontId="15" fillId="26" borderId="15" xfId="0" applyNumberFormat="1" applyFont="1" applyFill="1" applyBorder="1" applyProtection="1">
      <protection locked="0"/>
    </xf>
    <xf numFmtId="8" fontId="15" fillId="27" borderId="13" xfId="0" applyNumberFormat="1" applyFont="1" applyFill="1" applyBorder="1"/>
    <xf numFmtId="8" fontId="15" fillId="24" borderId="12" xfId="0" applyNumberFormat="1" applyFont="1" applyFill="1" applyBorder="1"/>
    <xf numFmtId="8" fontId="15" fillId="24" borderId="16" xfId="0" applyNumberFormat="1" applyFont="1" applyFill="1" applyBorder="1"/>
    <xf numFmtId="8" fontId="15" fillId="0" borderId="0" xfId="0" applyNumberFormat="1" applyFont="1" applyProtection="1">
      <protection locked="0"/>
    </xf>
    <xf numFmtId="8" fontId="15" fillId="0" borderId="11" xfId="0" applyNumberFormat="1" applyFont="1" applyFill="1" applyBorder="1" applyProtection="1">
      <protection locked="0"/>
    </xf>
    <xf numFmtId="8" fontId="15" fillId="0" borderId="12" xfId="0" applyNumberFormat="1" applyFont="1" applyFill="1" applyBorder="1" applyProtection="1">
      <protection locked="0"/>
    </xf>
    <xf numFmtId="8" fontId="15" fillId="0" borderId="11" xfId="0" applyNumberFormat="1" applyFont="1" applyFill="1" applyBorder="1"/>
    <xf numFmtId="8" fontId="18" fillId="0" borderId="0" xfId="0" applyNumberFormat="1" applyFont="1"/>
    <xf numFmtId="8" fontId="15" fillId="0" borderId="0" xfId="0" applyNumberFormat="1" applyFont="1"/>
    <xf numFmtId="8" fontId="21" fillId="0" borderId="0" xfId="0" applyNumberFormat="1" applyFont="1"/>
    <xf numFmtId="8" fontId="18" fillId="0" borderId="0" xfId="0" applyNumberFormat="1" applyFont="1"/>
    <xf numFmtId="8" fontId="15" fillId="0" borderId="0" xfId="0" applyNumberFormat="1" applyFont="1"/>
    <xf numFmtId="8" fontId="21" fillId="0" borderId="0" xfId="0" applyNumberFormat="1" applyFont="1"/>
    <xf numFmtId="8" fontId="18" fillId="0" borderId="0" xfId="0" applyNumberFormat="1" applyFont="1"/>
    <xf numFmtId="8" fontId="15" fillId="26" borderId="20" xfId="0" applyNumberFormat="1" applyFont="1" applyFill="1" applyBorder="1" applyProtection="1">
      <protection locked="0"/>
    </xf>
    <xf numFmtId="8" fontId="15" fillId="26" borderId="20" xfId="0" applyNumberFormat="1" applyFont="1" applyFill="1" applyBorder="1" applyProtection="1">
      <protection locked="0"/>
    </xf>
    <xf numFmtId="8" fontId="15" fillId="26" borderId="20" xfId="0" applyNumberFormat="1" applyFont="1" applyFill="1" applyBorder="1" applyProtection="1">
      <protection locked="0"/>
    </xf>
    <xf numFmtId="8" fontId="15" fillId="26" borderId="20" xfId="0" applyNumberFormat="1" applyFont="1" applyFill="1" applyBorder="1" applyProtection="1">
      <protection locked="0"/>
    </xf>
    <xf numFmtId="8" fontId="15" fillId="24" borderId="13" xfId="0" applyNumberFormat="1" applyFont="1" applyFill="1" applyBorder="1"/>
    <xf numFmtId="8" fontId="15" fillId="24" borderId="24" xfId="0" applyNumberFormat="1" applyFont="1" applyFill="1" applyBorder="1"/>
    <xf numFmtId="8" fontId="15" fillId="26" borderId="13" xfId="0" applyNumberFormat="1" applyFont="1" applyFill="1" applyBorder="1" applyProtection="1">
      <protection locked="0"/>
    </xf>
    <xf numFmtId="8" fontId="15" fillId="0" borderId="13" xfId="0" applyNumberFormat="1" applyFont="1" applyFill="1" applyBorder="1" applyProtection="1">
      <protection locked="0"/>
    </xf>
    <xf numFmtId="8" fontId="15" fillId="24" borderId="13" xfId="0" applyNumberFormat="1" applyFont="1" applyFill="1" applyBorder="1"/>
    <xf numFmtId="8" fontId="15" fillId="24" borderId="24" xfId="0" applyNumberFormat="1" applyFont="1" applyFill="1" applyBorder="1"/>
    <xf numFmtId="8" fontId="15" fillId="26" borderId="13" xfId="0" applyNumberFormat="1" applyFont="1" applyFill="1" applyBorder="1" applyProtection="1">
      <protection locked="0"/>
    </xf>
    <xf numFmtId="8" fontId="15" fillId="24" borderId="13" xfId="0" applyNumberFormat="1" applyFont="1" applyFill="1" applyBorder="1"/>
    <xf numFmtId="8" fontId="15" fillId="24" borderId="24" xfId="0" applyNumberFormat="1" applyFont="1" applyFill="1" applyBorder="1"/>
    <xf numFmtId="8" fontId="15" fillId="24" borderId="34" xfId="0" applyNumberFormat="1" applyFont="1" applyFill="1" applyBorder="1"/>
    <xf numFmtId="8" fontId="15" fillId="26" borderId="13" xfId="0" applyNumberFormat="1" applyFont="1" applyFill="1" applyBorder="1" applyProtection="1">
      <protection locked="0"/>
    </xf>
    <xf numFmtId="8" fontId="15" fillId="26" borderId="34" xfId="0" applyNumberFormat="1" applyFont="1" applyFill="1" applyBorder="1" applyProtection="1">
      <protection locked="0"/>
    </xf>
    <xf numFmtId="8" fontId="15" fillId="27" borderId="18" xfId="0" applyNumberFormat="1" applyFont="1" applyFill="1" applyBorder="1" applyProtection="1">
      <protection locked="0"/>
    </xf>
    <xf numFmtId="8" fontId="15" fillId="27" borderId="13" xfId="0" applyNumberFormat="1" applyFont="1" applyFill="1" applyBorder="1" applyProtection="1">
      <protection locked="0"/>
    </xf>
    <xf numFmtId="8" fontId="15" fillId="24" borderId="13" xfId="0" applyNumberFormat="1" applyFont="1" applyFill="1" applyBorder="1"/>
    <xf numFmtId="8" fontId="15" fillId="26" borderId="13" xfId="0" applyNumberFormat="1" applyFont="1" applyFill="1" applyBorder="1" applyProtection="1">
      <protection locked="0"/>
    </xf>
    <xf numFmtId="8" fontId="15" fillId="24" borderId="13" xfId="0" applyNumberFormat="1" applyFont="1" applyFill="1" applyBorder="1"/>
    <xf numFmtId="8" fontId="15" fillId="24" borderId="24" xfId="0" applyNumberFormat="1" applyFont="1" applyFill="1" applyBorder="1"/>
    <xf numFmtId="8" fontId="15" fillId="24" borderId="16" xfId="0" applyNumberFormat="1" applyFont="1" applyFill="1" applyBorder="1"/>
    <xf numFmtId="8" fontId="15" fillId="0" borderId="0" xfId="0" applyNumberFormat="1" applyFont="1" applyProtection="1">
      <protection locked="0"/>
    </xf>
    <xf numFmtId="8" fontId="15" fillId="26" borderId="13" xfId="0" applyNumberFormat="1" applyFont="1" applyFill="1" applyBorder="1" applyProtection="1">
      <protection locked="0"/>
    </xf>
    <xf numFmtId="8" fontId="15" fillId="27" borderId="18" xfId="0" applyNumberFormat="1" applyFont="1" applyFill="1" applyBorder="1" applyProtection="1">
      <protection locked="0"/>
    </xf>
    <xf numFmtId="8" fontId="15" fillId="27" borderId="13" xfId="0" applyNumberFormat="1" applyFont="1" applyFill="1" applyBorder="1" applyProtection="1">
      <protection locked="0"/>
    </xf>
    <xf numFmtId="8" fontId="15" fillId="0" borderId="13" xfId="0" applyNumberFormat="1" applyFont="1" applyFill="1" applyBorder="1" applyProtection="1">
      <protection locked="0"/>
    </xf>
    <xf numFmtId="8" fontId="15" fillId="0" borderId="21" xfId="0" applyNumberFormat="1" applyFont="1" applyFill="1" applyBorder="1" applyProtection="1">
      <protection locked="0"/>
    </xf>
    <xf numFmtId="8" fontId="15" fillId="0" borderId="13" xfId="60" applyNumberFormat="1" applyFont="1" applyFill="1" applyBorder="1" applyProtection="1">
      <protection locked="0"/>
    </xf>
    <xf numFmtId="8" fontId="15" fillId="0" borderId="13" xfId="60" applyNumberFormat="1" applyFont="1" applyFill="1" applyBorder="1" applyProtection="1">
      <protection locked="0"/>
    </xf>
    <xf numFmtId="8" fontId="15" fillId="0" borderId="34" xfId="60" applyNumberFormat="1" applyFont="1" applyFill="1" applyBorder="1" applyProtection="1">
      <protection locked="0"/>
    </xf>
    <xf numFmtId="8" fontId="15" fillId="0" borderId="13" xfId="60" applyNumberFormat="1" applyFont="1" applyFill="1" applyBorder="1" applyProtection="1">
      <protection locked="0"/>
    </xf>
    <xf numFmtId="8" fontId="15" fillId="0" borderId="13" xfId="60" applyNumberFormat="1" applyFont="1" applyFill="1" applyBorder="1" applyProtection="1">
      <protection locked="0"/>
    </xf>
    <xf numFmtId="8" fontId="21" fillId="0" borderId="0" xfId="0" applyNumberFormat="1" applyFont="1"/>
    <xf numFmtId="8" fontId="15" fillId="26" borderId="13" xfId="0" applyNumberFormat="1" applyFont="1" applyFill="1" applyBorder="1" applyProtection="1">
      <protection locked="0"/>
    </xf>
    <xf numFmtId="8" fontId="15" fillId="26" borderId="13" xfId="60" applyNumberFormat="1" applyFont="1" applyFill="1" applyBorder="1" applyProtection="1">
      <protection locked="0"/>
    </xf>
    <xf numFmtId="8" fontId="15" fillId="26" borderId="13" xfId="0" applyNumberFormat="1" applyFont="1" applyFill="1" applyBorder="1" applyProtection="1">
      <protection locked="0"/>
    </xf>
    <xf numFmtId="8" fontId="15" fillId="24" borderId="24" xfId="0" applyNumberFormat="1" applyFont="1" applyFill="1" applyBorder="1"/>
    <xf numFmtId="8" fontId="15" fillId="0" borderId="21" xfId="60" applyNumberFormat="1" applyFont="1" applyFill="1" applyBorder="1" applyProtection="1">
      <protection locked="0"/>
    </xf>
    <xf numFmtId="8" fontId="15" fillId="26" borderId="13" xfId="0" applyNumberFormat="1" applyFont="1" applyFill="1" applyBorder="1" applyProtection="1">
      <protection locked="0"/>
    </xf>
    <xf numFmtId="8" fontId="15" fillId="26" borderId="13" xfId="0" applyNumberFormat="1" applyFont="1" applyFill="1" applyBorder="1" applyProtection="1">
      <protection locked="0"/>
    </xf>
    <xf numFmtId="8" fontId="15" fillId="27" borderId="18" xfId="0" applyNumberFormat="1" applyFont="1" applyFill="1" applyBorder="1" applyProtection="1">
      <protection locked="0"/>
    </xf>
    <xf numFmtId="8" fontId="15" fillId="27" borderId="13" xfId="0" applyNumberFormat="1" applyFont="1" applyFill="1" applyBorder="1" applyProtection="1">
      <protection locked="0"/>
    </xf>
    <xf numFmtId="8" fontId="15" fillId="26" borderId="13" xfId="0" applyNumberFormat="1" applyFont="1" applyFill="1" applyBorder="1" applyProtection="1">
      <protection locked="0"/>
    </xf>
    <xf numFmtId="8" fontId="15" fillId="27" borderId="18" xfId="0" applyNumberFormat="1" applyFont="1" applyFill="1" applyBorder="1" applyProtection="1">
      <protection locked="0"/>
    </xf>
    <xf numFmtId="8" fontId="15" fillId="24" borderId="13" xfId="0" applyNumberFormat="1" applyFont="1" applyFill="1" applyBorder="1"/>
    <xf numFmtId="8" fontId="15" fillId="24" borderId="34" xfId="0" applyNumberFormat="1" applyFont="1" applyFill="1" applyBorder="1"/>
    <xf numFmtId="8" fontId="15" fillId="26" borderId="21" xfId="0" applyNumberFormat="1" applyFont="1" applyFill="1" applyBorder="1" applyProtection="1">
      <protection locked="0"/>
    </xf>
    <xf numFmtId="8" fontId="15" fillId="26" borderId="13" xfId="0" applyNumberFormat="1" applyFont="1" applyFill="1" applyBorder="1"/>
    <xf numFmtId="8" fontId="15" fillId="26" borderId="13" xfId="0" applyNumberFormat="1" applyFont="1" applyFill="1" applyBorder="1" applyProtection="1">
      <protection locked="0"/>
    </xf>
    <xf numFmtId="8" fontId="15" fillId="27" borderId="18" xfId="0" applyNumberFormat="1" applyFont="1" applyFill="1" applyBorder="1" applyProtection="1">
      <protection locked="0"/>
    </xf>
    <xf numFmtId="8" fontId="15" fillId="27" borderId="13" xfId="0" applyNumberFormat="1" applyFont="1" applyFill="1" applyBorder="1" applyProtection="1">
      <protection locked="0"/>
    </xf>
    <xf numFmtId="8" fontId="15" fillId="27" borderId="13" xfId="0" applyNumberFormat="1" applyFont="1" applyFill="1" applyBorder="1"/>
    <xf numFmtId="8" fontId="15" fillId="24" borderId="13" xfId="57" applyNumberFormat="1" applyFont="1" applyFill="1" applyBorder="1"/>
    <xf numFmtId="8" fontId="15" fillId="26" borderId="13" xfId="57" applyNumberFormat="1" applyFont="1" applyFill="1" applyBorder="1" applyProtection="1">
      <protection locked="0"/>
    </xf>
    <xf numFmtId="8" fontId="15" fillId="26" borderId="34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7" borderId="18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34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4" borderId="21" xfId="0" applyNumberFormat="1" applyFont="1" applyFill="1" applyBorder="1"/>
    <xf numFmtId="0" fontId="1" fillId="0" borderId="0" xfId="44" applyFont="1" applyAlignment="1">
      <alignment horizontal="left"/>
    </xf>
    <xf numFmtId="0" fontId="1" fillId="0" borderId="0" xfId="44" applyFont="1" applyBorder="1" applyAlignment="1">
      <alignment horizontal="left"/>
    </xf>
    <xf numFmtId="8" fontId="1" fillId="0" borderId="0" xfId="44" applyNumberFormat="1" applyBorder="1" applyAlignment="1">
      <alignment horizontal="left" vertical="top"/>
    </xf>
    <xf numFmtId="0" fontId="5" fillId="0" borderId="0" xfId="44" applyFont="1" applyAlignment="1">
      <alignment horizontal="right"/>
    </xf>
    <xf numFmtId="0" fontId="5" fillId="0" borderId="0" xfId="44" applyFont="1" applyAlignment="1">
      <alignment horizontal="right" vertical="top"/>
    </xf>
    <xf numFmtId="8" fontId="15" fillId="24" borderId="13" xfId="57" applyNumberFormat="1" applyFont="1" applyFill="1" applyBorder="1"/>
    <xf numFmtId="8" fontId="15" fillId="24" borderId="24" xfId="57" applyNumberFormat="1" applyFont="1" applyFill="1" applyBorder="1"/>
    <xf numFmtId="8" fontId="15" fillId="26" borderId="13" xfId="57" applyNumberFormat="1" applyFont="1" applyFill="1" applyBorder="1" applyProtection="1">
      <protection locked="0"/>
    </xf>
    <xf numFmtId="8" fontId="15" fillId="27" borderId="34" xfId="57" applyNumberFormat="1" applyFont="1" applyFill="1" applyBorder="1" applyProtection="1">
      <protection locked="0"/>
    </xf>
    <xf numFmtId="8" fontId="15" fillId="24" borderId="13" xfId="57" applyNumberFormat="1" applyFont="1" applyFill="1" applyBorder="1"/>
    <xf numFmtId="8" fontId="15" fillId="24" borderId="24" xfId="57" applyNumberFormat="1" applyFont="1" applyFill="1" applyBorder="1"/>
    <xf numFmtId="8" fontId="15" fillId="24" borderId="13" xfId="57" applyNumberFormat="1" applyFont="1" applyFill="1" applyBorder="1"/>
    <xf numFmtId="8" fontId="15" fillId="24" borderId="24" xfId="57" applyNumberFormat="1" applyFont="1" applyFill="1" applyBorder="1"/>
    <xf numFmtId="8" fontId="15" fillId="27" borderId="13" xfId="57" applyNumberFormat="1" applyFont="1" applyFill="1" applyBorder="1"/>
    <xf numFmtId="8" fontId="15" fillId="26" borderId="13" xfId="57" applyNumberFormat="1" applyFont="1" applyFill="1" applyBorder="1" applyProtection="1">
      <protection locked="0"/>
    </xf>
    <xf numFmtId="8" fontId="15" fillId="27" borderId="18" xfId="57" applyNumberFormat="1" applyFont="1" applyFill="1" applyBorder="1" applyProtection="1">
      <protection locked="0"/>
    </xf>
    <xf numFmtId="8" fontId="15" fillId="27" borderId="13" xfId="57" applyNumberFormat="1" applyFont="1" applyFill="1" applyBorder="1" applyProtection="1">
      <protection locked="0"/>
    </xf>
    <xf numFmtId="0" fontId="1" fillId="0" borderId="0" xfId="44"/>
    <xf numFmtId="0" fontId="4" fillId="0" borderId="0" xfId="44" applyFont="1" applyAlignment="1">
      <alignment horizontal="center"/>
    </xf>
    <xf numFmtId="8" fontId="1" fillId="0" borderId="0" xfId="44" applyNumberFormat="1"/>
    <xf numFmtId="8" fontId="1" fillId="0" borderId="10" xfId="44" applyNumberFormat="1" applyBorder="1"/>
    <xf numFmtId="8" fontId="1" fillId="0" borderId="0" xfId="44" applyNumberFormat="1" applyBorder="1"/>
    <xf numFmtId="8" fontId="50" fillId="0" borderId="0" xfId="0" applyNumberFormat="1" applyFont="1" applyAlignment="1">
      <alignment horizontal="left" vertical="center"/>
    </xf>
    <xf numFmtId="0" fontId="51" fillId="0" borderId="0" xfId="0" applyFont="1" applyAlignment="1"/>
    <xf numFmtId="8" fontId="46" fillId="0" borderId="0" xfId="0" applyNumberFormat="1" applyFont="1" applyAlignment="1">
      <alignment horizontal="left"/>
    </xf>
    <xf numFmtId="0" fontId="0" fillId="0" borderId="0" xfId="0" applyAlignment="1"/>
    <xf numFmtId="8" fontId="45" fillId="0" borderId="36" xfId="0" applyNumberFormat="1" applyFont="1" applyBorder="1" applyAlignment="1">
      <alignment horizontal="center"/>
    </xf>
    <xf numFmtId="8" fontId="45" fillId="0" borderId="32" xfId="0" applyNumberFormat="1" applyFont="1" applyBorder="1" applyAlignment="1">
      <alignment horizontal="center"/>
    </xf>
  </cellXfs>
  <cellStyles count="6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2"/>
    <cellStyle name="Comma 3" xfId="58"/>
    <cellStyle name="Currency" xfId="29" builtinId="4"/>
    <cellStyle name="Currency 2" xfId="53"/>
    <cellStyle name="Currency 3" xfId="5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3" xfId="40"/>
    <cellStyle name="Normal 3 2" xfId="57"/>
    <cellStyle name="Normal 4" xfId="56"/>
    <cellStyle name="Normal 5" xfId="41"/>
    <cellStyle name="Normal_1994-95 FEE DETAIL" xfId="42"/>
    <cellStyle name="Normal_2010-11 Survey Template" xfId="43"/>
    <cellStyle name="Normal_2010-11 Survey Template 2" xfId="60"/>
    <cellStyle name="Normal_sheet" xfId="44"/>
    <cellStyle name="Note" xfId="45" builtinId="10" customBuiltin="1"/>
    <cellStyle name="Note 2" xfId="54"/>
    <cellStyle name="Note 3" xfId="61"/>
    <cellStyle name="Output" xfId="46" builtinId="21" customBuiltin="1"/>
    <cellStyle name="Percent" xfId="47" builtinId="5"/>
    <cellStyle name="Percent 2" xfId="48"/>
    <cellStyle name="Percent 3" xfId="55"/>
    <cellStyle name="Percent 4" xfId="62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0"/>
  <sheetViews>
    <sheetView tabSelected="1" zoomScaleNormal="100" zoomScaleSheetLayoutView="75" workbookViewId="0">
      <selection activeCell="X29" sqref="X29"/>
    </sheetView>
  </sheetViews>
  <sheetFormatPr defaultColWidth="9.140625" defaultRowHeight="12.75"/>
  <cols>
    <col min="1" max="1" width="2.7109375" style="4" customWidth="1"/>
    <col min="2" max="2" width="13.140625" style="4" customWidth="1"/>
    <col min="3" max="3" width="14.42578125" style="4" bestFit="1" customWidth="1"/>
    <col min="4" max="4" width="12" style="4" bestFit="1" customWidth="1"/>
    <col min="5" max="5" width="11.85546875" style="4" bestFit="1" customWidth="1"/>
    <col min="6" max="6" width="12" style="4" bestFit="1" customWidth="1"/>
    <col min="7" max="8" width="12" style="4" customWidth="1"/>
    <col min="9" max="9" width="12" style="4" bestFit="1" customWidth="1"/>
    <col min="10" max="10" width="11.42578125" style="4" customWidth="1"/>
    <col min="11" max="11" width="12" style="4" bestFit="1" customWidth="1"/>
    <col min="12" max="13" width="11.5703125" style="4" bestFit="1" customWidth="1"/>
    <col min="14" max="14" width="12" style="4" bestFit="1" customWidth="1"/>
    <col min="15" max="15" width="11.5703125" style="4" bestFit="1" customWidth="1"/>
    <col min="16" max="16" width="8.5703125" style="197" customWidth="1"/>
    <col min="17" max="16384" width="9.140625" style="4"/>
  </cols>
  <sheetData>
    <row r="1" spans="1:16" ht="25.5">
      <c r="A1" s="1" t="s">
        <v>269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95"/>
    </row>
    <row r="2" spans="1:16" ht="25.5">
      <c r="A2" s="1" t="s">
        <v>179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95"/>
    </row>
    <row r="3" spans="1:16">
      <c r="C3" s="5" t="s">
        <v>0</v>
      </c>
      <c r="D3" s="5" t="s">
        <v>1</v>
      </c>
      <c r="E3" s="5" t="s">
        <v>2</v>
      </c>
      <c r="F3" s="450" t="s">
        <v>272</v>
      </c>
      <c r="G3" s="450" t="s">
        <v>284</v>
      </c>
      <c r="H3" s="450" t="s">
        <v>285</v>
      </c>
      <c r="I3" s="5" t="s">
        <v>4</v>
      </c>
      <c r="J3" s="5" t="s">
        <v>5</v>
      </c>
      <c r="K3" s="5" t="s">
        <v>6</v>
      </c>
      <c r="L3" s="5" t="s">
        <v>7</v>
      </c>
      <c r="M3" s="5" t="s">
        <v>8</v>
      </c>
      <c r="N3" s="5" t="s">
        <v>9</v>
      </c>
      <c r="O3" s="5" t="s">
        <v>10</v>
      </c>
      <c r="P3" s="196" t="s">
        <v>280</v>
      </c>
    </row>
    <row r="4" spans="1:16">
      <c r="A4" s="6" t="s">
        <v>59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96"/>
    </row>
    <row r="5" spans="1:16">
      <c r="B5" s="7" t="s">
        <v>60</v>
      </c>
      <c r="C5" s="8">
        <f>'T&amp;F-All'!C54</f>
        <v>6142.7999999999993</v>
      </c>
      <c r="D5" s="8">
        <f>'T&amp;F-All'!D54</f>
        <v>6402.7</v>
      </c>
      <c r="E5" s="8">
        <f>'T&amp;F-All'!E54</f>
        <v>5774.7999999999993</v>
      </c>
      <c r="F5" s="8">
        <f>'T&amp;F-All'!F54</f>
        <v>6334.4</v>
      </c>
      <c r="G5" s="451">
        <f>'T&amp;F-All'!G54</f>
        <v>5715.6999999999989</v>
      </c>
      <c r="H5" s="451">
        <f>'T&amp;F-All'!H54</f>
        <v>5529.7</v>
      </c>
      <c r="I5" s="8">
        <f>'T&amp;F-All'!I54</f>
        <v>6140</v>
      </c>
      <c r="J5" s="8">
        <f>'T&amp;F-All'!J54</f>
        <v>6238.5</v>
      </c>
      <c r="K5" s="8">
        <f>'T&amp;F-All'!K54</f>
        <v>6246.9</v>
      </c>
      <c r="L5" s="8">
        <f>'T&amp;F-All'!L54</f>
        <v>6414.0599999999995</v>
      </c>
      <c r="M5" s="8">
        <f>'T&amp;F-All'!M54</f>
        <v>6234.9</v>
      </c>
      <c r="N5" s="8">
        <f>'T&amp;F-All'!N54</f>
        <v>6068.4</v>
      </c>
      <c r="O5" s="8">
        <f>'T&amp;F-All'!O54</f>
        <v>5652.5999999999995</v>
      </c>
      <c r="P5" s="197">
        <f>'T&amp;F-All'!P54</f>
        <v>6068.8815384615382</v>
      </c>
    </row>
    <row r="6" spans="1:16">
      <c r="B6" s="7" t="s">
        <v>61</v>
      </c>
      <c r="C6" s="8">
        <f>'T&amp;F-All'!C55</f>
        <v>204.76</v>
      </c>
      <c r="D6" s="8">
        <f>'T&amp;F-All'!D55</f>
        <v>213.42</v>
      </c>
      <c r="E6" s="8">
        <f>'T&amp;F-All'!E55</f>
        <v>192.49</v>
      </c>
      <c r="F6" s="8">
        <f>'T&amp;F-All'!F55</f>
        <v>211.14</v>
      </c>
      <c r="G6" s="451">
        <f>'T&amp;F-All'!G55</f>
        <v>190.52</v>
      </c>
      <c r="H6" s="451">
        <f>'T&amp;F-All'!H55</f>
        <v>184.32</v>
      </c>
      <c r="I6" s="8">
        <f>'T&amp;F-All'!I55</f>
        <v>204.66</v>
      </c>
      <c r="J6" s="8">
        <f>'T&amp;F-All'!J55</f>
        <v>207.95</v>
      </c>
      <c r="K6" s="8">
        <f>'T&amp;F-All'!K55</f>
        <v>208.23</v>
      </c>
      <c r="L6" s="8">
        <f>'T&amp;F-All'!L55</f>
        <v>213.8</v>
      </c>
      <c r="M6" s="8">
        <f>'T&amp;F-All'!M55</f>
        <v>207.83</v>
      </c>
      <c r="N6" s="8">
        <f>'T&amp;F-All'!N55</f>
        <v>202.28</v>
      </c>
      <c r="O6" s="8">
        <f>'T&amp;F-All'!O55</f>
        <v>188.42</v>
      </c>
      <c r="P6" s="197">
        <f>'T&amp;F-All'!P55</f>
        <v>202.29384615384618</v>
      </c>
    </row>
    <row r="7" spans="1:16" ht="6.6" customHeight="1">
      <c r="B7" s="16"/>
    </row>
    <row r="8" spans="1:16">
      <c r="A8" s="6" t="s">
        <v>167</v>
      </c>
    </row>
    <row r="9" spans="1:16">
      <c r="B9" s="7" t="s">
        <v>60</v>
      </c>
      <c r="C9" s="8">
        <f>'T&amp;F-All'!C64</f>
        <v>28419.899999999998</v>
      </c>
      <c r="D9" s="8">
        <f>'T&amp;F-All'!D64</f>
        <v>21569.200000000001</v>
      </c>
      <c r="E9" s="8">
        <f>'T&amp;F-All'!E64</f>
        <v>17715.399999999998</v>
      </c>
      <c r="F9" s="8">
        <f>'T&amp;F-All'!F64</f>
        <v>16256.900000000001</v>
      </c>
      <c r="G9" s="451">
        <f>'T&amp;F-All'!G64</f>
        <v>15638.2</v>
      </c>
      <c r="H9" s="451">
        <f>'T&amp;F-All'!H64</f>
        <v>15452.2</v>
      </c>
      <c r="I9" s="8">
        <f>'T&amp;F-All'!I64</f>
        <v>21696.5</v>
      </c>
      <c r="J9" s="8">
        <f>'T&amp;F-All'!J64</f>
        <v>19120.2</v>
      </c>
      <c r="K9" s="8">
        <f>'T&amp;F-All'!K64</f>
        <v>22345.200000000001</v>
      </c>
      <c r="L9" s="8">
        <f>'T&amp;F-All'!L64</f>
        <v>18813.060000000001</v>
      </c>
      <c r="M9" s="8">
        <f>'T&amp;F-All'!M64</f>
        <v>20694.000000000004</v>
      </c>
      <c r="N9" s="8">
        <f>'T&amp;F-All'!N64</f>
        <v>25112.100000000002</v>
      </c>
      <c r="O9" s="8">
        <f>'T&amp;F-All'!O64</f>
        <v>24843.299999999996</v>
      </c>
      <c r="P9" s="197">
        <f>'T&amp;F-All'!P64</f>
        <v>20590.473846153847</v>
      </c>
    </row>
    <row r="10" spans="1:16">
      <c r="B10" s="7" t="s">
        <v>61</v>
      </c>
      <c r="C10" s="8">
        <f>'T&amp;F-All'!C65</f>
        <v>947.33</v>
      </c>
      <c r="D10" s="8">
        <f>'T&amp;F-All'!D65</f>
        <v>718.97</v>
      </c>
      <c r="E10" s="8">
        <f>'T&amp;F-All'!E65</f>
        <v>590.51</v>
      </c>
      <c r="F10" s="8">
        <f>'T&amp;F-All'!F65</f>
        <v>541.89</v>
      </c>
      <c r="G10" s="451">
        <f>'T&amp;F-All'!G65</f>
        <v>521.27</v>
      </c>
      <c r="H10" s="451">
        <f>'T&amp;F-All'!H65</f>
        <v>515.07000000000005</v>
      </c>
      <c r="I10" s="8">
        <f>'T&amp;F-All'!I65</f>
        <v>723.21</v>
      </c>
      <c r="J10" s="8">
        <f>'T&amp;F-All'!J65</f>
        <v>637.34</v>
      </c>
      <c r="K10" s="8">
        <f>'T&amp;F-All'!K65</f>
        <v>744.84</v>
      </c>
      <c r="L10" s="8">
        <f>'T&amp;F-All'!L65</f>
        <v>627.1</v>
      </c>
      <c r="M10" s="8">
        <f>'T&amp;F-All'!M65</f>
        <v>689.8</v>
      </c>
      <c r="N10" s="8">
        <f>'T&amp;F-All'!N65</f>
        <v>837.07</v>
      </c>
      <c r="O10" s="8">
        <f>'T&amp;F-All'!O65</f>
        <v>828.11</v>
      </c>
      <c r="P10" s="197">
        <f>'T&amp;F-All'!P65</f>
        <v>686.34692307692308</v>
      </c>
    </row>
    <row r="11" spans="1:16" ht="6" customHeight="1">
      <c r="B11" s="7"/>
    </row>
    <row r="12" spans="1:16">
      <c r="A12" s="6" t="s">
        <v>62</v>
      </c>
    </row>
    <row r="13" spans="1:16">
      <c r="B13" s="7" t="s">
        <v>63</v>
      </c>
      <c r="C13" s="8">
        <f>'T&amp;F-All'!C74</f>
        <v>12589.440000000002</v>
      </c>
      <c r="D13" s="8">
        <f>'T&amp;F-All'!D74</f>
        <v>11504.8</v>
      </c>
      <c r="E13" s="8">
        <f>'T&amp;F-All'!E74</f>
        <v>9866.0799999999981</v>
      </c>
      <c r="F13" s="8">
        <f>'T&amp;F-All'!F74</f>
        <v>10414.400000000001</v>
      </c>
      <c r="G13" s="451">
        <f>'T&amp;F-All'!G74</f>
        <v>10188.400000000001</v>
      </c>
      <c r="H13" s="451">
        <f>'T&amp;F-All'!H74</f>
        <v>10039.6</v>
      </c>
      <c r="I13" s="8">
        <f>'T&amp;F-All'!I74</f>
        <v>9029.48</v>
      </c>
      <c r="J13" s="8">
        <f>'T&amp;F-All'!J74</f>
        <v>8473.68</v>
      </c>
      <c r="K13" s="8">
        <f>'T&amp;F-All'!K74</f>
        <v>8816.4000000000015</v>
      </c>
      <c r="L13" s="8">
        <f>'T&amp;F-All'!L74</f>
        <v>10496.1</v>
      </c>
      <c r="M13" s="8">
        <f>'T&amp;F-All'!M74</f>
        <v>11593.439999999999</v>
      </c>
      <c r="N13" s="8">
        <f>'T&amp;F-All'!N74</f>
        <v>8409.5999999999985</v>
      </c>
      <c r="O13" s="8"/>
      <c r="P13" s="197">
        <f>'T&amp;F-All'!P74</f>
        <v>10118.451666666668</v>
      </c>
    </row>
    <row r="14" spans="1:16">
      <c r="B14" s="7" t="s">
        <v>61</v>
      </c>
      <c r="C14" s="8">
        <f>'T&amp;F-All'!C75</f>
        <v>524.56000000000006</v>
      </c>
      <c r="D14" s="8">
        <f>'T&amp;F-All'!D75</f>
        <v>479.36666666666662</v>
      </c>
      <c r="E14" s="8">
        <f>'T&amp;F-All'!E75</f>
        <v>411.08666666666659</v>
      </c>
      <c r="F14" s="8">
        <f>'T&amp;F-All'!F75</f>
        <v>433.93333333333339</v>
      </c>
      <c r="G14" s="451">
        <f>'T&amp;F-All'!G75</f>
        <v>424.51666666666671</v>
      </c>
      <c r="H14" s="451">
        <f>'T&amp;F-All'!H75</f>
        <v>418.31666666666666</v>
      </c>
      <c r="I14" s="8">
        <f>'T&amp;F-All'!I75</f>
        <v>376.2283333333333</v>
      </c>
      <c r="J14" s="8">
        <f>'T&amp;F-All'!J75</f>
        <v>353.07</v>
      </c>
      <c r="K14" s="8">
        <f>'T&amp;F-All'!K75</f>
        <v>367.35000000000008</v>
      </c>
      <c r="L14" s="8">
        <f>'T&amp;F-All'!L75</f>
        <v>437.33750000000003</v>
      </c>
      <c r="M14" s="8">
        <f>'T&amp;F-All'!M75</f>
        <v>483.05999999999995</v>
      </c>
      <c r="N14" s="8">
        <f>'T&amp;F-All'!N75</f>
        <v>350.39999999999992</v>
      </c>
      <c r="O14" s="8"/>
      <c r="P14" s="197">
        <f>'T&amp;F-All'!P75</f>
        <v>421.6021527777778</v>
      </c>
    </row>
    <row r="15" spans="1:16" ht="6" customHeight="1">
      <c r="B15" s="16"/>
    </row>
    <row r="16" spans="1:16">
      <c r="A16" s="6" t="s">
        <v>168</v>
      </c>
    </row>
    <row r="17" spans="1:16">
      <c r="B17" s="7" t="s">
        <v>63</v>
      </c>
      <c r="C17" s="8">
        <f>'T&amp;F-All'!C83</f>
        <v>29982.720000000005</v>
      </c>
      <c r="D17" s="8">
        <f>'T&amp;F-All'!D83</f>
        <v>26658.399999999998</v>
      </c>
      <c r="E17" s="8">
        <f>'T&amp;F-All'!E83</f>
        <v>24658.959999999999</v>
      </c>
      <c r="F17" s="8">
        <f>'T&amp;F-All'!F83</f>
        <v>20602.880000000005</v>
      </c>
      <c r="G17" s="451">
        <f>'T&amp;F-All'!G83</f>
        <v>20376.88</v>
      </c>
      <c r="H17" s="451">
        <f>'T&amp;F-All'!H83</f>
        <v>20228.080000000002</v>
      </c>
      <c r="I17" s="8">
        <f>'T&amp;F-All'!I83</f>
        <v>24749.239999999998</v>
      </c>
      <c r="J17" s="8">
        <f>'T&amp;F-All'!J83</f>
        <v>24305.040000000001</v>
      </c>
      <c r="K17" s="8">
        <f>'T&amp;F-All'!K83</f>
        <v>28602</v>
      </c>
      <c r="L17" s="8">
        <f>'T&amp;F-All'!L83</f>
        <v>22594.02</v>
      </c>
      <c r="M17" s="8">
        <f>'T&amp;F-All'!M83</f>
        <v>24983.040000000001</v>
      </c>
      <c r="N17" s="8">
        <f>'T&amp;F-All'!N83</f>
        <v>31180.800000000003</v>
      </c>
      <c r="O17" s="8"/>
      <c r="P17" s="197">
        <f>'T&amp;F-All'!P83</f>
        <v>24910.171666666665</v>
      </c>
    </row>
    <row r="18" spans="1:16">
      <c r="B18" s="7" t="s">
        <v>61</v>
      </c>
      <c r="C18" s="8">
        <f>'T&amp;F-All'!C84</f>
        <v>1249.2800000000002</v>
      </c>
      <c r="D18" s="8">
        <f>'T&amp;F-All'!D84</f>
        <v>1110.7666666666667</v>
      </c>
      <c r="E18" s="8">
        <f>'T&amp;F-All'!E84</f>
        <v>1027.4566666666667</v>
      </c>
      <c r="F18" s="8">
        <f>'T&amp;F-All'!F84</f>
        <v>858.45333333333349</v>
      </c>
      <c r="G18" s="451">
        <f>'T&amp;F-All'!G84</f>
        <v>849.03666666666675</v>
      </c>
      <c r="H18" s="451">
        <f>'T&amp;F-All'!H84</f>
        <v>842.8366666666667</v>
      </c>
      <c r="I18" s="8">
        <f>'T&amp;F-All'!I84</f>
        <v>1031.2183333333332</v>
      </c>
      <c r="J18" s="8">
        <f>'T&amp;F-All'!J84</f>
        <v>1012.71</v>
      </c>
      <c r="K18" s="8">
        <f>'T&amp;F-All'!K84</f>
        <v>1191.75</v>
      </c>
      <c r="L18" s="8">
        <f>'T&amp;F-All'!L84</f>
        <v>941.41750000000002</v>
      </c>
      <c r="M18" s="8">
        <f>'T&amp;F-All'!M84</f>
        <v>1040.96</v>
      </c>
      <c r="N18" s="8">
        <f>'T&amp;F-All'!N84</f>
        <v>1299.2</v>
      </c>
      <c r="O18" s="8"/>
      <c r="P18" s="197">
        <f>'T&amp;F-All'!P84</f>
        <v>1037.9238194444445</v>
      </c>
    </row>
    <row r="19" spans="1:16" ht="5.0999999999999996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 s="198"/>
    </row>
    <row r="20" spans="1:16">
      <c r="A20" s="6" t="s">
        <v>64</v>
      </c>
    </row>
    <row r="21" spans="1:16">
      <c r="B21" s="7" t="s">
        <v>63</v>
      </c>
      <c r="C21" s="8">
        <f>'T&amp;F-All'!C92</f>
        <v>17136.96</v>
      </c>
      <c r="D21" s="8">
        <f>'T&amp;F-All'!D92</f>
        <v>15793.119999999997</v>
      </c>
      <c r="E21" s="8">
        <f>'T&amp;F-All'!E92</f>
        <v>11070.64</v>
      </c>
      <c r="F21" s="8"/>
      <c r="G21" s="8"/>
      <c r="H21" s="8"/>
      <c r="I21" s="8"/>
      <c r="J21" s="8"/>
      <c r="K21" s="8"/>
      <c r="L21" s="8">
        <f>'T&amp;F-All'!L92</f>
        <v>14658.180000000002</v>
      </c>
      <c r="M21" s="8"/>
      <c r="N21" s="8"/>
      <c r="O21" s="8"/>
      <c r="P21" s="197">
        <f>'T&amp;F-All'!P92</f>
        <v>14664.724999999999</v>
      </c>
    </row>
    <row r="22" spans="1:16">
      <c r="B22" s="7" t="s">
        <v>61</v>
      </c>
      <c r="C22" s="8">
        <f>'T&amp;F-All'!C93</f>
        <v>714.04</v>
      </c>
      <c r="D22" s="8">
        <f>'T&amp;F-All'!D93</f>
        <v>658.04666666666651</v>
      </c>
      <c r="E22" s="8">
        <f>'T&amp;F-All'!E93</f>
        <v>461.27666666666664</v>
      </c>
      <c r="F22" s="8"/>
      <c r="G22" s="8"/>
      <c r="H22" s="8"/>
      <c r="I22" s="8"/>
      <c r="J22" s="8"/>
      <c r="K22" s="8"/>
      <c r="L22" s="8">
        <f>'T&amp;F-All'!L93</f>
        <v>610.75750000000005</v>
      </c>
      <c r="M22" s="8"/>
      <c r="N22" s="8"/>
      <c r="O22" s="8"/>
      <c r="P22" s="197">
        <f>'T&amp;F-All'!P93</f>
        <v>611.03020833333335</v>
      </c>
    </row>
    <row r="23" spans="1:16" ht="6.95" customHeight="1">
      <c r="B23" s="16"/>
    </row>
    <row r="24" spans="1:16">
      <c r="A24" s="6" t="s">
        <v>169</v>
      </c>
    </row>
    <row r="25" spans="1:16">
      <c r="B25" s="7" t="s">
        <v>63</v>
      </c>
      <c r="C25" s="8">
        <f>'T&amp;F-All'!C101</f>
        <v>32628.720000000001</v>
      </c>
      <c r="D25" s="8">
        <f>'T&amp;F-All'!D101</f>
        <v>31802.800000000003</v>
      </c>
      <c r="E25" s="8">
        <f>'T&amp;F-All'!E101</f>
        <v>26479.359999999997</v>
      </c>
      <c r="F25" s="8"/>
      <c r="G25" s="8"/>
      <c r="H25" s="8"/>
      <c r="I25" s="8"/>
      <c r="J25" s="8"/>
      <c r="K25" s="8"/>
      <c r="L25" s="8">
        <f>'T&amp;F-All'!L101</f>
        <v>25685.940000000002</v>
      </c>
      <c r="M25" s="8"/>
      <c r="N25" s="8"/>
      <c r="O25" s="8"/>
      <c r="P25" s="197">
        <f>'T&amp;F-All'!P101</f>
        <v>29149.205000000002</v>
      </c>
    </row>
    <row r="26" spans="1:16">
      <c r="B26" s="7" t="s">
        <v>61</v>
      </c>
      <c r="C26" s="8">
        <f>'T&amp;F-All'!C102</f>
        <v>1359.53</v>
      </c>
      <c r="D26" s="8">
        <f>'T&amp;F-All'!D102</f>
        <v>1325.1166666666668</v>
      </c>
      <c r="E26" s="8">
        <f>'T&amp;F-All'!E102</f>
        <v>1103.3066666666666</v>
      </c>
      <c r="F26" s="8"/>
      <c r="G26" s="8"/>
      <c r="H26" s="8"/>
      <c r="I26" s="8"/>
      <c r="J26" s="8"/>
      <c r="K26" s="8"/>
      <c r="L26" s="8">
        <f>'T&amp;F-All'!L102</f>
        <v>1070.2475000000002</v>
      </c>
      <c r="M26" s="8"/>
      <c r="N26" s="8"/>
      <c r="O26" s="8"/>
      <c r="P26" s="197">
        <f>'T&amp;F-All'!P102</f>
        <v>1214.5502083333333</v>
      </c>
    </row>
    <row r="27" spans="1:16" ht="6.6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 s="198"/>
    </row>
    <row r="28" spans="1:16">
      <c r="A28" s="6" t="s">
        <v>248</v>
      </c>
    </row>
    <row r="29" spans="1:16">
      <c r="B29" s="7" t="s">
        <v>46</v>
      </c>
      <c r="C29" s="8">
        <f>'T&amp;F-All'!C111</f>
        <v>35412.300000000003</v>
      </c>
      <c r="D29" s="8">
        <f>'T&amp;F-All'!D111</f>
        <v>22944.07</v>
      </c>
      <c r="E29" s="8"/>
      <c r="F29" s="8">
        <f>'T&amp;F-All'!F111</f>
        <v>33835.310000000005</v>
      </c>
      <c r="G29" s="451"/>
      <c r="H29" s="451"/>
      <c r="I29" s="8"/>
      <c r="J29" s="8"/>
      <c r="K29" s="8">
        <f>'T&amp;F-All'!K111</f>
        <v>26283.199999999997</v>
      </c>
      <c r="L29" s="8">
        <f>'T&amp;F-All'!L111</f>
        <v>37282.950000000004</v>
      </c>
      <c r="M29" s="8"/>
      <c r="N29" s="8"/>
      <c r="O29" s="8"/>
      <c r="P29" s="197">
        <f>'T&amp;F-All'!P111</f>
        <v>30710.078333333338</v>
      </c>
    </row>
    <row r="30" spans="1:16" ht="6" customHeight="1">
      <c r="B30" s="16"/>
      <c r="G30" s="449"/>
      <c r="H30" s="449"/>
    </row>
    <row r="31" spans="1:16">
      <c r="A31" s="6" t="s">
        <v>249</v>
      </c>
      <c r="G31" s="449"/>
      <c r="H31" s="449"/>
    </row>
    <row r="32" spans="1:16">
      <c r="B32" s="7" t="s">
        <v>46</v>
      </c>
      <c r="C32" s="8">
        <f>'T&amp;F-All'!C119</f>
        <v>64652.54</v>
      </c>
      <c r="D32" s="8">
        <f>'T&amp;F-All'!D119</f>
        <v>57495.26</v>
      </c>
      <c r="E32" s="8"/>
      <c r="F32" s="8">
        <f>'T&amp;F-All'!F119</f>
        <v>55024.97</v>
      </c>
      <c r="G32" s="451"/>
      <c r="H32" s="451"/>
      <c r="I32" s="8"/>
      <c r="J32" s="8"/>
      <c r="K32" s="8">
        <f>'T&amp;F-All'!K119</f>
        <v>54298.799999999996</v>
      </c>
      <c r="L32" s="8">
        <f>'T&amp;F-All'!L119</f>
        <v>68782.95</v>
      </c>
      <c r="M32" s="8"/>
      <c r="N32" s="8"/>
      <c r="O32" s="8"/>
      <c r="P32" s="197">
        <f>'T&amp;F-All'!P119</f>
        <v>60241.780000000006</v>
      </c>
    </row>
    <row r="33" spans="1:16" ht="6.9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 s="198"/>
    </row>
    <row r="34" spans="1:16">
      <c r="A34" s="6" t="s">
        <v>250</v>
      </c>
    </row>
    <row r="35" spans="1:16">
      <c r="B35" s="7" t="s">
        <v>46</v>
      </c>
      <c r="C35" s="8">
        <f>'T&amp;F-All'!C128</f>
        <v>28100.22</v>
      </c>
      <c r="P35" s="197">
        <f>'T&amp;F-All'!P128</f>
        <v>28100.22</v>
      </c>
    </row>
    <row r="36" spans="1:16" ht="6" customHeight="1">
      <c r="B36" s="16"/>
    </row>
    <row r="37" spans="1:16">
      <c r="A37" s="6" t="s">
        <v>251</v>
      </c>
    </row>
    <row r="38" spans="1:16">
      <c r="B38" s="7" t="s">
        <v>46</v>
      </c>
      <c r="C38" s="8">
        <f>'T&amp;F-All'!C136</f>
        <v>49075.42</v>
      </c>
      <c r="P38" s="197">
        <f>'T&amp;F-All'!P136</f>
        <v>49075.42</v>
      </c>
    </row>
    <row r="39" spans="1:16" ht="8.1" customHeight="1">
      <c r="B39" s="7"/>
    </row>
    <row r="40" spans="1:16">
      <c r="A40" s="6" t="s">
        <v>252</v>
      </c>
    </row>
    <row r="41" spans="1:16">
      <c r="B41" s="7" t="s">
        <v>46</v>
      </c>
      <c r="C41" s="8">
        <f>'T&amp;F-All'!C145</f>
        <v>40325.700000000004</v>
      </c>
      <c r="P41" s="197">
        <f>'T&amp;F-All'!P145</f>
        <v>40325.700000000004</v>
      </c>
    </row>
    <row r="42" spans="1:16" ht="6.95" customHeight="1">
      <c r="B42" s="16"/>
    </row>
    <row r="43" spans="1:16">
      <c r="A43" s="6" t="s">
        <v>253</v>
      </c>
    </row>
    <row r="44" spans="1:16">
      <c r="B44" s="7" t="s">
        <v>46</v>
      </c>
      <c r="C44" s="8">
        <f>'T&amp;F-All'!C153</f>
        <v>66806.459999999992</v>
      </c>
      <c r="P44" s="197">
        <f>'T&amp;F-All'!P153</f>
        <v>66806.459999999992</v>
      </c>
    </row>
    <row r="45" spans="1:16" ht="6.9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 s="198"/>
    </row>
    <row r="46" spans="1:16">
      <c r="A46" s="6" t="s">
        <v>254</v>
      </c>
    </row>
    <row r="47" spans="1:16">
      <c r="B47" s="7" t="s">
        <v>46</v>
      </c>
      <c r="C47" s="8">
        <f>'T&amp;F-All'!C162</f>
        <v>22681.960000000003</v>
      </c>
      <c r="E47" s="8">
        <f>'T&amp;F-All'!E162</f>
        <v>9866.0799999999981</v>
      </c>
      <c r="P47" s="197">
        <f>'T&amp;F-All'!P162</f>
        <v>17730.156666666666</v>
      </c>
    </row>
    <row r="48" spans="1:16" ht="6.95" customHeight="1">
      <c r="B48" s="16"/>
    </row>
    <row r="49" spans="1:16">
      <c r="A49" s="6" t="s">
        <v>255</v>
      </c>
    </row>
    <row r="50" spans="1:16">
      <c r="B50" s="7" t="s">
        <v>46</v>
      </c>
      <c r="C50" s="8">
        <f>'T&amp;F-All'!C171</f>
        <v>45825.42</v>
      </c>
      <c r="E50" s="8">
        <f>'T&amp;F-All'!E171</f>
        <v>24658.959999999999</v>
      </c>
      <c r="P50" s="197">
        <f>'T&amp;F-All'!P171</f>
        <v>36265.936666666668</v>
      </c>
    </row>
    <row r="51" spans="1:16" ht="6.6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 s="198"/>
    </row>
    <row r="52" spans="1:16">
      <c r="A52" s="6" t="s">
        <v>256</v>
      </c>
    </row>
    <row r="53" spans="1:16">
      <c r="B53" s="7" t="s">
        <v>46</v>
      </c>
      <c r="C53" s="8">
        <f>'T&amp;F-All'!C180</f>
        <v>22491</v>
      </c>
      <c r="E53" s="8"/>
      <c r="F53" s="8">
        <f>'T&amp;F-All'!F180</f>
        <v>21163.24</v>
      </c>
      <c r="G53" s="8"/>
      <c r="H53" s="8"/>
      <c r="K53" s="8">
        <f>'T&amp;F-All'!K180</f>
        <v>22028</v>
      </c>
      <c r="L53" s="8"/>
      <c r="M53" s="8"/>
      <c r="N53" s="8"/>
      <c r="O53" s="8"/>
      <c r="P53" s="197">
        <f>'T&amp;F-All'!P180</f>
        <v>21894.080000000002</v>
      </c>
    </row>
    <row r="54" spans="1:16" ht="6.95" customHeight="1">
      <c r="B54" s="16"/>
    </row>
    <row r="55" spans="1:16">
      <c r="A55" s="6" t="s">
        <v>257</v>
      </c>
    </row>
    <row r="56" spans="1:16">
      <c r="B56" s="7" t="s">
        <v>46</v>
      </c>
      <c r="C56" s="8">
        <f>'T&amp;F-All'!C188</f>
        <v>31731</v>
      </c>
      <c r="D56" s="8"/>
      <c r="E56" s="8"/>
      <c r="F56" s="8">
        <f>'T&amp;F-All'!F188</f>
        <v>28380.560000000001</v>
      </c>
      <c r="G56" s="8"/>
      <c r="H56" s="8"/>
      <c r="K56" s="8">
        <f>'T&amp;F-All'!K188</f>
        <v>55004</v>
      </c>
      <c r="L56" s="8"/>
      <c r="M56" s="8"/>
      <c r="N56" s="8"/>
      <c r="P56" s="197">
        <f>'T&amp;F-All'!P188</f>
        <v>38371.853333333333</v>
      </c>
    </row>
    <row r="57" spans="1:16" ht="8.4499999999999993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 s="198"/>
    </row>
    <row r="58" spans="1:16">
      <c r="A58" s="6" t="s">
        <v>258</v>
      </c>
    </row>
    <row r="59" spans="1:16">
      <c r="B59" s="7" t="s">
        <v>46</v>
      </c>
      <c r="C59" s="8">
        <f>'T&amp;F-All'!C197</f>
        <v>15144.6</v>
      </c>
      <c r="P59" s="197">
        <f>'T&amp;F-All'!P197</f>
        <v>15144.6</v>
      </c>
    </row>
    <row r="60" spans="1:16" ht="8.1" customHeight="1">
      <c r="B60" s="16"/>
    </row>
    <row r="61" spans="1:16">
      <c r="A61" s="6" t="s">
        <v>259</v>
      </c>
    </row>
    <row r="62" spans="1:16">
      <c r="B62" s="7" t="s">
        <v>46</v>
      </c>
      <c r="C62" s="8">
        <f>'T&amp;F-All'!C205</f>
        <v>32538.1</v>
      </c>
      <c r="P62" s="197">
        <f>'T&amp;F-All'!P205</f>
        <v>32538.1</v>
      </c>
    </row>
    <row r="63" spans="1:16" ht="6.6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198"/>
    </row>
    <row r="64" spans="1:16">
      <c r="A64" s="6" t="s">
        <v>260</v>
      </c>
    </row>
    <row r="65" spans="1:16">
      <c r="B65" s="7" t="s">
        <v>46</v>
      </c>
      <c r="C65" s="8"/>
      <c r="M65" s="8">
        <f>'T&amp;F-All'!M214</f>
        <v>16373.76</v>
      </c>
      <c r="P65" s="197">
        <f>'T&amp;F-All'!P214</f>
        <v>16373.76</v>
      </c>
    </row>
    <row r="66" spans="1:16" ht="6" customHeight="1">
      <c r="B66" s="16"/>
    </row>
    <row r="67" spans="1:16">
      <c r="A67" s="6" t="s">
        <v>261</v>
      </c>
    </row>
    <row r="68" spans="1:16">
      <c r="B68" s="7" t="s">
        <v>46</v>
      </c>
      <c r="C68" s="8"/>
      <c r="M68" s="8">
        <f>'T&amp;F-All'!M221</f>
        <v>36137.279999999999</v>
      </c>
      <c r="P68" s="197">
        <f>'T&amp;F-All'!P221</f>
        <v>36137.279999999999</v>
      </c>
    </row>
    <row r="69" spans="1:16" ht="13.5">
      <c r="B69" s="140" t="s">
        <v>287</v>
      </c>
    </row>
    <row r="70" spans="1:16" ht="13.5">
      <c r="B70" s="140" t="s">
        <v>288</v>
      </c>
    </row>
  </sheetData>
  <phoneticPr fontId="0" type="noConversion"/>
  <printOptions horizontalCentered="1"/>
  <pageMargins left="0" right="0" top="0.5" bottom="0.5" header="0.25" footer="0.25"/>
  <pageSetup scale="68" orientation="landscape" r:id="rId1"/>
  <headerFooter alignWithMargins="0">
    <oddFooter>&amp;R&amp;8Office of Institutional Research, SUS, &amp;F,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49"/>
  <sheetViews>
    <sheetView showZeros="0" view="pageBreakPreview" zoomScale="60" zoomScaleNormal="70" workbookViewId="0">
      <selection activeCell="C64" sqref="C64"/>
    </sheetView>
  </sheetViews>
  <sheetFormatPr defaultColWidth="9.140625" defaultRowHeight="12.75"/>
  <cols>
    <col min="1" max="1" width="12.7109375" style="4" customWidth="1"/>
    <col min="2" max="2" width="32.140625" style="4" customWidth="1"/>
    <col min="3" max="16" width="10.7109375" style="4" bestFit="1" customWidth="1"/>
    <col min="17" max="17" width="10.5703125" style="4" hidden="1" customWidth="1"/>
    <col min="18" max="16384" width="9.140625" style="4"/>
  </cols>
  <sheetData>
    <row r="1" spans="1:17" ht="25.5">
      <c r="A1" s="1" t="s">
        <v>269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21" customHeight="1">
      <c r="A2" s="1" t="s">
        <v>276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5" t="s">
        <v>130</v>
      </c>
    </row>
    <row r="3" spans="1:17" ht="6.95" customHeight="1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5"/>
    </row>
    <row r="4" spans="1:17">
      <c r="C4" s="5" t="s">
        <v>0</v>
      </c>
      <c r="D4" s="5" t="s">
        <v>1</v>
      </c>
      <c r="E4" s="5" t="s">
        <v>2</v>
      </c>
      <c r="F4" s="450" t="s">
        <v>272</v>
      </c>
      <c r="G4" s="450" t="s">
        <v>284</v>
      </c>
      <c r="H4" s="450" t="s">
        <v>285</v>
      </c>
      <c r="I4" s="5" t="s">
        <v>4</v>
      </c>
      <c r="J4" s="5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5" t="s">
        <v>280</v>
      </c>
      <c r="Q4" s="5" t="s">
        <v>11</v>
      </c>
    </row>
    <row r="5" spans="1:17">
      <c r="A5" s="6" t="s">
        <v>12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>
      <c r="A6" s="6"/>
      <c r="B6" s="7" t="s">
        <v>13</v>
      </c>
      <c r="C6" s="8">
        <f>'Survey Template'!C107</f>
        <v>16.059999999999999</v>
      </c>
      <c r="D6" s="8">
        <f>'Survey Template'!D107</f>
        <v>12.24</v>
      </c>
      <c r="E6" s="8">
        <f>'Survey Template'!E107</f>
        <v>10.5</v>
      </c>
      <c r="F6" s="8">
        <f>'Survey Template'!F107</f>
        <v>11.71</v>
      </c>
      <c r="G6" s="451">
        <f>'Survey Template'!G107</f>
        <v>25.05</v>
      </c>
      <c r="H6" s="451">
        <f>'Survey Template'!H107</f>
        <v>20.190000000000001</v>
      </c>
      <c r="I6" s="8">
        <f>'Survey Template'!I107</f>
        <v>12.32</v>
      </c>
      <c r="J6" s="8">
        <f>'Survey Template'!J107</f>
        <v>13.3</v>
      </c>
      <c r="K6" s="8">
        <f>'Survey Template'!K107</f>
        <v>10.79</v>
      </c>
      <c r="L6" s="8">
        <f>'Survey Template'!L107</f>
        <v>12.87</v>
      </c>
      <c r="M6" s="8">
        <f>'Survey Template'!M107</f>
        <v>14.47</v>
      </c>
      <c r="N6" s="8">
        <f>'Survey Template'!N107</f>
        <v>11.24</v>
      </c>
      <c r="O6" s="8">
        <f>'Survey Template'!O107</f>
        <v>16.649999999999999</v>
      </c>
      <c r="P6" s="8">
        <f t="array" ref="P6">AVERAGE(IF(C6:O6&lt;&gt;0,C6:O6,""))</f>
        <v>14.414615384615386</v>
      </c>
      <c r="Q6" s="159"/>
    </row>
    <row r="7" spans="1:17">
      <c r="A7" s="6"/>
      <c r="B7" s="7" t="s">
        <v>14</v>
      </c>
      <c r="C7" s="8">
        <f>'Survey Template'!C110</f>
        <v>1.9</v>
      </c>
      <c r="D7" s="8">
        <f>'Survey Template'!D110</f>
        <v>7.54</v>
      </c>
      <c r="E7" s="8">
        <f>'Survey Template'!E110</f>
        <v>13.969999999999999</v>
      </c>
      <c r="F7" s="8">
        <f>'Survey Template'!F110</f>
        <v>14.46</v>
      </c>
      <c r="G7" s="451">
        <f>'Survey Template'!G110</f>
        <v>2.4500000000000002</v>
      </c>
      <c r="H7" s="451">
        <f>'Survey Template'!H110</f>
        <v>4.2300000000000004</v>
      </c>
      <c r="I7" s="8">
        <f>'Survey Template'!I110</f>
        <v>17.27</v>
      </c>
      <c r="J7" s="8">
        <f>'Survey Template'!J110</f>
        <v>19.39</v>
      </c>
      <c r="K7" s="8">
        <f>'Survey Template'!K110</f>
        <v>13.44</v>
      </c>
      <c r="L7" s="8">
        <f>'Survey Template'!L110</f>
        <v>14.1</v>
      </c>
      <c r="M7" s="8">
        <f>'Survey Template'!M110</f>
        <v>14.33</v>
      </c>
      <c r="N7" s="8">
        <f>'Survey Template'!N110</f>
        <v>12.79</v>
      </c>
      <c r="O7" s="8">
        <f>'Survey Template'!O110</f>
        <v>6.28</v>
      </c>
      <c r="P7" s="8">
        <f t="array" ref="P7">AVERAGE(IF(C7:O7&lt;&gt;0,C7:O7,""))</f>
        <v>10.934615384615382</v>
      </c>
      <c r="Q7" s="159"/>
    </row>
    <row r="8" spans="1:17">
      <c r="A8" s="6"/>
      <c r="B8" s="7" t="s">
        <v>113</v>
      </c>
      <c r="C8" s="8">
        <f>'Survey Template'!C111</f>
        <v>0</v>
      </c>
      <c r="D8" s="8">
        <f>'Survey Template'!D111</f>
        <v>0</v>
      </c>
      <c r="E8" s="8">
        <f>'Survey Template'!E111</f>
        <v>0</v>
      </c>
      <c r="F8" s="8">
        <f>'Survey Template'!F111</f>
        <v>0</v>
      </c>
      <c r="G8" s="451">
        <f>'Survey Template'!G111</f>
        <v>0</v>
      </c>
      <c r="H8" s="451">
        <f>'Survey Template'!H111</f>
        <v>0</v>
      </c>
      <c r="I8" s="8">
        <f>'Survey Template'!I111</f>
        <v>0</v>
      </c>
      <c r="J8" s="8">
        <f>'Survey Template'!J111</f>
        <v>0</v>
      </c>
      <c r="K8" s="8">
        <f>'Survey Template'!K111</f>
        <v>0</v>
      </c>
      <c r="L8" s="8">
        <f>'Survey Template'!L111</f>
        <v>2</v>
      </c>
      <c r="M8" s="8">
        <f>'Survey Template'!M111</f>
        <v>2</v>
      </c>
      <c r="N8" s="8">
        <f>'Survey Template'!N111</f>
        <v>4</v>
      </c>
      <c r="O8" s="8">
        <f>'Survey Template'!O111</f>
        <v>0</v>
      </c>
      <c r="P8" s="8">
        <f t="array" ref="P8">AVERAGE(IF(C8:O8&lt;&gt;0,C8:O8,""))</f>
        <v>2.6666666666666665</v>
      </c>
    </row>
    <row r="9" spans="1:17">
      <c r="A9" s="6"/>
      <c r="B9" s="7" t="s">
        <v>15</v>
      </c>
      <c r="C9" s="8">
        <f>'Survey Template'!C115</f>
        <v>13.82</v>
      </c>
      <c r="D9" s="8">
        <f>'Survey Template'!D115</f>
        <v>13.42</v>
      </c>
      <c r="E9" s="8">
        <f>'Survey Template'!E115</f>
        <v>6.91</v>
      </c>
      <c r="F9" s="8">
        <f>'Survey Template'!F115</f>
        <v>9.73</v>
      </c>
      <c r="G9" s="451">
        <f>'Survey Template'!G115</f>
        <v>3.9</v>
      </c>
      <c r="H9" s="451">
        <f>'Survey Template'!H115</f>
        <v>4.03</v>
      </c>
      <c r="I9" s="8">
        <f>'Survey Template'!I115</f>
        <v>9.42</v>
      </c>
      <c r="J9" s="8">
        <f>'Survey Template'!J115</f>
        <v>7.23</v>
      </c>
      <c r="K9" s="8">
        <f>'Survey Template'!K115</f>
        <v>10.3</v>
      </c>
      <c r="L9" s="8">
        <f>'Survey Template'!L115</f>
        <v>0</v>
      </c>
      <c r="M9" s="8">
        <f>'Survey Template'!M115</f>
        <v>9.76</v>
      </c>
      <c r="N9" s="8">
        <f>'Survey Template'!N115</f>
        <v>8.7899999999999991</v>
      </c>
      <c r="O9" s="8">
        <f>'Survey Template'!O115</f>
        <v>4.58</v>
      </c>
      <c r="P9" s="8">
        <f t="array" ref="P9">AVERAGE(IF(C9:O9&lt;&gt;0,C9:O9,""))</f>
        <v>8.4908333333333328</v>
      </c>
    </row>
    <row r="10" spans="1:17">
      <c r="B10" s="51" t="s">
        <v>144</v>
      </c>
      <c r="C10" s="50">
        <f>'Survey Template'!C118</f>
        <v>8.41</v>
      </c>
      <c r="D10" s="50">
        <f>'Survey Template'!D118</f>
        <v>8.9</v>
      </c>
      <c r="E10" s="50">
        <f>'Survey Template'!E118</f>
        <v>0</v>
      </c>
      <c r="F10" s="50">
        <f>'Survey Template'!F118</f>
        <v>3</v>
      </c>
      <c r="G10" s="453">
        <f>'Survey Template'!G118</f>
        <v>2.25</v>
      </c>
      <c r="H10" s="453">
        <f>'Survey Template'!H118</f>
        <v>0</v>
      </c>
      <c r="I10" s="50">
        <f>'Survey Template'!I118</f>
        <v>0</v>
      </c>
      <c r="J10" s="50">
        <f>'Survey Template'!J118</f>
        <v>8</v>
      </c>
      <c r="K10" s="50">
        <f>'Survey Template'!K118</f>
        <v>9.1</v>
      </c>
      <c r="L10" s="50">
        <f>'Survey Template'!L118</f>
        <v>0</v>
      </c>
      <c r="M10" s="50">
        <f>'Survey Template'!M118</f>
        <v>4.08</v>
      </c>
      <c r="N10" s="50">
        <f>'Survey Template'!N118</f>
        <v>8.6999999999999993</v>
      </c>
      <c r="O10" s="50">
        <f>'Survey Template'!O118</f>
        <v>0</v>
      </c>
      <c r="P10" s="8">
        <f t="array" ref="P10">AVERAGE(IF(C10:O10&lt;&gt;0,C10:O10,""))</f>
        <v>6.5549999999999997</v>
      </c>
    </row>
    <row r="11" spans="1:17">
      <c r="B11" s="51" t="s">
        <v>229</v>
      </c>
      <c r="C11" s="50">
        <f>'Survey Template'!C122</f>
        <v>0</v>
      </c>
      <c r="D11" s="50">
        <f>'Survey Template'!D122</f>
        <v>0</v>
      </c>
      <c r="E11" s="50">
        <f>'Survey Template'!E122</f>
        <v>0</v>
      </c>
      <c r="F11" s="50">
        <f>'Survey Template'!F122</f>
        <v>1</v>
      </c>
      <c r="G11" s="453">
        <f>'Survey Template'!G122</f>
        <v>1</v>
      </c>
      <c r="H11" s="453">
        <f>'Survey Template'!H122</f>
        <v>0</v>
      </c>
      <c r="I11" s="50">
        <f>'Survey Template'!I122</f>
        <v>0</v>
      </c>
      <c r="J11" s="50">
        <f>'Survey Template'!J122</f>
        <v>0.75</v>
      </c>
      <c r="K11" s="50">
        <f>'Survey Template'!K122</f>
        <v>0</v>
      </c>
      <c r="L11" s="50">
        <f>'Survey Template'!L122</f>
        <v>0</v>
      </c>
      <c r="M11" s="50">
        <f>'Survey Template'!M122</f>
        <v>0</v>
      </c>
      <c r="N11" s="50">
        <f>'Survey Template'!N122</f>
        <v>0</v>
      </c>
      <c r="O11" s="50">
        <f>'Survey Template'!O122</f>
        <v>1</v>
      </c>
      <c r="P11" s="8">
        <f t="array" ref="P11">AVERAGE(IF(C11:O11&lt;&gt;0,C11:O11,""))</f>
        <v>0.9375</v>
      </c>
    </row>
    <row r="12" spans="1:17" ht="66" customHeight="1" thickBot="1">
      <c r="A12" s="6"/>
      <c r="B12" s="275" t="s">
        <v>230</v>
      </c>
      <c r="C12" s="9">
        <f>'Survey Template'!C162</f>
        <v>0</v>
      </c>
      <c r="D12" s="9">
        <f>'Survey Template'!D162</f>
        <v>2</v>
      </c>
      <c r="E12" s="9">
        <f>'Survey Template'!E162</f>
        <v>0</v>
      </c>
      <c r="F12" s="9">
        <f>'Survey Template'!F162</f>
        <v>1.5</v>
      </c>
      <c r="G12" s="452">
        <f>'Survey Template'!G162</f>
        <v>0</v>
      </c>
      <c r="H12" s="452">
        <f>'Survey Template'!H162</f>
        <v>0</v>
      </c>
      <c r="I12" s="9">
        <f>'Survey Template'!I162</f>
        <v>0</v>
      </c>
      <c r="J12" s="9">
        <f>'Survey Template'!J162</f>
        <v>0</v>
      </c>
      <c r="K12" s="9">
        <f>'Survey Template'!K162</f>
        <v>0</v>
      </c>
      <c r="L12" s="9">
        <f>'Survey Template'!L162</f>
        <v>0</v>
      </c>
      <c r="M12" s="9">
        <f>'Survey Template'!M162+'Survey Template'!M123</f>
        <v>5.16</v>
      </c>
      <c r="N12" s="9">
        <f>'Survey Template'!N162</f>
        <v>0</v>
      </c>
      <c r="O12" s="9"/>
      <c r="P12" s="8">
        <f t="array" ref="P12">AVERAGE(IF(C12:O12&lt;&gt;0,C12:O12,""))</f>
        <v>2.8866666666666667</v>
      </c>
    </row>
    <row r="13" spans="1:17">
      <c r="B13" s="168" t="s">
        <v>17</v>
      </c>
      <c r="C13" s="8">
        <f>SUM(C6:C12)</f>
        <v>40.19</v>
      </c>
      <c r="D13" s="8">
        <f>SUM(D6:D12)</f>
        <v>44.1</v>
      </c>
      <c r="E13" s="8">
        <f t="shared" ref="E13:N13" si="0">SUM(E6:E12)</f>
        <v>31.38</v>
      </c>
      <c r="F13" s="8">
        <f>SUM(F6:F12)</f>
        <v>41.400000000000006</v>
      </c>
      <c r="G13" s="451">
        <f t="shared" ref="G13:H13" si="1">SUM(G6:G12)</f>
        <v>34.65</v>
      </c>
      <c r="H13" s="451">
        <f t="shared" si="1"/>
        <v>28.450000000000003</v>
      </c>
      <c r="I13" s="8">
        <f>SUM(I6:I12)</f>
        <v>39.01</v>
      </c>
      <c r="J13" s="8">
        <f>SUM(J6:J12)</f>
        <v>48.67</v>
      </c>
      <c r="K13" s="8">
        <f t="shared" si="0"/>
        <v>43.63</v>
      </c>
      <c r="L13" s="8">
        <f t="shared" si="0"/>
        <v>28.97</v>
      </c>
      <c r="M13" s="8">
        <f>SUM(M6:M12)</f>
        <v>49.8</v>
      </c>
      <c r="N13" s="8">
        <f t="shared" si="0"/>
        <v>45.519999999999996</v>
      </c>
      <c r="O13" s="8">
        <f>SUM(O6:O12)</f>
        <v>28.509999999999998</v>
      </c>
      <c r="P13" s="8">
        <f t="array" ref="P13">AVERAGE(IF(C13:O13&lt;&gt;0,C13:O13,""))</f>
        <v>38.790769230769236</v>
      </c>
    </row>
    <row r="14" spans="1:17" ht="8.1" customHeight="1">
      <c r="B14" s="168"/>
      <c r="C14" s="8"/>
      <c r="D14" s="8"/>
      <c r="E14" s="8"/>
      <c r="F14" s="8"/>
      <c r="G14" s="451"/>
      <c r="H14" s="451"/>
      <c r="I14" s="8"/>
      <c r="J14" s="8"/>
      <c r="K14" s="8"/>
      <c r="L14" s="8"/>
      <c r="M14" s="8"/>
      <c r="N14" s="8"/>
      <c r="O14" s="8"/>
      <c r="P14" s="8"/>
    </row>
    <row r="15" spans="1:17">
      <c r="B15" s="51" t="s">
        <v>166</v>
      </c>
      <c r="C15" s="50">
        <f>'Survey Template'!C130</f>
        <v>5.16</v>
      </c>
      <c r="D15" s="50">
        <f>'Survey Template'!D130</f>
        <v>5.16</v>
      </c>
      <c r="E15" s="50">
        <f>'Survey Template'!E130</f>
        <v>5.16</v>
      </c>
      <c r="F15" s="50">
        <f>'Survey Template'!F130</f>
        <v>5.16</v>
      </c>
      <c r="G15" s="453">
        <f>'Survey Template'!G130</f>
        <v>5.16</v>
      </c>
      <c r="H15" s="453">
        <f>'Survey Template'!H130</f>
        <v>5.16</v>
      </c>
      <c r="I15" s="50">
        <f>'Survey Template'!I130</f>
        <v>5.16</v>
      </c>
      <c r="J15" s="50">
        <f>'Survey Template'!J130</f>
        <v>5.16</v>
      </c>
      <c r="K15" s="50">
        <f>'Survey Template'!K130</f>
        <v>5.16</v>
      </c>
      <c r="L15" s="50">
        <f>'Survey Template'!L130</f>
        <v>5.16</v>
      </c>
      <c r="M15" s="50">
        <f>'Survey Template'!M130</f>
        <v>5.16</v>
      </c>
      <c r="N15" s="50">
        <f>'Survey Template'!N130</f>
        <v>5.15</v>
      </c>
      <c r="O15" s="50">
        <f>'Survey Template'!O130</f>
        <v>5.16</v>
      </c>
      <c r="P15" s="8">
        <f t="array" ref="P15">AVERAGE(IF(C15:O15&lt;&gt;0,C15:O15,""))</f>
        <v>5.1592307692307688</v>
      </c>
    </row>
    <row r="16" spans="1:17" ht="11.1" customHeight="1">
      <c r="B16" s="194"/>
      <c r="C16" s="8"/>
      <c r="D16" s="8"/>
      <c r="E16" s="8"/>
      <c r="F16" s="50"/>
      <c r="G16" s="50"/>
      <c r="H16" s="50"/>
      <c r="I16" s="8"/>
      <c r="J16" s="8"/>
      <c r="K16" s="8"/>
      <c r="L16" s="8"/>
      <c r="M16" s="8"/>
      <c r="N16" s="8"/>
      <c r="O16" s="8"/>
      <c r="P16" s="8"/>
    </row>
    <row r="17" spans="1:19">
      <c r="A17" s="6" t="s">
        <v>18</v>
      </c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9">
      <c r="B18" s="7" t="s">
        <v>13</v>
      </c>
      <c r="C18" s="8">
        <f>'Survey Template'!C108</f>
        <v>0</v>
      </c>
      <c r="D18" s="8">
        <f>'Survey Template'!D108</f>
        <v>0</v>
      </c>
      <c r="E18" s="8">
        <f>'Survey Template'!E108</f>
        <v>0</v>
      </c>
      <c r="F18" s="8">
        <f>'Survey Template'!F108</f>
        <v>7</v>
      </c>
      <c r="G18" s="451">
        <f>'Survey Template'!G108</f>
        <v>0</v>
      </c>
      <c r="H18" s="451">
        <f>'Survey Template'!H108</f>
        <v>0</v>
      </c>
      <c r="I18" s="8">
        <f>'Survey Template'!I108</f>
        <v>0</v>
      </c>
      <c r="J18" s="8">
        <f>'Survey Template'!J108</f>
        <v>0</v>
      </c>
      <c r="K18" s="8">
        <f>'Survey Template'!K108</f>
        <v>0</v>
      </c>
      <c r="L18" s="8">
        <f>'Survey Template'!L108</f>
        <v>0</v>
      </c>
      <c r="M18" s="8">
        <f>'Survey Template'!M108</f>
        <v>0</v>
      </c>
      <c r="N18" s="8">
        <f>'Survey Template'!N108</f>
        <v>0</v>
      </c>
      <c r="O18" s="8">
        <f>'Survey Template'!O108</f>
        <v>0</v>
      </c>
      <c r="P18" s="8">
        <f t="array" ref="P18">AVERAGE(IF(C18:O18&lt;&gt;0,C18:O18,""))</f>
        <v>7</v>
      </c>
    </row>
    <row r="19" spans="1:19">
      <c r="B19" s="7" t="s">
        <v>14</v>
      </c>
      <c r="C19" s="8">
        <f>'Survey Template'!C113</f>
        <v>0</v>
      </c>
      <c r="D19" s="8">
        <f>'Survey Template'!D113</f>
        <v>0</v>
      </c>
      <c r="E19" s="8">
        <f>'Survey Template'!E113</f>
        <v>0</v>
      </c>
      <c r="F19" s="8">
        <f>'Survey Template'!F113</f>
        <v>10</v>
      </c>
      <c r="G19" s="451">
        <f>'Survey Template'!G113</f>
        <v>5</v>
      </c>
      <c r="H19" s="451">
        <f>'Survey Template'!H113</f>
        <v>5</v>
      </c>
      <c r="I19" s="8">
        <f>'Survey Template'!I113</f>
        <v>0</v>
      </c>
      <c r="J19" s="8">
        <f>'Survey Template'!J113</f>
        <v>0</v>
      </c>
      <c r="K19" s="8">
        <f>'Survey Template'!K113</f>
        <v>0</v>
      </c>
      <c r="L19" s="8">
        <f>'Survey Template'!L113</f>
        <v>10</v>
      </c>
      <c r="M19" s="8">
        <f>'Survey Template'!M113</f>
        <v>0</v>
      </c>
      <c r="N19" s="8">
        <f>'Survey Template'!N113</f>
        <v>0</v>
      </c>
      <c r="O19" s="8">
        <f>'Survey Template'!O113</f>
        <v>0</v>
      </c>
      <c r="P19" s="8">
        <f t="array" ref="P19">AVERAGE(IF(C19:O19&lt;&gt;0,C19:O19,""))</f>
        <v>7.5</v>
      </c>
    </row>
    <row r="20" spans="1:19">
      <c r="B20" s="7" t="s">
        <v>15</v>
      </c>
      <c r="C20" s="8">
        <f>'Survey Template'!C116</f>
        <v>0</v>
      </c>
      <c r="D20" s="8">
        <f>'Survey Template'!D116</f>
        <v>0</v>
      </c>
      <c r="E20" s="8">
        <f>'Survey Template'!E116</f>
        <v>0</v>
      </c>
      <c r="F20" s="8">
        <f>'Survey Template'!F116</f>
        <v>0</v>
      </c>
      <c r="G20" s="451">
        <f>'Survey Template'!G116</f>
        <v>0</v>
      </c>
      <c r="H20" s="451">
        <f>'Survey Template'!H116</f>
        <v>0</v>
      </c>
      <c r="I20" s="8">
        <f>'Survey Template'!I116</f>
        <v>0</v>
      </c>
      <c r="J20" s="8">
        <f>'Survey Template'!J116</f>
        <v>0</v>
      </c>
      <c r="K20" s="8">
        <f>'Survey Template'!K116</f>
        <v>0</v>
      </c>
      <c r="L20" s="8">
        <f>'Survey Template'!L116</f>
        <v>83.19</v>
      </c>
      <c r="M20" s="8">
        <f>'Survey Template'!M116</f>
        <v>0</v>
      </c>
      <c r="N20" s="8">
        <f>'Survey Template'!N116</f>
        <v>0</v>
      </c>
      <c r="O20" s="8">
        <f>'Survey Template'!O116</f>
        <v>0</v>
      </c>
      <c r="P20" s="8">
        <f t="array" ref="P20">AVERAGE(IF(C20:O20&lt;&gt;0,C20:O20,""))</f>
        <v>83.19</v>
      </c>
    </row>
    <row r="21" spans="1:19">
      <c r="B21" s="51" t="s">
        <v>16</v>
      </c>
      <c r="C21" s="50">
        <f>'Survey Template'!C119</f>
        <v>0</v>
      </c>
      <c r="D21" s="50">
        <f>'Survey Template'!D119</f>
        <v>0</v>
      </c>
      <c r="E21" s="50">
        <f>'Survey Template'!E119</f>
        <v>65</v>
      </c>
      <c r="F21" s="50">
        <f>'Survey Template'!F119</f>
        <v>0</v>
      </c>
      <c r="G21" s="453">
        <f>'Survey Template'!G119</f>
        <v>0</v>
      </c>
      <c r="H21" s="453">
        <f>'Survey Template'!H119</f>
        <v>0</v>
      </c>
      <c r="I21" s="50">
        <f>'Survey Template'!I119</f>
        <v>76.900000000000006</v>
      </c>
      <c r="J21" s="50">
        <f>'Survey Template'!J119</f>
        <v>0</v>
      </c>
      <c r="K21" s="50">
        <f>'Survey Template'!K119</f>
        <v>0</v>
      </c>
      <c r="L21" s="8">
        <f>'Survey Template'!L119</f>
        <v>88.94</v>
      </c>
      <c r="M21" s="50">
        <f>'Survey Template'!M119</f>
        <v>0</v>
      </c>
      <c r="N21" s="50">
        <f>'Survey Template'!N119</f>
        <v>0</v>
      </c>
      <c r="O21" s="50">
        <f>'Survey Template'!O119</f>
        <v>0</v>
      </c>
      <c r="P21" s="8">
        <f t="array" ref="P21">AVERAGE(IF(C21:O21&lt;&gt;0,C21:O21,""))</f>
        <v>76.946666666666673</v>
      </c>
    </row>
    <row r="22" spans="1:19" ht="13.5" thickBot="1">
      <c r="A22" s="6"/>
      <c r="B22" s="7" t="s">
        <v>277</v>
      </c>
      <c r="C22" s="9">
        <f>'Survey Template'!C161</f>
        <v>0</v>
      </c>
      <c r="D22" s="9">
        <f>'Survey Template'!D161</f>
        <v>20</v>
      </c>
      <c r="E22" s="9">
        <f>'Survey Template'!E161</f>
        <v>0</v>
      </c>
      <c r="F22" s="9">
        <f>'Survey Template'!F161</f>
        <v>20</v>
      </c>
      <c r="G22" s="452">
        <f>'Survey Template'!G161</f>
        <v>0</v>
      </c>
      <c r="H22" s="452">
        <f>'Survey Template'!H161</f>
        <v>0</v>
      </c>
      <c r="I22" s="9">
        <f>'Survey Template'!I161</f>
        <v>0</v>
      </c>
      <c r="J22" s="9">
        <f>'Survey Template'!J161</f>
        <v>0</v>
      </c>
      <c r="K22" s="9">
        <f>'Survey Template'!K161</f>
        <v>0</v>
      </c>
      <c r="L22" s="9">
        <f>'Survey Template'!L161</f>
        <v>0</v>
      </c>
      <c r="M22" s="9">
        <f>'Survey Template'!M161</f>
        <v>0</v>
      </c>
      <c r="N22" s="9">
        <f>'Survey Template'!N161</f>
        <v>0</v>
      </c>
      <c r="O22" s="9">
        <f>'Survey Template'!O161</f>
        <v>0</v>
      </c>
      <c r="P22" s="8">
        <f t="array" ref="P22">AVERAGE(IF(C22:O22&lt;&gt;0,C22:O22,""))</f>
        <v>20</v>
      </c>
    </row>
    <row r="23" spans="1:19">
      <c r="B23" s="168" t="s">
        <v>17</v>
      </c>
      <c r="C23" s="8">
        <f>SUM(C18:C22)</f>
        <v>0</v>
      </c>
      <c r="D23" s="8">
        <f>SUM(D18:D22)</f>
        <v>20</v>
      </c>
      <c r="E23" s="8">
        <f>SUM(E18:E22)</f>
        <v>65</v>
      </c>
      <c r="F23" s="8">
        <f>SUM(F18:F22)</f>
        <v>37</v>
      </c>
      <c r="G23" s="451">
        <f t="shared" ref="G23:H23" si="2">SUM(G18:G22)</f>
        <v>5</v>
      </c>
      <c r="H23" s="451">
        <f t="shared" si="2"/>
        <v>5</v>
      </c>
      <c r="I23" s="8">
        <f>SUM(I18:I22)</f>
        <v>76.900000000000006</v>
      </c>
      <c r="J23" s="8">
        <f t="shared" ref="J23:O23" si="3">SUM(J18:J22)</f>
        <v>0</v>
      </c>
      <c r="K23" s="8">
        <f t="shared" si="3"/>
        <v>0</v>
      </c>
      <c r="L23" s="8">
        <f>SUM(L18:L22)</f>
        <v>182.13</v>
      </c>
      <c r="M23" s="8">
        <f t="shared" si="3"/>
        <v>0</v>
      </c>
      <c r="N23" s="8">
        <f t="shared" si="3"/>
        <v>0</v>
      </c>
      <c r="O23" s="8">
        <f t="shared" si="3"/>
        <v>0</v>
      </c>
      <c r="P23" s="8">
        <f t="array" ref="P23">AVERAGE(IF(C23:O23&lt;&gt;0,C23:O23,""))</f>
        <v>55.861428571428569</v>
      </c>
    </row>
    <row r="24" spans="1:19" ht="8.4499999999999993" customHeight="1">
      <c r="B24" s="51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8"/>
    </row>
    <row r="25" spans="1:19">
      <c r="A25" s="6" t="s">
        <v>283</v>
      </c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9">
      <c r="A26" s="10"/>
      <c r="B26" s="7" t="s">
        <v>22</v>
      </c>
      <c r="C26" s="8">
        <v>6.76</v>
      </c>
      <c r="D26" s="8">
        <v>4.76</v>
      </c>
      <c r="E26" s="8">
        <v>6.76</v>
      </c>
      <c r="F26" s="8">
        <v>6.76</v>
      </c>
      <c r="G26" s="451">
        <v>6.76</v>
      </c>
      <c r="H26" s="451">
        <v>6.76</v>
      </c>
      <c r="I26" s="8">
        <v>6.76</v>
      </c>
      <c r="J26" s="8">
        <v>6.76</v>
      </c>
      <c r="K26" s="8">
        <v>6.76</v>
      </c>
      <c r="L26" s="8">
        <v>6.76</v>
      </c>
      <c r="M26" s="8">
        <v>6.76</v>
      </c>
      <c r="N26" s="8">
        <v>6.76</v>
      </c>
      <c r="O26" s="8">
        <v>6.14</v>
      </c>
      <c r="P26" s="8">
        <f t="array" ref="P26">AVERAGE(IF(C26:O26&lt;&gt;0,C26:O26,""))</f>
        <v>6.5584615384615388</v>
      </c>
    </row>
    <row r="27" spans="1:19" s="19" customFormat="1" ht="6.6" customHeight="1">
      <c r="B27" s="5"/>
      <c r="P27" s="8"/>
      <c r="Q27"/>
      <c r="S27" s="20"/>
    </row>
    <row r="28" spans="1:19">
      <c r="A28" s="6" t="s">
        <v>24</v>
      </c>
      <c r="G28" s="449"/>
      <c r="H28" s="449"/>
    </row>
    <row r="29" spans="1:19">
      <c r="B29" s="7" t="s">
        <v>30</v>
      </c>
      <c r="C29" s="8">
        <f>'Survey Template'!C12</f>
        <v>103.32</v>
      </c>
      <c r="D29" s="8">
        <f>'Survey Template'!D12</f>
        <v>103.32</v>
      </c>
      <c r="E29" s="8">
        <f>'Survey Template'!E12</f>
        <v>103.32</v>
      </c>
      <c r="F29" s="8">
        <f>'Survey Template'!F12</f>
        <v>103.32</v>
      </c>
      <c r="G29" s="451">
        <f>'Survey Template'!G12</f>
        <v>103.32</v>
      </c>
      <c r="H29" s="451">
        <f>'Survey Template'!H12</f>
        <v>103.32</v>
      </c>
      <c r="I29" s="8">
        <f>'Survey Template'!I12</f>
        <v>103.32</v>
      </c>
      <c r="J29" s="8">
        <f>'Survey Template'!J12</f>
        <v>103.32</v>
      </c>
      <c r="K29" s="8">
        <f>'Survey Template'!K12</f>
        <v>103.32</v>
      </c>
      <c r="L29" s="8">
        <f>'Survey Template'!L12</f>
        <v>103.32</v>
      </c>
      <c r="M29" s="8">
        <f>'Survey Template'!M12</f>
        <v>103.32</v>
      </c>
      <c r="N29" s="8">
        <f>'Survey Template'!N12</f>
        <v>103.32</v>
      </c>
      <c r="O29" s="8">
        <f>'Survey Template'!O12</f>
        <v>103.32</v>
      </c>
      <c r="P29" s="8">
        <f t="array" ref="P29">AVERAGE(IF(C29:O29&lt;&gt;0,C29:O29,""))</f>
        <v>103.31999999999995</v>
      </c>
      <c r="Q29" s="159" t="e">
        <f>SUMPRODUCT(C29:O29,#REF!)/SUM(#REF!)</f>
        <v>#REF!</v>
      </c>
    </row>
    <row r="30" spans="1:19">
      <c r="B30" s="51" t="s">
        <v>275</v>
      </c>
      <c r="C30" s="50">
        <f>'Survey Template'!C13</f>
        <v>44.17</v>
      </c>
      <c r="D30" s="50">
        <f>'Survey Template'!D13</f>
        <v>49.59</v>
      </c>
      <c r="E30" s="50">
        <f>'Survey Template'!E13</f>
        <v>36.380000000000003</v>
      </c>
      <c r="F30" s="50">
        <f>'Survey Template'!F13</f>
        <v>46.88</v>
      </c>
      <c r="G30" s="453">
        <f>'Survey Template'!G13</f>
        <v>35.14</v>
      </c>
      <c r="H30" s="453">
        <f>'Survey Template'!H13</f>
        <v>35.14</v>
      </c>
      <c r="I30" s="50">
        <f>'Survey Template'!I13</f>
        <v>40.130000000000003</v>
      </c>
      <c r="J30" s="50">
        <f>'Survey Template'!J13</f>
        <v>38.880000000000003</v>
      </c>
      <c r="K30" s="50">
        <f>'Survey Template'!K13</f>
        <v>44.2</v>
      </c>
      <c r="L30" s="50">
        <f>'Survey Template'!L13</f>
        <v>52.29</v>
      </c>
      <c r="M30" s="50">
        <f>'Survey Template'!M13</f>
        <v>37.630000000000003</v>
      </c>
      <c r="N30" s="50">
        <f>'Survey Template'!N13</f>
        <v>36.380000000000003</v>
      </c>
      <c r="O30" s="50">
        <f>'Survey Template'!O13</f>
        <v>40.130000000000003</v>
      </c>
      <c r="P30" s="8">
        <f t="array" ref="P30">AVERAGE(IF(C30:O30&lt;&gt;0,C30:O30,""))</f>
        <v>41.303076923076929</v>
      </c>
    </row>
    <row r="31" spans="1:19" ht="13.5" thickBot="1">
      <c r="B31" s="7" t="s">
        <v>25</v>
      </c>
      <c r="C31" s="9">
        <f>'Survey Template'!C28</f>
        <v>5.16</v>
      </c>
      <c r="D31" s="9">
        <f>'Survey Template'!D28</f>
        <v>5.16</v>
      </c>
      <c r="E31" s="9">
        <f>'Survey Template'!E28</f>
        <v>5.16</v>
      </c>
      <c r="F31" s="9">
        <f>'Survey Template'!F28</f>
        <v>5.16</v>
      </c>
      <c r="G31" s="452">
        <f>'Survey Template'!G28</f>
        <v>5.16</v>
      </c>
      <c r="H31" s="452">
        <f>'Survey Template'!H28</f>
        <v>5.16</v>
      </c>
      <c r="I31" s="9">
        <f>'Survey Template'!I28</f>
        <v>5.16</v>
      </c>
      <c r="J31" s="9">
        <f>'Survey Template'!J28</f>
        <v>5.16</v>
      </c>
      <c r="K31" s="9">
        <f>'Survey Template'!K28</f>
        <v>5.16</v>
      </c>
      <c r="L31" s="9">
        <f>'Survey Template'!L28</f>
        <v>5.16</v>
      </c>
      <c r="M31" s="9">
        <f>'Survey Template'!M28</f>
        <v>5.16</v>
      </c>
      <c r="N31" s="9">
        <f>'Survey Template'!N28</f>
        <v>5.15</v>
      </c>
      <c r="O31" s="9">
        <f>'Survey Template'!O28</f>
        <v>5.16</v>
      </c>
      <c r="P31" s="8">
        <f t="array" ref="P31">AVERAGE(IF(C31:O31&lt;&gt;0,C31:O31,""))</f>
        <v>5.1592307692307688</v>
      </c>
      <c r="Q31" s="159" t="e">
        <f>SUMPRODUCT(C31:O31,#REF!)/SUM(#REF!)</f>
        <v>#REF!</v>
      </c>
    </row>
    <row r="32" spans="1:19">
      <c r="B32" s="168" t="s">
        <v>17</v>
      </c>
      <c r="C32" s="8">
        <f t="shared" ref="C32:O32" si="4">SUM(C29:C31)</f>
        <v>152.65</v>
      </c>
      <c r="D32" s="8">
        <f t="shared" si="4"/>
        <v>158.07</v>
      </c>
      <c r="E32" s="8">
        <f t="shared" si="4"/>
        <v>144.85999999999999</v>
      </c>
      <c r="F32" s="8">
        <f t="shared" si="4"/>
        <v>155.35999999999999</v>
      </c>
      <c r="G32" s="451">
        <f t="shared" ref="G32:H32" si="5">SUM(G29:G31)</f>
        <v>143.61999999999998</v>
      </c>
      <c r="H32" s="451">
        <f t="shared" si="5"/>
        <v>143.61999999999998</v>
      </c>
      <c r="I32" s="8">
        <f t="shared" si="4"/>
        <v>148.60999999999999</v>
      </c>
      <c r="J32" s="8">
        <f t="shared" si="4"/>
        <v>147.35999999999999</v>
      </c>
      <c r="K32" s="8">
        <f t="shared" si="4"/>
        <v>152.67999999999998</v>
      </c>
      <c r="L32" s="8">
        <f t="shared" si="4"/>
        <v>160.76999999999998</v>
      </c>
      <c r="M32" s="8">
        <f t="shared" si="4"/>
        <v>146.10999999999999</v>
      </c>
      <c r="N32" s="8">
        <f t="shared" si="4"/>
        <v>144.85</v>
      </c>
      <c r="O32" s="8">
        <f t="shared" si="4"/>
        <v>148.60999999999999</v>
      </c>
      <c r="P32" s="8">
        <f t="array" ref="P32">AVERAGE(IF(C32:O32&lt;&gt;0,C32:O32,""))</f>
        <v>149.78230769230765</v>
      </c>
      <c r="Q32" s="159" t="e">
        <f>SUMPRODUCT(C32:O32,#REF!)/SUM(#REF!)</f>
        <v>#REF!</v>
      </c>
    </row>
    <row r="33" spans="1:17" ht="7.5" customHeight="1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7">
      <c r="A34" s="6" t="s">
        <v>26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7">
      <c r="B35" s="51" t="s">
        <v>27</v>
      </c>
      <c r="C35" s="8">
        <f t="shared" ref="C35:O35" si="6">30*(C13+C15+C26+C32)+2*(C23)</f>
        <v>6142.7999999999993</v>
      </c>
      <c r="D35" s="8">
        <f t="shared" si="6"/>
        <v>6402.7</v>
      </c>
      <c r="E35" s="8">
        <f t="shared" si="6"/>
        <v>5774.7999999999993</v>
      </c>
      <c r="F35" s="8">
        <f t="shared" si="6"/>
        <v>6334.4</v>
      </c>
      <c r="G35" s="451">
        <f t="shared" ref="G35:H35" si="7">30*(G13+G15+G26+G32)+2*(G23)</f>
        <v>5715.6999999999989</v>
      </c>
      <c r="H35" s="451">
        <f t="shared" si="7"/>
        <v>5529.7</v>
      </c>
      <c r="I35" s="8">
        <f t="shared" si="6"/>
        <v>6140</v>
      </c>
      <c r="J35" s="8">
        <f t="shared" si="6"/>
        <v>6238.5</v>
      </c>
      <c r="K35" s="8">
        <f t="shared" si="6"/>
        <v>6246.9</v>
      </c>
      <c r="L35" s="8">
        <f t="shared" si="6"/>
        <v>6414.0599999999995</v>
      </c>
      <c r="M35" s="8">
        <f t="shared" si="6"/>
        <v>6234.9</v>
      </c>
      <c r="N35" s="8">
        <f t="shared" si="6"/>
        <v>6068.4</v>
      </c>
      <c r="O35" s="8">
        <f t="shared" si="6"/>
        <v>5652.5999999999995</v>
      </c>
      <c r="P35" s="8">
        <f t="array" ref="P35">AVERAGE(IF(C35:O35&lt;&gt;0,C35:O35,""))</f>
        <v>6068.8815384615382</v>
      </c>
      <c r="Q35" s="159" t="e">
        <f>SUMPRODUCT(C35:O35,#REF!)/SUM(#REF!)</f>
        <v>#REF!</v>
      </c>
    </row>
    <row r="36" spans="1:17">
      <c r="B36" s="51" t="s">
        <v>28</v>
      </c>
      <c r="C36" s="8">
        <f>TRUNC(+C35/30,2)</f>
        <v>204.76</v>
      </c>
      <c r="D36" s="8">
        <f t="shared" ref="D36:O36" si="8">TRUNC(+D35/30,2)</f>
        <v>213.42</v>
      </c>
      <c r="E36" s="8">
        <f t="shared" si="8"/>
        <v>192.49</v>
      </c>
      <c r="F36" s="8">
        <f t="shared" si="8"/>
        <v>211.14</v>
      </c>
      <c r="G36" s="451">
        <f t="shared" ref="G36:H36" si="9">TRUNC(+G35/30,2)</f>
        <v>190.52</v>
      </c>
      <c r="H36" s="451">
        <f t="shared" si="9"/>
        <v>184.32</v>
      </c>
      <c r="I36" s="8">
        <f t="shared" si="8"/>
        <v>204.66</v>
      </c>
      <c r="J36" s="8">
        <f t="shared" si="8"/>
        <v>207.95</v>
      </c>
      <c r="K36" s="8">
        <f t="shared" si="8"/>
        <v>208.23</v>
      </c>
      <c r="L36" s="8">
        <f t="shared" si="8"/>
        <v>213.8</v>
      </c>
      <c r="M36" s="8">
        <f t="shared" si="8"/>
        <v>207.83</v>
      </c>
      <c r="N36" s="8">
        <f t="shared" si="8"/>
        <v>202.28</v>
      </c>
      <c r="O36" s="8">
        <f t="shared" si="8"/>
        <v>188.42</v>
      </c>
      <c r="P36" s="8">
        <f t="array" ref="P36">AVERAGE(IF(C36:O36&lt;&gt;0,C36:O36,""))</f>
        <v>202.29384615384618</v>
      </c>
      <c r="Q36" s="159" t="e">
        <f>SUMPRODUCT(C36:O36,#REF!)/SUM(#REF!)</f>
        <v>#REF!</v>
      </c>
    </row>
    <row r="37" spans="1:17" ht="8.4499999999999993" customHeight="1"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59"/>
    </row>
    <row r="38" spans="1:17">
      <c r="A38" s="6" t="s">
        <v>29</v>
      </c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59"/>
    </row>
    <row r="39" spans="1:17">
      <c r="B39" s="7" t="s">
        <v>83</v>
      </c>
      <c r="C39" s="8">
        <f>'Survey Template'!C58</f>
        <v>810.53</v>
      </c>
      <c r="D39" s="8">
        <f>'Survey Template'!D58</f>
        <v>584.79999999999995</v>
      </c>
      <c r="E39" s="8">
        <f>'Survey Template'!E58</f>
        <v>482.39</v>
      </c>
      <c r="F39" s="8">
        <f>'Survey Template'!F58</f>
        <v>418.32</v>
      </c>
      <c r="G39" s="451">
        <f>'Survey Template'!G58</f>
        <v>418.32</v>
      </c>
      <c r="H39" s="451">
        <f>'Survey Template'!H58</f>
        <v>418.32</v>
      </c>
      <c r="I39" s="8">
        <f>'Survey Template'!I58</f>
        <v>597.18000000000006</v>
      </c>
      <c r="J39" s="8">
        <f>'Survey Template'!J58</f>
        <v>512.26</v>
      </c>
      <c r="K39" s="8">
        <f>'Survey Template'!K58</f>
        <v>614.38</v>
      </c>
      <c r="L39" s="8">
        <f>'Survey Template'!L58</f>
        <v>496.94</v>
      </c>
      <c r="M39" s="8">
        <f>'Survey Template'!M58</f>
        <v>562.34</v>
      </c>
      <c r="N39" s="8">
        <f>'Survey Template'!N58</f>
        <v>707.90000000000009</v>
      </c>
      <c r="O39" s="8">
        <f>'Survey Template'!O58</f>
        <v>712.55</v>
      </c>
      <c r="P39" s="8">
        <f t="array" ref="P39">AVERAGE(IF(C39:O39&lt;&gt;0,C39:O39,""))</f>
        <v>564.32538461538468</v>
      </c>
      <c r="Q39" s="159"/>
    </row>
    <row r="40" spans="1:17">
      <c r="B40" s="7" t="s">
        <v>275</v>
      </c>
      <c r="C40" s="8">
        <f>'Survey Template'!C59</f>
        <v>44.17</v>
      </c>
      <c r="D40" s="8">
        <f>'Survey Template'!D59</f>
        <v>49.59</v>
      </c>
      <c r="E40" s="8">
        <f>'Survey Template'!E59</f>
        <v>36.380000000000003</v>
      </c>
      <c r="F40" s="8">
        <f>'Survey Template'!F59</f>
        <v>46.88</v>
      </c>
      <c r="G40" s="451">
        <f>'Survey Template'!G59</f>
        <v>35.14</v>
      </c>
      <c r="H40" s="451">
        <f>'Survey Template'!H59</f>
        <v>35.14</v>
      </c>
      <c r="I40" s="8">
        <f>'Survey Template'!I59</f>
        <v>40.130000000000003</v>
      </c>
      <c r="J40" s="8">
        <f>'Survey Template'!J59</f>
        <v>38.880000000000003</v>
      </c>
      <c r="K40" s="8">
        <f>'Survey Template'!K59</f>
        <v>44.2</v>
      </c>
      <c r="L40" s="8">
        <f>'Survey Template'!L59</f>
        <v>52.29</v>
      </c>
      <c r="M40" s="8">
        <f>'Survey Template'!M59</f>
        <v>37.630000000000003</v>
      </c>
      <c r="N40" s="8">
        <f>'Survey Template'!N59</f>
        <v>36.380000000000003</v>
      </c>
      <c r="O40" s="8">
        <f>'Survey Template'!O59</f>
        <v>40.130000000000003</v>
      </c>
      <c r="P40" s="8">
        <f t="array" ref="P40">AVERAGE(IF(C40:O40&lt;&gt;0,C40:O40,""))</f>
        <v>41.303076923076929</v>
      </c>
      <c r="Q40" s="159"/>
    </row>
    <row r="41" spans="1:17" ht="13.5" thickBot="1">
      <c r="B41" s="7" t="s">
        <v>25</v>
      </c>
      <c r="C41" s="9">
        <f>'Survey Template'!C75</f>
        <v>40.520000000000003</v>
      </c>
      <c r="D41" s="9">
        <f>'Survey Template'!D75</f>
        <v>29.229999999999997</v>
      </c>
      <c r="E41" s="9">
        <f>'Survey Template'!E75</f>
        <v>24.11</v>
      </c>
      <c r="F41" s="9">
        <f>'Survey Template'!F75</f>
        <v>20.91</v>
      </c>
      <c r="G41" s="452">
        <f>'Survey Template'!G75</f>
        <v>20.91</v>
      </c>
      <c r="H41" s="452">
        <f>'Survey Template'!H75</f>
        <v>20.91</v>
      </c>
      <c r="I41" s="9">
        <f>'Survey Template'!I75</f>
        <v>29.85</v>
      </c>
      <c r="J41" s="9">
        <f>'Survey Template'!J75</f>
        <v>25.61</v>
      </c>
      <c r="K41" s="9">
        <f>'Survey Template'!K75</f>
        <v>30.71</v>
      </c>
      <c r="L41" s="9">
        <f>'Survey Template'!L75</f>
        <v>24.84</v>
      </c>
      <c r="M41" s="9">
        <f>'Survey Template'!M75</f>
        <v>28.11</v>
      </c>
      <c r="N41" s="9">
        <f>'Survey Template'!N75</f>
        <v>35.36</v>
      </c>
      <c r="O41" s="9">
        <f>'Survey Template'!O75</f>
        <v>35.619999999999997</v>
      </c>
      <c r="P41" s="8">
        <f t="array" ref="P41">AVERAGE(IF(C41:O41&lt;&gt;0,C41:O41,""))</f>
        <v>28.206923076923083</v>
      </c>
      <c r="Q41" s="159"/>
    </row>
    <row r="42" spans="1:17">
      <c r="B42" s="168" t="s">
        <v>17</v>
      </c>
      <c r="C42" s="8">
        <f>SUM(C39:C41)</f>
        <v>895.21999999999991</v>
      </c>
      <c r="D42" s="8">
        <f t="shared" ref="D42:N42" si="10">SUM(D39:D41)</f>
        <v>663.62</v>
      </c>
      <c r="E42" s="8">
        <f t="shared" si="10"/>
        <v>542.88</v>
      </c>
      <c r="F42" s="8">
        <f t="shared" si="10"/>
        <v>486.11</v>
      </c>
      <c r="G42" s="451">
        <f t="shared" ref="G42:H42" si="11">SUM(G39:G41)</f>
        <v>474.37</v>
      </c>
      <c r="H42" s="451">
        <f t="shared" si="11"/>
        <v>474.37</v>
      </c>
      <c r="I42" s="8">
        <f t="shared" si="10"/>
        <v>667.16000000000008</v>
      </c>
      <c r="J42" s="8">
        <f t="shared" si="10"/>
        <v>576.75</v>
      </c>
      <c r="K42" s="8">
        <f t="shared" si="10"/>
        <v>689.29000000000008</v>
      </c>
      <c r="L42" s="8">
        <f t="shared" si="10"/>
        <v>574.07000000000005</v>
      </c>
      <c r="M42" s="8">
        <f t="shared" si="10"/>
        <v>628.08000000000004</v>
      </c>
      <c r="N42" s="8">
        <f t="shared" si="10"/>
        <v>779.6400000000001</v>
      </c>
      <c r="O42" s="8">
        <f>SUM(O39:O41)</f>
        <v>788.3</v>
      </c>
      <c r="P42" s="8">
        <f t="array" ref="P42">AVERAGE(IF(C42:O42&lt;&gt;0,C42:O42,""))</f>
        <v>633.83538461538456</v>
      </c>
      <c r="Q42" s="159"/>
    </row>
    <row r="43" spans="1:17" ht="8.4499999999999993" customHeight="1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59"/>
    </row>
    <row r="44" spans="1:17">
      <c r="A44" s="6" t="s">
        <v>31</v>
      </c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59"/>
    </row>
    <row r="45" spans="1:17">
      <c r="B45" s="7" t="s">
        <v>27</v>
      </c>
      <c r="C45" s="8">
        <f t="shared" ref="C45:O45" si="12">30*(C13+C15+C26+C42)+2*(C23)</f>
        <v>28419.899999999998</v>
      </c>
      <c r="D45" s="8">
        <f t="shared" si="12"/>
        <v>21569.200000000001</v>
      </c>
      <c r="E45" s="8">
        <f t="shared" si="12"/>
        <v>17715.399999999998</v>
      </c>
      <c r="F45" s="8">
        <f t="shared" si="12"/>
        <v>16256.900000000001</v>
      </c>
      <c r="G45" s="451">
        <f t="shared" ref="G45:H45" si="13">30*(G13+G15+G26+G42)+2*(G23)</f>
        <v>15638.2</v>
      </c>
      <c r="H45" s="451">
        <f t="shared" si="13"/>
        <v>15452.2</v>
      </c>
      <c r="I45" s="8">
        <f t="shared" si="12"/>
        <v>21696.5</v>
      </c>
      <c r="J45" s="8">
        <f t="shared" si="12"/>
        <v>19120.2</v>
      </c>
      <c r="K45" s="8">
        <f t="shared" si="12"/>
        <v>22345.200000000001</v>
      </c>
      <c r="L45" s="8">
        <f t="shared" si="12"/>
        <v>18813.060000000001</v>
      </c>
      <c r="M45" s="8">
        <f t="shared" si="12"/>
        <v>20694.000000000004</v>
      </c>
      <c r="N45" s="8">
        <f t="shared" si="12"/>
        <v>25112.100000000002</v>
      </c>
      <c r="O45" s="8">
        <f t="shared" si="12"/>
        <v>24843.299999999996</v>
      </c>
      <c r="P45" s="8">
        <f t="array" ref="P45">AVERAGE(IF(C45:O45&lt;&gt;0,C45:O45,""))</f>
        <v>20590.473846153847</v>
      </c>
      <c r="Q45" s="159"/>
    </row>
    <row r="46" spans="1:17">
      <c r="B46" s="7" t="s">
        <v>28</v>
      </c>
      <c r="C46" s="8">
        <f>TRUNC(+C45/30,2)</f>
        <v>947.33</v>
      </c>
      <c r="D46" s="8">
        <f t="shared" ref="D46:O46" si="14">TRUNC(+D45/30,2)</f>
        <v>718.97</v>
      </c>
      <c r="E46" s="8">
        <f t="shared" si="14"/>
        <v>590.51</v>
      </c>
      <c r="F46" s="8">
        <f t="shared" si="14"/>
        <v>541.89</v>
      </c>
      <c r="G46" s="451">
        <f t="shared" ref="G46:H46" si="15">TRUNC(+G45/30,2)</f>
        <v>521.27</v>
      </c>
      <c r="H46" s="451">
        <f t="shared" si="15"/>
        <v>515.07000000000005</v>
      </c>
      <c r="I46" s="8">
        <f t="shared" si="14"/>
        <v>723.21</v>
      </c>
      <c r="J46" s="8">
        <f t="shared" si="14"/>
        <v>637.34</v>
      </c>
      <c r="K46" s="8">
        <f t="shared" si="14"/>
        <v>744.84</v>
      </c>
      <c r="L46" s="8">
        <f t="shared" si="14"/>
        <v>627.1</v>
      </c>
      <c r="M46" s="8">
        <f t="shared" si="14"/>
        <v>689.8</v>
      </c>
      <c r="N46" s="8">
        <f t="shared" si="14"/>
        <v>837.07</v>
      </c>
      <c r="O46" s="8">
        <f t="shared" si="14"/>
        <v>828.11</v>
      </c>
      <c r="P46" s="8">
        <f t="array" ref="P46">AVERAGE(IF(C46:O46&lt;&gt;0,C46:O46,""))</f>
        <v>686.34692307692308</v>
      </c>
      <c r="Q46" s="159"/>
    </row>
    <row r="47" spans="1:17" ht="13.5">
      <c r="A47" s="140" t="s">
        <v>266</v>
      </c>
    </row>
    <row r="48" spans="1:17" ht="13.5">
      <c r="A48" s="140" t="s">
        <v>268</v>
      </c>
    </row>
    <row r="49" spans="1:1" ht="13.5">
      <c r="A49" s="140" t="s">
        <v>286</v>
      </c>
    </row>
  </sheetData>
  <printOptions horizontalCentered="1"/>
  <pageMargins left="0" right="0" top="0.5" bottom="0.5" header="0.25" footer="0.25"/>
  <pageSetup scale="71" fitToHeight="0" orientation="landscape" r:id="rId1"/>
  <headerFooter alignWithMargins="0">
    <oddFooter xml:space="preserve">&amp;ROffice of Institutional Research,SUS &amp;F, &amp;D
</oddFooter>
  </headerFooter>
  <colBreaks count="1" manualBreakCount="1">
    <brk id="16" max="226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9"/>
  <sheetViews>
    <sheetView showZeros="0" view="pageBreakPreview" zoomScale="60" zoomScaleNormal="70" workbookViewId="0">
      <selection activeCell="H78" sqref="H78"/>
    </sheetView>
  </sheetViews>
  <sheetFormatPr defaultColWidth="9.140625" defaultRowHeight="12.75"/>
  <cols>
    <col min="1" max="1" width="12.7109375" style="4" customWidth="1"/>
    <col min="2" max="2" width="36" style="4" customWidth="1"/>
    <col min="3" max="3" width="10.7109375" style="4" bestFit="1" customWidth="1"/>
    <col min="4" max="6" width="10.5703125" style="4" bestFit="1" customWidth="1"/>
    <col min="7" max="8" width="10.5703125" style="4" customWidth="1"/>
    <col min="9" max="14" width="10.5703125" style="4" bestFit="1" customWidth="1"/>
    <col min="15" max="15" width="7" style="4" bestFit="1" customWidth="1"/>
    <col min="16" max="16" width="10.5703125" style="4" bestFit="1" customWidth="1"/>
    <col min="17" max="17" width="10.5703125" style="4" hidden="1" customWidth="1"/>
    <col min="18" max="16384" width="9.140625" style="4"/>
  </cols>
  <sheetData>
    <row r="1" spans="1:17" ht="25.5">
      <c r="A1" s="1" t="s">
        <v>269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21" customHeight="1">
      <c r="A2" s="1" t="s">
        <v>278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5" t="s">
        <v>130</v>
      </c>
    </row>
    <row r="3" spans="1:17" ht="21" customHeight="1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5"/>
    </row>
    <row r="4" spans="1:17">
      <c r="C4" s="5" t="s">
        <v>0</v>
      </c>
      <c r="D4" s="5" t="s">
        <v>1</v>
      </c>
      <c r="E4" s="5" t="s">
        <v>2</v>
      </c>
      <c r="F4" s="450" t="s">
        <v>272</v>
      </c>
      <c r="G4" s="450" t="s">
        <v>284</v>
      </c>
      <c r="H4" s="450" t="s">
        <v>285</v>
      </c>
      <c r="I4" s="5" t="s">
        <v>4</v>
      </c>
      <c r="J4" s="5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5" t="s">
        <v>280</v>
      </c>
      <c r="Q4" s="5" t="s">
        <v>11</v>
      </c>
    </row>
    <row r="5" spans="1:17">
      <c r="A5" s="6" t="s">
        <v>12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>
      <c r="A6" s="6"/>
      <c r="B6" s="7" t="s">
        <v>13</v>
      </c>
      <c r="C6" s="8">
        <f>'Survey Template'!C107</f>
        <v>16.059999999999999</v>
      </c>
      <c r="D6" s="8">
        <f>'Survey Template'!D107</f>
        <v>12.24</v>
      </c>
      <c r="E6" s="8">
        <f>'Survey Template'!E107</f>
        <v>10.5</v>
      </c>
      <c r="F6" s="8">
        <f>'Survey Template'!F107</f>
        <v>11.71</v>
      </c>
      <c r="G6" s="451">
        <f>'Survey Template'!G107</f>
        <v>25.05</v>
      </c>
      <c r="H6" s="451">
        <f>'Survey Template'!H107</f>
        <v>20.190000000000001</v>
      </c>
      <c r="I6" s="8">
        <f>'Survey Template'!I107</f>
        <v>12.32</v>
      </c>
      <c r="J6" s="8">
        <f>'Survey Template'!J107</f>
        <v>13.3</v>
      </c>
      <c r="K6" s="8">
        <f>'Survey Template'!K107</f>
        <v>10.79</v>
      </c>
      <c r="L6" s="8">
        <f>'Survey Template'!L107</f>
        <v>12.87</v>
      </c>
      <c r="M6" s="8">
        <f>'Survey Template'!M107</f>
        <v>14.47</v>
      </c>
      <c r="N6" s="8">
        <f>'Survey Template'!N107</f>
        <v>11.24</v>
      </c>
      <c r="O6" s="8">
        <f>'Survey Template'!O107</f>
        <v>16.649999999999999</v>
      </c>
      <c r="P6" s="8">
        <f t="array" ref="P6">AVERAGE(IF(C6:O6&lt;&gt;0,C6:O6,""))</f>
        <v>14.414615384615386</v>
      </c>
      <c r="Q6" s="159"/>
    </row>
    <row r="7" spans="1:17">
      <c r="A7" s="6"/>
      <c r="B7" s="7" t="s">
        <v>14</v>
      </c>
      <c r="C7" s="8">
        <f>'Survey Template'!C110</f>
        <v>1.9</v>
      </c>
      <c r="D7" s="8">
        <f>'Survey Template'!D110</f>
        <v>7.54</v>
      </c>
      <c r="E7" s="8">
        <f>'Survey Template'!E110</f>
        <v>13.969999999999999</v>
      </c>
      <c r="F7" s="8">
        <f>'Survey Template'!F110</f>
        <v>14.46</v>
      </c>
      <c r="G7" s="451">
        <f>'Survey Template'!G110</f>
        <v>2.4500000000000002</v>
      </c>
      <c r="H7" s="451">
        <f>'Survey Template'!H110</f>
        <v>4.2300000000000004</v>
      </c>
      <c r="I7" s="8">
        <f>'Survey Template'!I110</f>
        <v>17.27</v>
      </c>
      <c r="J7" s="8">
        <f>'Survey Template'!J110</f>
        <v>19.39</v>
      </c>
      <c r="K7" s="8">
        <f>'Survey Template'!K110</f>
        <v>13.44</v>
      </c>
      <c r="L7" s="8">
        <f>'Survey Template'!L110</f>
        <v>14.1</v>
      </c>
      <c r="M7" s="8">
        <f>'Survey Template'!M110</f>
        <v>14.33</v>
      </c>
      <c r="N7" s="8">
        <f>'Survey Template'!N110</f>
        <v>12.79</v>
      </c>
      <c r="O7" s="8">
        <f>'Survey Template'!O110</f>
        <v>6.28</v>
      </c>
      <c r="P7" s="8">
        <f t="array" ref="P7">AVERAGE(IF(C7:O7&lt;&gt;0,C7:O7,""))</f>
        <v>10.934615384615382</v>
      </c>
      <c r="Q7" s="159"/>
    </row>
    <row r="8" spans="1:17">
      <c r="A8" s="6"/>
      <c r="B8" s="7" t="s">
        <v>113</v>
      </c>
      <c r="C8" s="8">
        <f>'Survey Template'!C111</f>
        <v>0</v>
      </c>
      <c r="D8" s="8">
        <f>'Survey Template'!D111</f>
        <v>0</v>
      </c>
      <c r="E8" s="8">
        <f>'Survey Template'!E111</f>
        <v>0</v>
      </c>
      <c r="F8" s="8">
        <f>'Survey Template'!F111</f>
        <v>0</v>
      </c>
      <c r="G8" s="451">
        <f>'Survey Template'!G111</f>
        <v>0</v>
      </c>
      <c r="H8" s="451">
        <f>'Survey Template'!H111</f>
        <v>0</v>
      </c>
      <c r="I8" s="8">
        <f>'Survey Template'!I111</f>
        <v>0</v>
      </c>
      <c r="J8" s="8">
        <f>'Survey Template'!J111</f>
        <v>0</v>
      </c>
      <c r="K8" s="8">
        <f>'Survey Template'!K111</f>
        <v>0</v>
      </c>
      <c r="L8" s="8">
        <f>'Survey Template'!L111</f>
        <v>2</v>
      </c>
      <c r="M8" s="8">
        <f>'Survey Template'!M111</f>
        <v>2</v>
      </c>
      <c r="N8" s="8">
        <f>'Survey Template'!N111</f>
        <v>4</v>
      </c>
      <c r="O8" s="8">
        <f>'Survey Template'!O111</f>
        <v>0</v>
      </c>
      <c r="P8" s="8">
        <f t="array" ref="P8">AVERAGE(IF(C8:O8&lt;&gt;0,C8:O8,""))</f>
        <v>2.6666666666666665</v>
      </c>
    </row>
    <row r="9" spans="1:17">
      <c r="A9" s="6"/>
      <c r="B9" s="7" t="s">
        <v>15</v>
      </c>
      <c r="C9" s="8">
        <f>'Survey Template'!C115</f>
        <v>13.82</v>
      </c>
      <c r="D9" s="8">
        <f>'Survey Template'!D115</f>
        <v>13.42</v>
      </c>
      <c r="E9" s="8">
        <f>'Survey Template'!E115</f>
        <v>6.91</v>
      </c>
      <c r="F9" s="8">
        <f>'Survey Template'!F115</f>
        <v>9.73</v>
      </c>
      <c r="G9" s="451">
        <f>'Survey Template'!G115</f>
        <v>3.9</v>
      </c>
      <c r="H9" s="451">
        <f>'Survey Template'!H115</f>
        <v>4.03</v>
      </c>
      <c r="I9" s="8">
        <f>'Survey Template'!I115</f>
        <v>9.42</v>
      </c>
      <c r="J9" s="8">
        <f>'Survey Template'!J115</f>
        <v>7.23</v>
      </c>
      <c r="K9" s="8">
        <f>'Survey Template'!K115</f>
        <v>10.3</v>
      </c>
      <c r="L9" s="8">
        <f>'Survey Template'!L115</f>
        <v>0</v>
      </c>
      <c r="M9" s="8">
        <f>'Survey Template'!M115</f>
        <v>9.76</v>
      </c>
      <c r="N9" s="8">
        <f>'Survey Template'!N115</f>
        <v>8.7899999999999991</v>
      </c>
      <c r="O9" s="8">
        <f>'Survey Template'!O115</f>
        <v>4.58</v>
      </c>
      <c r="P9" s="8">
        <f t="array" ref="P9">AVERAGE(IF(C9:O9&lt;&gt;0,C9:O9,""))</f>
        <v>8.4908333333333328</v>
      </c>
    </row>
    <row r="10" spans="1:17">
      <c r="B10" s="51" t="s">
        <v>144</v>
      </c>
      <c r="C10" s="50">
        <f>'Survey Template'!C118</f>
        <v>8.41</v>
      </c>
      <c r="D10" s="50">
        <f>'Survey Template'!D118</f>
        <v>8.9</v>
      </c>
      <c r="E10" s="50">
        <f>'Survey Template'!E118</f>
        <v>0</v>
      </c>
      <c r="F10" s="50">
        <f>'Survey Template'!F118</f>
        <v>3</v>
      </c>
      <c r="G10" s="453">
        <f>'Survey Template'!G118</f>
        <v>2.25</v>
      </c>
      <c r="H10" s="453">
        <f>'Survey Template'!H118</f>
        <v>0</v>
      </c>
      <c r="I10" s="50">
        <f>'Survey Template'!I118</f>
        <v>0</v>
      </c>
      <c r="J10" s="50">
        <f>'Survey Template'!J118</f>
        <v>8</v>
      </c>
      <c r="K10" s="50">
        <f>'Survey Template'!K118</f>
        <v>9.1</v>
      </c>
      <c r="L10" s="50">
        <f>'Survey Template'!L118</f>
        <v>0</v>
      </c>
      <c r="M10" s="50">
        <f>'Survey Template'!M118</f>
        <v>4.08</v>
      </c>
      <c r="N10" s="50">
        <f>'Survey Template'!N118</f>
        <v>8.6999999999999993</v>
      </c>
      <c r="O10" s="50">
        <f>'Survey Template'!O118</f>
        <v>0</v>
      </c>
      <c r="P10" s="8">
        <f t="array" ref="P10">AVERAGE(IF(C10:O10&lt;&gt;0,C10:O10,""))</f>
        <v>6.5549999999999997</v>
      </c>
    </row>
    <row r="11" spans="1:17">
      <c r="B11" s="51" t="s">
        <v>229</v>
      </c>
      <c r="C11" s="50">
        <f>'Survey Template'!C122</f>
        <v>0</v>
      </c>
      <c r="D11" s="50">
        <f>'Survey Template'!D122</f>
        <v>0</v>
      </c>
      <c r="E11" s="50">
        <f>'Survey Template'!E122</f>
        <v>0</v>
      </c>
      <c r="F11" s="50">
        <f>'Survey Template'!F122</f>
        <v>1</v>
      </c>
      <c r="G11" s="453">
        <f>'Survey Template'!G122</f>
        <v>1</v>
      </c>
      <c r="H11" s="453">
        <f>'Survey Template'!H122</f>
        <v>0</v>
      </c>
      <c r="I11" s="50">
        <f>'Survey Template'!I122</f>
        <v>0</v>
      </c>
      <c r="J11" s="50">
        <f>'Survey Template'!J122</f>
        <v>0.75</v>
      </c>
      <c r="K11" s="50">
        <f>'Survey Template'!K122</f>
        <v>0</v>
      </c>
      <c r="L11" s="50">
        <f>'Survey Template'!L122</f>
        <v>0</v>
      </c>
      <c r="M11" s="50">
        <f>'Survey Template'!M122</f>
        <v>0</v>
      </c>
      <c r="N11" s="50">
        <f>'Survey Template'!N122</f>
        <v>0</v>
      </c>
      <c r="O11" s="50">
        <f>'Survey Template'!O122</f>
        <v>1</v>
      </c>
      <c r="P11" s="8">
        <f t="array" ref="P11">AVERAGE(IF(C11:O11&lt;&gt;0,C11:O11,""))</f>
        <v>0.9375</v>
      </c>
    </row>
    <row r="12" spans="1:17" ht="41.45" customHeight="1" thickBot="1">
      <c r="A12" s="6"/>
      <c r="B12" s="275" t="s">
        <v>230</v>
      </c>
      <c r="C12" s="9">
        <f>'Survey Template'!C162</f>
        <v>0</v>
      </c>
      <c r="D12" s="9">
        <f>'Survey Template'!D162</f>
        <v>2</v>
      </c>
      <c r="E12" s="9">
        <f>'Survey Template'!E162</f>
        <v>0</v>
      </c>
      <c r="F12" s="9">
        <f>'Survey Template'!F162</f>
        <v>1.5</v>
      </c>
      <c r="G12" s="452">
        <f>'Survey Template'!G162</f>
        <v>0</v>
      </c>
      <c r="H12" s="452">
        <f>'Survey Template'!H162</f>
        <v>0</v>
      </c>
      <c r="I12" s="9">
        <f>'Survey Template'!I162</f>
        <v>0</v>
      </c>
      <c r="J12" s="9">
        <f>'Survey Template'!J162</f>
        <v>0</v>
      </c>
      <c r="K12" s="9">
        <f>'Survey Template'!K162</f>
        <v>0</v>
      </c>
      <c r="L12" s="9">
        <f>'Survey Template'!L162</f>
        <v>0</v>
      </c>
      <c r="M12" s="9">
        <f>'Survey Template'!M162+'Survey Template'!M123</f>
        <v>5.16</v>
      </c>
      <c r="N12" s="9">
        <f>'Survey Template'!N162</f>
        <v>0</v>
      </c>
      <c r="O12" s="9"/>
      <c r="P12" s="8">
        <f t="array" ref="P12">AVERAGE(IF(C12:O12&lt;&gt;0,C12:O12,""))</f>
        <v>2.8866666666666667</v>
      </c>
    </row>
    <row r="13" spans="1:17">
      <c r="B13" s="168" t="s">
        <v>17</v>
      </c>
      <c r="C13" s="8">
        <f>SUM(C6:C12)</f>
        <v>40.19</v>
      </c>
      <c r="D13" s="8">
        <f>SUM(D6:D12)</f>
        <v>44.1</v>
      </c>
      <c r="E13" s="8">
        <f t="shared" ref="E13:N13" si="0">SUM(E6:E12)</f>
        <v>31.38</v>
      </c>
      <c r="F13" s="8">
        <f>SUM(F6:F12)</f>
        <v>41.400000000000006</v>
      </c>
      <c r="G13" s="451">
        <f t="shared" ref="G13:H13" si="1">SUM(G6:G12)</f>
        <v>34.65</v>
      </c>
      <c r="H13" s="451">
        <f t="shared" si="1"/>
        <v>28.450000000000003</v>
      </c>
      <c r="I13" s="8">
        <f>SUM(I6:I12)</f>
        <v>39.01</v>
      </c>
      <c r="J13" s="8">
        <f>SUM(J6:J12)</f>
        <v>48.67</v>
      </c>
      <c r="K13" s="8">
        <f t="shared" si="0"/>
        <v>43.63</v>
      </c>
      <c r="L13" s="8">
        <f t="shared" si="0"/>
        <v>28.97</v>
      </c>
      <c r="M13" s="8">
        <f>SUM(M6:M12)</f>
        <v>49.8</v>
      </c>
      <c r="N13" s="8">
        <f t="shared" si="0"/>
        <v>45.519999999999996</v>
      </c>
      <c r="O13" s="8">
        <f>SUM(O6:O12)</f>
        <v>28.509999999999998</v>
      </c>
      <c r="P13" s="8">
        <f t="array" ref="P13">AVERAGE(IF(C13:O13&lt;&gt;0,C13:O13,""))</f>
        <v>38.790769230769236</v>
      </c>
    </row>
    <row r="14" spans="1:17">
      <c r="B14" s="16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7">
      <c r="B15" s="51" t="s">
        <v>180</v>
      </c>
      <c r="C15" s="50">
        <f>'Survey Template'!C131</f>
        <v>6.45</v>
      </c>
      <c r="D15" s="50">
        <f>'Survey Template'!D131</f>
        <v>5.16</v>
      </c>
      <c r="E15" s="50">
        <f>'Survey Template'!E131</f>
        <v>16.7</v>
      </c>
      <c r="F15" s="50">
        <f>'Survey Template'!F131</f>
        <v>17.39</v>
      </c>
      <c r="G15" s="453">
        <f>'Survey Template'!G131</f>
        <v>17.39</v>
      </c>
      <c r="H15" s="453">
        <f>'Survey Template'!H131</f>
        <v>17.39</v>
      </c>
      <c r="I15" s="50">
        <f>'Survey Template'!I131</f>
        <v>5.16</v>
      </c>
      <c r="J15" s="50">
        <f>'Survey Template'!J131</f>
        <v>9.41</v>
      </c>
      <c r="K15" s="50">
        <f>'Survey Template'!K131</f>
        <v>14.4</v>
      </c>
      <c r="L15" s="50">
        <f>'Survey Template'!L131</f>
        <v>17.559999999999999</v>
      </c>
      <c r="M15" s="50">
        <f>'Survey Template'!M131</f>
        <v>5.16</v>
      </c>
      <c r="N15" s="50">
        <f>'Survey Template'!N131</f>
        <v>14.52</v>
      </c>
      <c r="O15" s="50">
        <f>'Survey Template'!O131</f>
        <v>0</v>
      </c>
      <c r="P15" s="8">
        <f t="array" ref="P15">AVERAGE(IF(C15:O15&lt;&gt;0,C15:O15,""))</f>
        <v>12.224166666666669</v>
      </c>
    </row>
    <row r="16" spans="1:17">
      <c r="B16" s="51" t="s">
        <v>181</v>
      </c>
      <c r="C16" s="50">
        <f>'Survey Template'!C132</f>
        <v>6.45</v>
      </c>
      <c r="D16" s="50">
        <f>'Survey Template'!D132</f>
        <v>5.16</v>
      </c>
      <c r="E16" s="50">
        <f>'Survey Template'!E132</f>
        <v>16.7</v>
      </c>
      <c r="F16" s="50">
        <f>'Survey Template'!F132</f>
        <v>17.39</v>
      </c>
      <c r="G16" s="453">
        <f>'Survey Template'!G132</f>
        <v>17.39</v>
      </c>
      <c r="H16" s="453">
        <f>'Survey Template'!H132</f>
        <v>17.39</v>
      </c>
      <c r="I16" s="50">
        <f>'Survey Template'!I132</f>
        <v>5.16</v>
      </c>
      <c r="J16" s="50">
        <f>'Survey Template'!J132</f>
        <v>9.41</v>
      </c>
      <c r="K16" s="50">
        <f>'Survey Template'!K132</f>
        <v>14.4</v>
      </c>
      <c r="L16" s="50">
        <f>'Survey Template'!L132</f>
        <v>17.559999999999999</v>
      </c>
      <c r="M16" s="50">
        <f>'Survey Template'!M132</f>
        <v>5.16</v>
      </c>
      <c r="N16" s="50">
        <f>'Survey Template'!N132</f>
        <v>14.52</v>
      </c>
      <c r="O16" s="50">
        <f>'Survey Template'!O132</f>
        <v>0</v>
      </c>
      <c r="P16" s="8">
        <f t="array" ref="P16">AVERAGE(IF(C16:O16&lt;&gt;0,C16:O16,""))</f>
        <v>12.224166666666669</v>
      </c>
    </row>
    <row r="17" spans="1:17">
      <c r="B17" s="194"/>
      <c r="C17" s="8"/>
      <c r="D17" s="8"/>
      <c r="E17" s="8"/>
      <c r="F17" s="50"/>
      <c r="G17" s="453"/>
      <c r="H17" s="453"/>
      <c r="I17" s="8"/>
      <c r="J17" s="8"/>
      <c r="K17" s="8"/>
      <c r="L17" s="8"/>
      <c r="M17" s="8"/>
      <c r="N17" s="8"/>
      <c r="O17" s="8"/>
      <c r="P17" s="8"/>
    </row>
    <row r="18" spans="1:17">
      <c r="A18" s="6" t="s">
        <v>18</v>
      </c>
      <c r="B18" s="7"/>
      <c r="C18" s="8"/>
      <c r="D18" s="8"/>
      <c r="E18" s="8"/>
      <c r="F18" s="8"/>
      <c r="G18" s="451"/>
      <c r="H18" s="451"/>
      <c r="I18" s="8"/>
      <c r="J18" s="8"/>
      <c r="K18" s="8"/>
      <c r="L18" s="8"/>
      <c r="M18" s="8"/>
      <c r="N18" s="8"/>
      <c r="O18" s="8"/>
      <c r="P18" s="8"/>
    </row>
    <row r="19" spans="1:17">
      <c r="B19" s="7" t="s">
        <v>13</v>
      </c>
      <c r="C19" s="8">
        <f>'Survey Template'!C108</f>
        <v>0</v>
      </c>
      <c r="D19" s="8">
        <f>'Survey Template'!D108</f>
        <v>0</v>
      </c>
      <c r="E19" s="8">
        <f>'Survey Template'!E108</f>
        <v>0</v>
      </c>
      <c r="F19" s="8">
        <f>'Survey Template'!F108</f>
        <v>7</v>
      </c>
      <c r="G19" s="451">
        <f>'Survey Template'!G108</f>
        <v>0</v>
      </c>
      <c r="H19" s="451">
        <f>'Survey Template'!H108</f>
        <v>0</v>
      </c>
      <c r="I19" s="8">
        <f>'Survey Template'!I108</f>
        <v>0</v>
      </c>
      <c r="J19" s="8">
        <f>'Survey Template'!J108</f>
        <v>0</v>
      </c>
      <c r="K19" s="8">
        <f>'Survey Template'!K108</f>
        <v>0</v>
      </c>
      <c r="L19" s="8">
        <f>'Survey Template'!L108</f>
        <v>0</v>
      </c>
      <c r="M19" s="8">
        <f>'Survey Template'!M108</f>
        <v>0</v>
      </c>
      <c r="N19" s="8">
        <f>'Survey Template'!N108</f>
        <v>0</v>
      </c>
      <c r="O19" s="8">
        <f>'Survey Template'!O108</f>
        <v>0</v>
      </c>
      <c r="P19" s="8">
        <f t="array" ref="P19">AVERAGE(IF(C19:O19&lt;&gt;0,C19:O19,""))</f>
        <v>7</v>
      </c>
    </row>
    <row r="20" spans="1:17">
      <c r="B20" s="7" t="s">
        <v>14</v>
      </c>
      <c r="C20" s="8">
        <f>'Survey Template'!C113</f>
        <v>0</v>
      </c>
      <c r="D20" s="8">
        <f>'Survey Template'!D113</f>
        <v>0</v>
      </c>
      <c r="E20" s="8">
        <f>'Survey Template'!E113</f>
        <v>0</v>
      </c>
      <c r="F20" s="8">
        <f>'Survey Template'!F113</f>
        <v>10</v>
      </c>
      <c r="G20" s="451">
        <f>'Survey Template'!G113</f>
        <v>5</v>
      </c>
      <c r="H20" s="451">
        <f>'Survey Template'!H113</f>
        <v>5</v>
      </c>
      <c r="I20" s="8">
        <f>'Survey Template'!I113</f>
        <v>0</v>
      </c>
      <c r="J20" s="8">
        <f>'Survey Template'!J113</f>
        <v>0</v>
      </c>
      <c r="K20" s="8">
        <f>'Survey Template'!K113</f>
        <v>0</v>
      </c>
      <c r="L20" s="8">
        <f>'Survey Template'!L113</f>
        <v>10</v>
      </c>
      <c r="M20" s="8">
        <f>'Survey Template'!M113</f>
        <v>0</v>
      </c>
      <c r="N20" s="8">
        <f>'Survey Template'!N113</f>
        <v>0</v>
      </c>
      <c r="O20" s="8">
        <f>'Survey Template'!O113</f>
        <v>0</v>
      </c>
      <c r="P20" s="8">
        <f t="array" ref="P20">AVERAGE(IF(C20:O20&lt;&gt;0,C20:O20,""))</f>
        <v>7.5</v>
      </c>
    </row>
    <row r="21" spans="1:17">
      <c r="B21" s="7" t="s">
        <v>15</v>
      </c>
      <c r="C21" s="8">
        <f>'Survey Template'!C116</f>
        <v>0</v>
      </c>
      <c r="D21" s="8">
        <f>'Survey Template'!D116</f>
        <v>0</v>
      </c>
      <c r="E21" s="8">
        <f>'Survey Template'!E116</f>
        <v>0</v>
      </c>
      <c r="F21" s="8">
        <f>'Survey Template'!F116</f>
        <v>0</v>
      </c>
      <c r="G21" s="451">
        <f>'Survey Template'!G116</f>
        <v>0</v>
      </c>
      <c r="H21" s="451">
        <f>'Survey Template'!H116</f>
        <v>0</v>
      </c>
      <c r="I21" s="8">
        <f>'Survey Template'!I116</f>
        <v>0</v>
      </c>
      <c r="J21" s="8">
        <f>'Survey Template'!J116</f>
        <v>0</v>
      </c>
      <c r="K21" s="8">
        <f>'Survey Template'!K116</f>
        <v>0</v>
      </c>
      <c r="L21" s="8">
        <f>'Survey Template'!L116</f>
        <v>83.19</v>
      </c>
      <c r="M21" s="8">
        <f>'Survey Template'!M116</f>
        <v>0</v>
      </c>
      <c r="N21" s="8">
        <f>'Survey Template'!N116</f>
        <v>0</v>
      </c>
      <c r="O21" s="8">
        <f>'Survey Template'!O116</f>
        <v>0</v>
      </c>
      <c r="P21" s="8">
        <f t="array" ref="P21">AVERAGE(IF(C21:O21&lt;&gt;0,C21:O21,""))</f>
        <v>83.19</v>
      </c>
    </row>
    <row r="22" spans="1:17">
      <c r="B22" s="51" t="s">
        <v>16</v>
      </c>
      <c r="C22" s="50">
        <f>'Survey Template'!C119</f>
        <v>0</v>
      </c>
      <c r="D22" s="50">
        <f>'Survey Template'!D119</f>
        <v>0</v>
      </c>
      <c r="E22" s="50">
        <f>'Survey Template'!E119</f>
        <v>65</v>
      </c>
      <c r="F22" s="50">
        <f>'Survey Template'!F119</f>
        <v>0</v>
      </c>
      <c r="G22" s="453">
        <f>'Survey Template'!G119</f>
        <v>0</v>
      </c>
      <c r="H22" s="453">
        <f>'Survey Template'!H119</f>
        <v>0</v>
      </c>
      <c r="I22" s="50">
        <f>'Survey Template'!I119</f>
        <v>76.900000000000006</v>
      </c>
      <c r="J22" s="50">
        <f>'Survey Template'!J119</f>
        <v>0</v>
      </c>
      <c r="K22" s="50">
        <f>'Survey Template'!K119</f>
        <v>0</v>
      </c>
      <c r="L22" s="8">
        <f>'Survey Template'!L119</f>
        <v>88.94</v>
      </c>
      <c r="M22" s="50">
        <f>'Survey Template'!M119</f>
        <v>0</v>
      </c>
      <c r="N22" s="50">
        <f>'Survey Template'!N119</f>
        <v>0</v>
      </c>
      <c r="O22" s="50">
        <f>'Survey Template'!O119</f>
        <v>0</v>
      </c>
      <c r="P22" s="8">
        <f t="array" ref="P22">AVERAGE(IF(C22:O22&lt;&gt;0,C22:O22,""))</f>
        <v>76.946666666666673</v>
      </c>
    </row>
    <row r="23" spans="1:17" ht="13.5" thickBot="1">
      <c r="A23" s="6"/>
      <c r="B23" s="7" t="s">
        <v>195</v>
      </c>
      <c r="C23" s="9">
        <f>'Survey Template'!C161</f>
        <v>0</v>
      </c>
      <c r="D23" s="9">
        <f>'Survey Template'!D161</f>
        <v>20</v>
      </c>
      <c r="E23" s="9">
        <f>'Survey Template'!E161</f>
        <v>0</v>
      </c>
      <c r="F23" s="9">
        <f>'Survey Template'!F161</f>
        <v>20</v>
      </c>
      <c r="G23" s="452">
        <f>'Survey Template'!G161</f>
        <v>0</v>
      </c>
      <c r="H23" s="452">
        <f>'Survey Template'!H161</f>
        <v>0</v>
      </c>
      <c r="I23" s="9">
        <f>'Survey Template'!I161</f>
        <v>0</v>
      </c>
      <c r="J23" s="9">
        <f>'Survey Template'!J161</f>
        <v>0</v>
      </c>
      <c r="K23" s="9">
        <f>'Survey Template'!K161</f>
        <v>0</v>
      </c>
      <c r="L23" s="9">
        <f>'Survey Template'!L161</f>
        <v>0</v>
      </c>
      <c r="M23" s="9">
        <f>'Survey Template'!M161</f>
        <v>0</v>
      </c>
      <c r="N23" s="9">
        <f>'Survey Template'!N161</f>
        <v>0</v>
      </c>
      <c r="O23" s="9">
        <f>'Survey Template'!O161</f>
        <v>0</v>
      </c>
      <c r="P23" s="8">
        <f t="array" ref="P23">AVERAGE(IF(C23:O23&lt;&gt;0,C23:O23,""))</f>
        <v>20</v>
      </c>
    </row>
    <row r="24" spans="1:17">
      <c r="B24" s="168" t="s">
        <v>17</v>
      </c>
      <c r="C24" s="8">
        <f>SUM(C19:C23)</f>
        <v>0</v>
      </c>
      <c r="D24" s="8">
        <f>SUM(D19:D23)</f>
        <v>20</v>
      </c>
      <c r="E24" s="8">
        <f>SUM(E19:E23)</f>
        <v>65</v>
      </c>
      <c r="F24" s="8">
        <f>SUM(F19:F23)</f>
        <v>37</v>
      </c>
      <c r="G24" s="451">
        <f t="shared" ref="G24:H24" si="2">SUM(G19:G23)</f>
        <v>5</v>
      </c>
      <c r="H24" s="451">
        <f t="shared" si="2"/>
        <v>5</v>
      </c>
      <c r="I24" s="8">
        <f>SUM(I19:I23)</f>
        <v>76.900000000000006</v>
      </c>
      <c r="J24" s="8">
        <f t="shared" ref="J24:O24" si="3">SUM(J19:J23)</f>
        <v>0</v>
      </c>
      <c r="K24" s="8">
        <f t="shared" si="3"/>
        <v>0</v>
      </c>
      <c r="L24" s="8">
        <f>SUM(L19:L23)</f>
        <v>182.13</v>
      </c>
      <c r="M24" s="8">
        <f t="shared" si="3"/>
        <v>0</v>
      </c>
      <c r="N24" s="8">
        <f t="shared" si="3"/>
        <v>0</v>
      </c>
      <c r="O24" s="8">
        <f t="shared" si="3"/>
        <v>0</v>
      </c>
      <c r="P24" s="8">
        <f t="array" ref="P24">AVERAGE(IF(C24:O24&lt;&gt;0,C24:O24,""))</f>
        <v>55.861428571428569</v>
      </c>
    </row>
    <row r="25" spans="1:17">
      <c r="B25" s="51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8"/>
    </row>
    <row r="26" spans="1:17">
      <c r="A26" s="6" t="s">
        <v>283</v>
      </c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7">
      <c r="A27" s="10"/>
      <c r="B27" s="7" t="s">
        <v>22</v>
      </c>
      <c r="C27" s="8">
        <v>6.76</v>
      </c>
      <c r="D27" s="8">
        <v>4.76</v>
      </c>
      <c r="E27" s="8">
        <v>6.76</v>
      </c>
      <c r="F27" s="8">
        <v>6.76</v>
      </c>
      <c r="G27" s="451">
        <v>6.76</v>
      </c>
      <c r="H27" s="451">
        <v>6.76</v>
      </c>
      <c r="I27" s="8">
        <v>6.76</v>
      </c>
      <c r="J27" s="8">
        <v>6.76</v>
      </c>
      <c r="K27" s="8">
        <v>6.76</v>
      </c>
      <c r="L27" s="8">
        <v>6.76</v>
      </c>
      <c r="M27" s="8">
        <v>6.76</v>
      </c>
      <c r="N27" s="8">
        <v>6.76</v>
      </c>
      <c r="O27" s="8">
        <v>6.14</v>
      </c>
      <c r="P27" s="8">
        <f t="array" ref="P27">AVERAGE(IF(C27:O27&lt;&gt;0,C27:O27,""))</f>
        <v>6.5584615384615388</v>
      </c>
    </row>
    <row r="28" spans="1:17">
      <c r="B28" s="7"/>
      <c r="C28" s="8"/>
      <c r="D28" s="8"/>
      <c r="E28" s="8"/>
      <c r="F28" s="8"/>
      <c r="G28" s="451"/>
      <c r="H28" s="451"/>
      <c r="I28" s="8"/>
      <c r="J28" s="8"/>
      <c r="K28" s="8"/>
      <c r="L28" s="8"/>
      <c r="M28" s="8"/>
      <c r="N28" s="8"/>
      <c r="O28" s="8"/>
      <c r="P28" s="8"/>
    </row>
    <row r="29" spans="1:17">
      <c r="A29" s="6" t="s">
        <v>33</v>
      </c>
      <c r="G29" s="449"/>
      <c r="H29" s="449"/>
    </row>
    <row r="30" spans="1:17">
      <c r="B30" s="7" t="s">
        <v>30</v>
      </c>
      <c r="C30" s="8">
        <f>'Survey Template'!C14</f>
        <v>448.73</v>
      </c>
      <c r="D30" s="8">
        <f>'Survey Template'!D14</f>
        <v>403.51</v>
      </c>
      <c r="E30" s="8">
        <f>'Survey Template'!E14</f>
        <v>334.13</v>
      </c>
      <c r="F30" s="8">
        <f>'Survey Template'!F14</f>
        <v>347.91</v>
      </c>
      <c r="G30" s="451">
        <f>'Survey Template'!G14</f>
        <v>347.91</v>
      </c>
      <c r="H30" s="451">
        <f>'Survey Template'!H14</f>
        <v>347.91</v>
      </c>
      <c r="I30" s="8">
        <f>'Survey Template'!I14</f>
        <v>303.70999999999998</v>
      </c>
      <c r="J30" s="8">
        <f>'Survey Template'!J14</f>
        <v>274.51</v>
      </c>
      <c r="K30" s="8">
        <f>'Survey Template'!K14</f>
        <v>288.16000000000003</v>
      </c>
      <c r="L30" s="8">
        <f>'Survey Template'!L14</f>
        <v>351.31</v>
      </c>
      <c r="M30" s="8">
        <f>'Survey Template'!M14</f>
        <v>401.28</v>
      </c>
      <c r="N30" s="8">
        <f>'Survey Template'!N14</f>
        <v>269.08</v>
      </c>
      <c r="O30" s="8"/>
      <c r="P30" s="8">
        <f t="array" ref="P30">AVERAGE(IF(C30:O30&lt;&gt;0,C30:O30,""))</f>
        <v>343.17916666666662</v>
      </c>
      <c r="Q30" s="159" t="e">
        <f>SUMPRODUCT(C30:N30,#REF!)/SUM(#REF!)</f>
        <v>#REF!</v>
      </c>
    </row>
    <row r="31" spans="1:17" ht="13.5" thickBot="1">
      <c r="B31" s="7" t="s">
        <v>25</v>
      </c>
      <c r="C31" s="9">
        <f>'Survey Template'!C29</f>
        <v>22.43</v>
      </c>
      <c r="D31" s="9">
        <f>'Survey Template'!D29</f>
        <v>20.170000000000002</v>
      </c>
      <c r="E31" s="9">
        <f>'Survey Template'!E29</f>
        <v>16.7</v>
      </c>
      <c r="F31" s="9">
        <f>'Survey Template'!F29</f>
        <v>17.39</v>
      </c>
      <c r="G31" s="452">
        <f>'Survey Template'!G29</f>
        <v>17.39</v>
      </c>
      <c r="H31" s="452">
        <f>'Survey Template'!H29</f>
        <v>17.39</v>
      </c>
      <c r="I31" s="9">
        <f>'Survey Template'!I29</f>
        <v>15.18</v>
      </c>
      <c r="J31" s="9">
        <f>'Survey Template'!J29</f>
        <v>13.72</v>
      </c>
      <c r="K31" s="9">
        <f>'Survey Template'!K29</f>
        <v>14.4</v>
      </c>
      <c r="L31" s="9">
        <f>'Survey Template'!L29</f>
        <v>17.559999999999999</v>
      </c>
      <c r="M31" s="9">
        <f>'Survey Template'!M29</f>
        <v>20.059999999999999</v>
      </c>
      <c r="N31" s="9">
        <f>'Survey Template'!N29</f>
        <v>14.52</v>
      </c>
      <c r="O31" s="9"/>
      <c r="P31" s="8">
        <f t="array" ref="P31">AVERAGE(IF(C31:O31&lt;&gt;0,C31:O31,""))</f>
        <v>17.242500000000003</v>
      </c>
      <c r="Q31" s="159" t="e">
        <f>SUMPRODUCT(C31:N31,#REF!)/SUM(#REF!)</f>
        <v>#REF!</v>
      </c>
    </row>
    <row r="32" spans="1:17">
      <c r="B32" s="168" t="s">
        <v>17</v>
      </c>
      <c r="C32" s="8">
        <f>SUM(C30:C31)</f>
        <v>471.16</v>
      </c>
      <c r="D32" s="8">
        <f t="shared" ref="D32:M32" si="4">SUM(D30:D31)</f>
        <v>423.68</v>
      </c>
      <c r="E32" s="8">
        <f t="shared" si="4"/>
        <v>350.83</v>
      </c>
      <c r="F32" s="8">
        <f t="shared" si="4"/>
        <v>365.3</v>
      </c>
      <c r="G32" s="451">
        <f t="shared" ref="G32:H32" si="5">SUM(G30:G31)</f>
        <v>365.3</v>
      </c>
      <c r="H32" s="451">
        <f t="shared" si="5"/>
        <v>365.3</v>
      </c>
      <c r="I32" s="8">
        <f t="shared" si="4"/>
        <v>318.89</v>
      </c>
      <c r="J32" s="8">
        <f t="shared" si="4"/>
        <v>288.23</v>
      </c>
      <c r="K32" s="8">
        <f t="shared" si="4"/>
        <v>302.56</v>
      </c>
      <c r="L32" s="8">
        <f t="shared" si="4"/>
        <v>368.87</v>
      </c>
      <c r="M32" s="8">
        <f t="shared" si="4"/>
        <v>421.34</v>
      </c>
      <c r="N32" s="8">
        <f>SUM(N30:N31)</f>
        <v>283.59999999999997</v>
      </c>
      <c r="O32" s="8"/>
      <c r="P32" s="8">
        <f t="array" ref="P32">AVERAGE(IF(C32:O32&lt;&gt;0,C32:O32,""))</f>
        <v>360.42166666666668</v>
      </c>
      <c r="Q32" s="159" t="e">
        <f>SUMPRODUCT(C32:N32,#REF!)/SUM(#REF!)</f>
        <v>#REF!</v>
      </c>
    </row>
    <row r="33" spans="1:18" ht="8.1" customHeight="1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6" t="s">
        <v>34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B35" s="7" t="s">
        <v>35</v>
      </c>
      <c r="C35" s="8">
        <f t="shared" ref="C35:N35" si="6">24*(C13+C15+C27+C32)+2*(C24)</f>
        <v>12589.440000000002</v>
      </c>
      <c r="D35" s="8">
        <f t="shared" si="6"/>
        <v>11504.8</v>
      </c>
      <c r="E35" s="8">
        <f t="shared" si="6"/>
        <v>9866.0799999999981</v>
      </c>
      <c r="F35" s="8">
        <f t="shared" si="6"/>
        <v>10414.400000000001</v>
      </c>
      <c r="G35" s="451">
        <f t="shared" ref="G35:H35" si="7">24*(G13+G15+G27+G32)+2*(G24)</f>
        <v>10188.400000000001</v>
      </c>
      <c r="H35" s="451">
        <f t="shared" si="7"/>
        <v>10039.6</v>
      </c>
      <c r="I35" s="8">
        <f t="shared" si="6"/>
        <v>9029.48</v>
      </c>
      <c r="J35" s="8">
        <f t="shared" si="6"/>
        <v>8473.68</v>
      </c>
      <c r="K35" s="8">
        <f t="shared" si="6"/>
        <v>8816.4000000000015</v>
      </c>
      <c r="L35" s="8">
        <f>24*(L13+L15+L27+L32)+2*(L24)</f>
        <v>10496.1</v>
      </c>
      <c r="M35" s="8">
        <f t="shared" si="6"/>
        <v>11593.439999999999</v>
      </c>
      <c r="N35" s="8">
        <f t="shared" si="6"/>
        <v>8409.5999999999985</v>
      </c>
      <c r="O35" s="8"/>
      <c r="P35" s="8">
        <f t="array" ref="P35">AVERAGE(IF(C35:O35&lt;&gt;0,C35:O35,""))</f>
        <v>10118.451666666668</v>
      </c>
      <c r="Q35" s="159" t="e">
        <f>SUMPRODUCT(C35:N35,#REF!)/SUM(#REF!)</f>
        <v>#REF!</v>
      </c>
    </row>
    <row r="36" spans="1:18">
      <c r="B36" s="7" t="s">
        <v>28</v>
      </c>
      <c r="C36" s="8">
        <f t="shared" ref="C36:N36" si="8">+C35/24</f>
        <v>524.56000000000006</v>
      </c>
      <c r="D36" s="8">
        <f t="shared" si="8"/>
        <v>479.36666666666662</v>
      </c>
      <c r="E36" s="8">
        <f t="shared" si="8"/>
        <v>411.08666666666659</v>
      </c>
      <c r="F36" s="8">
        <f t="shared" si="8"/>
        <v>433.93333333333339</v>
      </c>
      <c r="G36" s="451">
        <f t="shared" ref="G36:H36" si="9">+G35/24</f>
        <v>424.51666666666671</v>
      </c>
      <c r="H36" s="451">
        <f t="shared" si="9"/>
        <v>418.31666666666666</v>
      </c>
      <c r="I36" s="8">
        <f t="shared" si="8"/>
        <v>376.2283333333333</v>
      </c>
      <c r="J36" s="8">
        <f t="shared" si="8"/>
        <v>353.07</v>
      </c>
      <c r="K36" s="8">
        <f t="shared" si="8"/>
        <v>367.35000000000008</v>
      </c>
      <c r="L36" s="8">
        <f t="shared" si="8"/>
        <v>437.33750000000003</v>
      </c>
      <c r="M36" s="8">
        <f t="shared" si="8"/>
        <v>483.05999999999995</v>
      </c>
      <c r="N36" s="8">
        <f t="shared" si="8"/>
        <v>350.39999999999992</v>
      </c>
      <c r="O36" s="8"/>
      <c r="P36" s="8">
        <f t="array" ref="P36">AVERAGE(IF(C36:O36&lt;&gt;0,C36:O36,""))</f>
        <v>421.6021527777778</v>
      </c>
      <c r="Q36" s="159" t="e">
        <f>SUMPRODUCT(C36:N36,#REF!)/SUM(#REF!)</f>
        <v>#REF!</v>
      </c>
    </row>
    <row r="37" spans="1:18">
      <c r="B37" s="13"/>
      <c r="G37" s="449"/>
      <c r="H37" s="449"/>
    </row>
    <row r="38" spans="1:18">
      <c r="A38" s="6" t="s">
        <v>36</v>
      </c>
      <c r="G38" s="449"/>
      <c r="H38" s="449"/>
    </row>
    <row r="39" spans="1:18">
      <c r="B39" s="7" t="s">
        <v>83</v>
      </c>
      <c r="C39" s="8">
        <f>'Survey Template'!C60</f>
        <v>1138.94</v>
      </c>
      <c r="D39" s="8">
        <f>'Survey Template'!D60</f>
        <v>1004.85</v>
      </c>
      <c r="E39" s="8">
        <f>'Survey Template'!E60</f>
        <v>921.15</v>
      </c>
      <c r="F39" s="8">
        <f>'Survey Template'!F60</f>
        <v>752.22</v>
      </c>
      <c r="G39" s="451">
        <f>'Survey Template'!G60</f>
        <v>752.22</v>
      </c>
      <c r="H39" s="451">
        <f>'Survey Template'!H60</f>
        <v>752.22</v>
      </c>
      <c r="I39" s="8">
        <f>'Survey Template'!I60</f>
        <v>927.51</v>
      </c>
      <c r="J39" s="8">
        <f>'Survey Template'!J60</f>
        <v>902.74</v>
      </c>
      <c r="K39" s="8">
        <f>'Survey Template'!K60</f>
        <v>1073.31</v>
      </c>
      <c r="L39" s="8">
        <f>'Survey Template'!L60</f>
        <v>831.39</v>
      </c>
      <c r="M39" s="8">
        <f>'Survey Template'!M60</f>
        <v>932.61</v>
      </c>
      <c r="N39" s="8">
        <f>'Survey Template'!N60</f>
        <v>1173.73</v>
      </c>
      <c r="O39" s="8"/>
      <c r="P39" s="8">
        <f t="array" ref="P39">AVERAGE(IF(C39:O39&lt;&gt;0,C39:O39,""))</f>
        <v>930.24083333333328</v>
      </c>
      <c r="R39" s="8"/>
    </row>
    <row r="40" spans="1:18" ht="13.5" thickBot="1">
      <c r="B40" s="7" t="s">
        <v>25</v>
      </c>
      <c r="C40" s="9">
        <f>'Survey Template'!C76</f>
        <v>56.94</v>
      </c>
      <c r="D40" s="9">
        <f>'Survey Template'!D76</f>
        <v>50.230000000000004</v>
      </c>
      <c r="E40" s="9">
        <f>'Survey Template'!E76</f>
        <v>46.05</v>
      </c>
      <c r="F40" s="9">
        <f>'Survey Template'!F76</f>
        <v>37.6</v>
      </c>
      <c r="G40" s="452">
        <f>'Survey Template'!G76</f>
        <v>37.6</v>
      </c>
      <c r="H40" s="452">
        <f>'Survey Template'!H76</f>
        <v>37.6</v>
      </c>
      <c r="I40" s="9">
        <f>'Survey Template'!I76</f>
        <v>46.37</v>
      </c>
      <c r="J40" s="9">
        <f>'Survey Template'!J76</f>
        <v>45.13</v>
      </c>
      <c r="K40" s="9">
        <f>'Survey Template'!K76</f>
        <v>53.65</v>
      </c>
      <c r="L40" s="9">
        <f>'Survey Template'!L76</f>
        <v>41.56</v>
      </c>
      <c r="M40" s="9">
        <f>'Survey Template'!M76</f>
        <v>46.63</v>
      </c>
      <c r="N40" s="9">
        <f>'Survey Template'!N76</f>
        <v>58.67</v>
      </c>
      <c r="O40" s="9"/>
      <c r="P40" s="8">
        <f t="array" ref="P40">AVERAGE(IF(C40:O40&lt;&gt;0,C40:O40,""))</f>
        <v>46.502499999999998</v>
      </c>
    </row>
    <row r="41" spans="1:18">
      <c r="B41" s="168" t="s">
        <v>17</v>
      </c>
      <c r="C41" s="8">
        <f>SUM(C39:C40)</f>
        <v>1195.8800000000001</v>
      </c>
      <c r="D41" s="8">
        <f>SUM(D39:D40)</f>
        <v>1055.08</v>
      </c>
      <c r="E41" s="8">
        <f t="shared" ref="E41:N41" si="10">SUM(E39:E40)</f>
        <v>967.19999999999993</v>
      </c>
      <c r="F41" s="8">
        <f t="shared" si="10"/>
        <v>789.82</v>
      </c>
      <c r="G41" s="451">
        <f t="shared" ref="G41:H41" si="11">SUM(G39:G40)</f>
        <v>789.82</v>
      </c>
      <c r="H41" s="451">
        <f t="shared" si="11"/>
        <v>789.82</v>
      </c>
      <c r="I41" s="8">
        <f t="shared" si="10"/>
        <v>973.88</v>
      </c>
      <c r="J41" s="8">
        <f t="shared" si="10"/>
        <v>947.87</v>
      </c>
      <c r="K41" s="8">
        <f t="shared" si="10"/>
        <v>1126.96</v>
      </c>
      <c r="L41" s="8">
        <f t="shared" si="10"/>
        <v>872.95</v>
      </c>
      <c r="M41" s="8">
        <f t="shared" si="10"/>
        <v>979.24</v>
      </c>
      <c r="N41" s="8">
        <f t="shared" si="10"/>
        <v>1232.4000000000001</v>
      </c>
      <c r="O41" s="8"/>
      <c r="P41" s="8">
        <f t="array" ref="P41">AVERAGE(IF(C41:O41&lt;&gt;0,C41:O41,""))</f>
        <v>976.74333333333334</v>
      </c>
    </row>
    <row r="42" spans="1:18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37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B44" s="7" t="s">
        <v>35</v>
      </c>
      <c r="C44" s="8">
        <f t="shared" ref="C44:N44" si="12">24*(C13+C16+C27+C41)+2*C24</f>
        <v>29982.720000000005</v>
      </c>
      <c r="D44" s="8">
        <f t="shared" si="12"/>
        <v>26658.399999999998</v>
      </c>
      <c r="E44" s="8">
        <f t="shared" si="12"/>
        <v>24658.959999999999</v>
      </c>
      <c r="F44" s="8">
        <f t="shared" si="12"/>
        <v>20602.880000000005</v>
      </c>
      <c r="G44" s="451">
        <f t="shared" ref="G44:H44" si="13">24*(G13+G16+G27+G41)+2*G24</f>
        <v>20376.88</v>
      </c>
      <c r="H44" s="451">
        <f t="shared" si="13"/>
        <v>20228.080000000002</v>
      </c>
      <c r="I44" s="8">
        <f t="shared" si="12"/>
        <v>24749.239999999998</v>
      </c>
      <c r="J44" s="8">
        <f t="shared" si="12"/>
        <v>24305.040000000001</v>
      </c>
      <c r="K44" s="8">
        <f t="shared" si="12"/>
        <v>28602</v>
      </c>
      <c r="L44" s="8">
        <f t="shared" si="12"/>
        <v>22594.02</v>
      </c>
      <c r="M44" s="8">
        <f t="shared" si="12"/>
        <v>24983.040000000001</v>
      </c>
      <c r="N44" s="8">
        <f t="shared" si="12"/>
        <v>31180.800000000003</v>
      </c>
      <c r="O44" s="8"/>
      <c r="P44" s="8">
        <f t="array" ref="P44">AVERAGE(IF(C44:O44&lt;&gt;0,C44:O44,""))</f>
        <v>24910.171666666665</v>
      </c>
    </row>
    <row r="45" spans="1:18">
      <c r="B45" s="7" t="s">
        <v>28</v>
      </c>
      <c r="C45" s="8">
        <f>+C44/24</f>
        <v>1249.2800000000002</v>
      </c>
      <c r="D45" s="8">
        <f t="shared" ref="D45:N45" si="14">+D44/24</f>
        <v>1110.7666666666667</v>
      </c>
      <c r="E45" s="8">
        <f t="shared" si="14"/>
        <v>1027.4566666666667</v>
      </c>
      <c r="F45" s="8">
        <f t="shared" si="14"/>
        <v>858.45333333333349</v>
      </c>
      <c r="G45" s="451">
        <f t="shared" ref="G45:H45" si="15">+G44/24</f>
        <v>849.03666666666675</v>
      </c>
      <c r="H45" s="451">
        <f t="shared" si="15"/>
        <v>842.8366666666667</v>
      </c>
      <c r="I45" s="8">
        <f t="shared" si="14"/>
        <v>1031.2183333333332</v>
      </c>
      <c r="J45" s="8">
        <f t="shared" si="14"/>
        <v>1012.71</v>
      </c>
      <c r="K45" s="8">
        <f t="shared" si="14"/>
        <v>1191.75</v>
      </c>
      <c r="L45" s="8">
        <f t="shared" si="14"/>
        <v>941.41750000000002</v>
      </c>
      <c r="M45" s="8">
        <f t="shared" si="14"/>
        <v>1040.96</v>
      </c>
      <c r="N45" s="8">
        <f t="shared" si="14"/>
        <v>1299.2</v>
      </c>
      <c r="O45" s="8"/>
      <c r="P45" s="8">
        <f t="array" ref="P45">AVERAGE(IF(C45:O45&lt;&gt;0,C45:O45,""))</f>
        <v>1037.9238194444445</v>
      </c>
    </row>
    <row r="46" spans="1:18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 ht="13.5">
      <c r="A47" s="140" t="s">
        <v>266</v>
      </c>
    </row>
    <row r="48" spans="1:18" ht="13.5">
      <c r="A48" s="140" t="s">
        <v>268</v>
      </c>
    </row>
    <row r="49" spans="1:1" ht="13.5">
      <c r="A49" s="140" t="s">
        <v>286</v>
      </c>
    </row>
  </sheetData>
  <printOptions horizontalCentered="1"/>
  <pageMargins left="0" right="0" top="0.5" bottom="0.5" header="0.25" footer="0.25"/>
  <pageSetup scale="70" fitToHeight="0" orientation="landscape" r:id="rId1"/>
  <headerFooter alignWithMargins="0">
    <oddFooter>&amp;ROffice of Institutional Research,SUS, &amp;F, &amp;D</oddFooter>
  </headerFooter>
  <colBreaks count="1" manualBreakCount="1">
    <brk id="16" max="226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82"/>
  <sheetViews>
    <sheetView showZeros="0" zoomScaleNormal="100" workbookViewId="0"/>
  </sheetViews>
  <sheetFormatPr defaultColWidth="9.140625" defaultRowHeight="12.75"/>
  <cols>
    <col min="1" max="1" width="12.7109375" style="4" customWidth="1"/>
    <col min="2" max="2" width="34.140625" style="4" customWidth="1"/>
    <col min="3" max="6" width="10.5703125" style="4" bestFit="1" customWidth="1"/>
    <col min="7" max="8" width="10.5703125" style="4" customWidth="1"/>
    <col min="9" max="9" width="10.5703125" style="4" bestFit="1" customWidth="1"/>
    <col min="10" max="10" width="7" style="4" bestFit="1" customWidth="1"/>
    <col min="11" max="11" width="10.5703125" style="4" bestFit="1" customWidth="1"/>
    <col min="12" max="13" width="10.7109375" style="4" bestFit="1" customWidth="1"/>
    <col min="14" max="15" width="7" style="4" bestFit="1" customWidth="1"/>
    <col min="16" max="16" width="10.5703125" style="4" bestFit="1" customWidth="1"/>
    <col min="17" max="17" width="10.5703125" style="4" hidden="1" customWidth="1"/>
    <col min="18" max="18" width="9.140625" style="4"/>
    <col min="19" max="19" width="9.7109375" style="4" bestFit="1" customWidth="1"/>
    <col min="20" max="16384" width="9.140625" style="4"/>
  </cols>
  <sheetData>
    <row r="1" spans="1:21" ht="25.5">
      <c r="A1" s="1" t="s">
        <v>269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21" ht="21" customHeight="1">
      <c r="A2" s="1" t="s">
        <v>279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5" t="s">
        <v>130</v>
      </c>
    </row>
    <row r="3" spans="1:21" ht="8.4499999999999993" customHeight="1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5"/>
    </row>
    <row r="4" spans="1:21">
      <c r="C4" s="5" t="s">
        <v>0</v>
      </c>
      <c r="D4" s="5" t="s">
        <v>1</v>
      </c>
      <c r="E4" s="5" t="s">
        <v>2</v>
      </c>
      <c r="F4" s="450" t="s">
        <v>272</v>
      </c>
      <c r="G4" s="450" t="s">
        <v>284</v>
      </c>
      <c r="H4" s="450" t="s">
        <v>285</v>
      </c>
      <c r="I4" s="5" t="s">
        <v>4</v>
      </c>
      <c r="J4" s="5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5" t="s">
        <v>280</v>
      </c>
      <c r="Q4" s="5" t="s">
        <v>11</v>
      </c>
    </row>
    <row r="5" spans="1:21">
      <c r="A5" s="6" t="s">
        <v>12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21">
      <c r="A6" s="6"/>
      <c r="B6" s="7" t="s">
        <v>13</v>
      </c>
      <c r="C6" s="8">
        <f>'Survey Template'!C107</f>
        <v>16.059999999999999</v>
      </c>
      <c r="D6" s="8">
        <f>'Survey Template'!D107</f>
        <v>12.24</v>
      </c>
      <c r="E6" s="8">
        <f>'Survey Template'!E107</f>
        <v>10.5</v>
      </c>
      <c r="F6" s="8">
        <f>'Survey Template'!F107</f>
        <v>11.71</v>
      </c>
      <c r="G6" s="451">
        <f>'Survey Template'!G107</f>
        <v>25.05</v>
      </c>
      <c r="H6" s="451">
        <f>'Survey Template'!H107</f>
        <v>20.190000000000001</v>
      </c>
      <c r="I6" s="8">
        <f>'Survey Template'!I107</f>
        <v>12.32</v>
      </c>
      <c r="J6" s="8">
        <f>'Survey Template'!J107</f>
        <v>13.3</v>
      </c>
      <c r="K6" s="8">
        <f>'Survey Template'!K107</f>
        <v>10.79</v>
      </c>
      <c r="L6" s="8">
        <f>'Survey Template'!L107</f>
        <v>12.87</v>
      </c>
      <c r="M6" s="8">
        <f>'Survey Template'!M107</f>
        <v>14.47</v>
      </c>
      <c r="N6" s="8">
        <f>'Survey Template'!N107</f>
        <v>11.24</v>
      </c>
      <c r="O6" s="8">
        <f>'Survey Template'!O107</f>
        <v>16.649999999999999</v>
      </c>
      <c r="P6" s="8">
        <f t="array" ref="P6">AVERAGE(IF(C6:O6&lt;&gt;0,C6:O6,""))</f>
        <v>14.414615384615386</v>
      </c>
      <c r="Q6" s="159"/>
      <c r="U6" s="7"/>
    </row>
    <row r="7" spans="1:21">
      <c r="A7" s="6"/>
      <c r="B7" s="7" t="s">
        <v>14</v>
      </c>
      <c r="C7" s="8">
        <f>'Survey Template'!C110</f>
        <v>1.9</v>
      </c>
      <c r="D7" s="8">
        <f>'Survey Template'!D110</f>
        <v>7.54</v>
      </c>
      <c r="E7" s="8">
        <f>'Survey Template'!E110</f>
        <v>13.969999999999999</v>
      </c>
      <c r="F7" s="8">
        <f>'Survey Template'!F110</f>
        <v>14.46</v>
      </c>
      <c r="G7" s="451">
        <f>'Survey Template'!G110</f>
        <v>2.4500000000000002</v>
      </c>
      <c r="H7" s="451">
        <f>'Survey Template'!H110</f>
        <v>4.2300000000000004</v>
      </c>
      <c r="I7" s="8">
        <f>'Survey Template'!I110</f>
        <v>17.27</v>
      </c>
      <c r="J7" s="8">
        <f>'Survey Template'!J110</f>
        <v>19.39</v>
      </c>
      <c r="K7" s="8">
        <f>'Survey Template'!K110</f>
        <v>13.44</v>
      </c>
      <c r="L7" s="8">
        <f>'Survey Template'!L110</f>
        <v>14.1</v>
      </c>
      <c r="M7" s="8">
        <f>'Survey Template'!M110</f>
        <v>14.33</v>
      </c>
      <c r="N7" s="8">
        <f>'Survey Template'!N110</f>
        <v>12.79</v>
      </c>
      <c r="O7" s="8">
        <f>'Survey Template'!O110</f>
        <v>6.28</v>
      </c>
      <c r="P7" s="8">
        <f t="array" ref="P7">AVERAGE(IF(C7:O7&lt;&gt;0,C7:O7,""))</f>
        <v>10.934615384615382</v>
      </c>
      <c r="Q7" s="159"/>
      <c r="U7" s="7"/>
    </row>
    <row r="8" spans="1:21">
      <c r="A8" s="6"/>
      <c r="B8" s="7" t="s">
        <v>113</v>
      </c>
      <c r="C8" s="8">
        <f>'Survey Template'!C111</f>
        <v>0</v>
      </c>
      <c r="D8" s="8">
        <f>'Survey Template'!D111</f>
        <v>0</v>
      </c>
      <c r="E8" s="8">
        <f>'Survey Template'!E111</f>
        <v>0</v>
      </c>
      <c r="F8" s="8">
        <f>'Survey Template'!F111</f>
        <v>0</v>
      </c>
      <c r="G8" s="451">
        <f>'Survey Template'!G111</f>
        <v>0</v>
      </c>
      <c r="H8" s="451">
        <f>'Survey Template'!H111</f>
        <v>0</v>
      </c>
      <c r="I8" s="8">
        <f>'Survey Template'!I111</f>
        <v>0</v>
      </c>
      <c r="J8" s="8">
        <f>'Survey Template'!J111</f>
        <v>0</v>
      </c>
      <c r="K8" s="8">
        <f>'Survey Template'!K111</f>
        <v>0</v>
      </c>
      <c r="L8" s="8">
        <f>'Survey Template'!L111</f>
        <v>2</v>
      </c>
      <c r="M8" s="8">
        <f>'Survey Template'!M111</f>
        <v>2</v>
      </c>
      <c r="N8" s="8">
        <f>'Survey Template'!N111</f>
        <v>4</v>
      </c>
      <c r="O8" s="8">
        <f>'Survey Template'!O111</f>
        <v>0</v>
      </c>
      <c r="P8" s="8">
        <f t="array" ref="P8">AVERAGE(IF(C8:O8&lt;&gt;0,C8:O8,""))</f>
        <v>2.6666666666666665</v>
      </c>
      <c r="U8" s="7"/>
    </row>
    <row r="9" spans="1:21">
      <c r="A9" s="6"/>
      <c r="B9" s="7" t="s">
        <v>15</v>
      </c>
      <c r="C9" s="8">
        <f>'Survey Template'!C115</f>
        <v>13.82</v>
      </c>
      <c r="D9" s="8">
        <f>'Survey Template'!D115</f>
        <v>13.42</v>
      </c>
      <c r="E9" s="8">
        <f>'Survey Template'!E115</f>
        <v>6.91</v>
      </c>
      <c r="F9" s="8">
        <f>'Survey Template'!F115</f>
        <v>9.73</v>
      </c>
      <c r="G9" s="451">
        <f>'Survey Template'!G115</f>
        <v>3.9</v>
      </c>
      <c r="H9" s="451">
        <f>'Survey Template'!H115</f>
        <v>4.03</v>
      </c>
      <c r="I9" s="8">
        <f>'Survey Template'!I115</f>
        <v>9.42</v>
      </c>
      <c r="J9" s="8">
        <f>'Survey Template'!J115</f>
        <v>7.23</v>
      </c>
      <c r="K9" s="8">
        <f>'Survey Template'!K115</f>
        <v>10.3</v>
      </c>
      <c r="L9" s="8">
        <f>'Survey Template'!L115</f>
        <v>0</v>
      </c>
      <c r="M9" s="8">
        <f>'Survey Template'!M115</f>
        <v>9.76</v>
      </c>
      <c r="N9" s="8">
        <f>'Survey Template'!N115</f>
        <v>8.7899999999999991</v>
      </c>
      <c r="O9" s="8">
        <f>'Survey Template'!O115</f>
        <v>4.58</v>
      </c>
      <c r="P9" s="8">
        <f t="array" ref="P9">AVERAGE(IF(C9:O9&lt;&gt;0,C9:O9,""))</f>
        <v>8.4908333333333328</v>
      </c>
      <c r="U9" s="7"/>
    </row>
    <row r="10" spans="1:21">
      <c r="B10" s="51" t="s">
        <v>144</v>
      </c>
      <c r="C10" s="50">
        <f>'Survey Template'!C118</f>
        <v>8.41</v>
      </c>
      <c r="D10" s="50">
        <f>'Survey Template'!D118</f>
        <v>8.9</v>
      </c>
      <c r="E10" s="50">
        <f>'Survey Template'!E118</f>
        <v>0</v>
      </c>
      <c r="F10" s="50">
        <f>'Survey Template'!F118</f>
        <v>3</v>
      </c>
      <c r="G10" s="453">
        <f>'Survey Template'!G118</f>
        <v>2.25</v>
      </c>
      <c r="H10" s="453">
        <f>'Survey Template'!H118</f>
        <v>0</v>
      </c>
      <c r="I10" s="50">
        <f>'Survey Template'!I118</f>
        <v>0</v>
      </c>
      <c r="J10" s="50">
        <f>'Survey Template'!J118</f>
        <v>8</v>
      </c>
      <c r="K10" s="50">
        <f>'Survey Template'!K118</f>
        <v>9.1</v>
      </c>
      <c r="L10" s="50">
        <f>'Survey Template'!L118</f>
        <v>0</v>
      </c>
      <c r="M10" s="50">
        <f>'Survey Template'!M118</f>
        <v>4.08</v>
      </c>
      <c r="N10" s="50">
        <f>'Survey Template'!N118</f>
        <v>8.6999999999999993</v>
      </c>
      <c r="O10" s="50">
        <f>'Survey Template'!O118</f>
        <v>0</v>
      </c>
      <c r="P10" s="8">
        <f t="array" ref="P10">AVERAGE(IF(C10:O10&lt;&gt;0,C10:O10,""))</f>
        <v>6.5549999999999997</v>
      </c>
      <c r="U10" s="51"/>
    </row>
    <row r="11" spans="1:21">
      <c r="B11" s="51" t="s">
        <v>229</v>
      </c>
      <c r="C11" s="50">
        <f>'Survey Template'!C122</f>
        <v>0</v>
      </c>
      <c r="D11" s="50">
        <f>'Survey Template'!D122</f>
        <v>0</v>
      </c>
      <c r="E11" s="50">
        <f>'Survey Template'!E122</f>
        <v>0</v>
      </c>
      <c r="F11" s="50">
        <f>'Survey Template'!F122</f>
        <v>1</v>
      </c>
      <c r="G11" s="453">
        <f>'Survey Template'!G122</f>
        <v>1</v>
      </c>
      <c r="H11" s="453">
        <f>'Survey Template'!H122</f>
        <v>0</v>
      </c>
      <c r="I11" s="50">
        <f>'Survey Template'!I122</f>
        <v>0</v>
      </c>
      <c r="J11" s="50">
        <f>'Survey Template'!J122</f>
        <v>0.75</v>
      </c>
      <c r="K11" s="50">
        <f>'Survey Template'!K122</f>
        <v>0</v>
      </c>
      <c r="L11" s="50">
        <f>'Survey Template'!L122</f>
        <v>0</v>
      </c>
      <c r="M11" s="50">
        <f>'Survey Template'!M122</f>
        <v>0</v>
      </c>
      <c r="N11" s="50">
        <f>'Survey Template'!N122</f>
        <v>0</v>
      </c>
      <c r="O11" s="50">
        <f>'Survey Template'!O122</f>
        <v>1</v>
      </c>
      <c r="P11" s="8">
        <f t="array" ref="P11">AVERAGE(IF(C11:O11&lt;&gt;0,C11:O11,""))</f>
        <v>0.9375</v>
      </c>
      <c r="U11" s="51"/>
    </row>
    <row r="12" spans="1:21" ht="39.6" customHeight="1" thickBot="1">
      <c r="A12" s="6"/>
      <c r="B12" s="275" t="s">
        <v>230</v>
      </c>
      <c r="C12" s="9">
        <f>'Survey Template'!C162</f>
        <v>0</v>
      </c>
      <c r="D12" s="9">
        <f>'Survey Template'!D162</f>
        <v>2</v>
      </c>
      <c r="E12" s="9">
        <f>'Survey Template'!E162</f>
        <v>0</v>
      </c>
      <c r="F12" s="9">
        <f>'Survey Template'!F162</f>
        <v>1.5</v>
      </c>
      <c r="G12" s="452">
        <f>'Survey Template'!G162</f>
        <v>0</v>
      </c>
      <c r="H12" s="452">
        <f>'Survey Template'!H162</f>
        <v>0</v>
      </c>
      <c r="I12" s="9">
        <f>'Survey Template'!I162</f>
        <v>0</v>
      </c>
      <c r="J12" s="9">
        <f>'Survey Template'!J162</f>
        <v>0</v>
      </c>
      <c r="K12" s="9">
        <f>'Survey Template'!K162</f>
        <v>0</v>
      </c>
      <c r="L12" s="9">
        <f>'Survey Template'!L162</f>
        <v>0</v>
      </c>
      <c r="M12" s="9">
        <f>'Survey Template'!M162+'Survey Template'!M123</f>
        <v>5.16</v>
      </c>
      <c r="N12" s="9">
        <f>'Survey Template'!N162</f>
        <v>0</v>
      </c>
      <c r="O12" s="9"/>
      <c r="P12" s="8">
        <f t="array" ref="P12">AVERAGE(IF(C12:O12&lt;&gt;0,C12:O12,""))</f>
        <v>2.8866666666666667</v>
      </c>
      <c r="S12" s="8"/>
      <c r="U12" s="275"/>
    </row>
    <row r="13" spans="1:21">
      <c r="B13" s="168" t="s">
        <v>17</v>
      </c>
      <c r="C13" s="8">
        <f>SUM(C6:C12)</f>
        <v>40.19</v>
      </c>
      <c r="D13" s="8">
        <f>SUM(D6:D12)</f>
        <v>44.1</v>
      </c>
      <c r="E13" s="8">
        <f t="shared" ref="E13:N13" si="0">SUM(E6:E12)</f>
        <v>31.38</v>
      </c>
      <c r="F13" s="8">
        <f>SUM(F6:F12)</f>
        <v>41.400000000000006</v>
      </c>
      <c r="G13" s="451">
        <f t="shared" ref="G13:H13" si="1">SUM(G6:G12)</f>
        <v>34.65</v>
      </c>
      <c r="H13" s="451">
        <f t="shared" si="1"/>
        <v>28.450000000000003</v>
      </c>
      <c r="I13" s="8">
        <f>SUM(I6:I12)</f>
        <v>39.01</v>
      </c>
      <c r="J13" s="8">
        <f>SUM(J6:J12)</f>
        <v>48.67</v>
      </c>
      <c r="K13" s="8">
        <f t="shared" si="0"/>
        <v>43.63</v>
      </c>
      <c r="L13" s="8">
        <f t="shared" si="0"/>
        <v>28.97</v>
      </c>
      <c r="M13" s="8">
        <f>SUM(M6:M12)</f>
        <v>49.8</v>
      </c>
      <c r="N13" s="8">
        <f t="shared" si="0"/>
        <v>45.519999999999996</v>
      </c>
      <c r="O13" s="8">
        <f>SUM(O6:O12)</f>
        <v>28.509999999999998</v>
      </c>
      <c r="P13" s="8">
        <f t="array" ref="P13">AVERAGE(IF(C13:O13&lt;&gt;0,C13:O13,""))</f>
        <v>38.790769230769236</v>
      </c>
      <c r="S13" s="8"/>
      <c r="U13" s="168"/>
    </row>
    <row r="14" spans="1:21" ht="7.5" customHeight="1">
      <c r="B14" s="16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21">
      <c r="B15" s="7" t="s">
        <v>189</v>
      </c>
      <c r="C15" s="8">
        <f>'Survey Template'!C133</f>
        <v>5.16</v>
      </c>
      <c r="D15" s="8">
        <f>'Survey Template'!D133</f>
        <v>5.16</v>
      </c>
      <c r="E15" s="8">
        <f>'Survey Template'!E133</f>
        <v>18.98</v>
      </c>
      <c r="F15" s="451">
        <f>'Survey Template'!F133</f>
        <v>0</v>
      </c>
      <c r="G15" s="451">
        <f>'Survey Template'!G133</f>
        <v>0</v>
      </c>
      <c r="H15" s="451">
        <f>'Survey Template'!H133</f>
        <v>0</v>
      </c>
      <c r="I15" s="8">
        <f>'Survey Template'!I133</f>
        <v>0</v>
      </c>
      <c r="J15" s="8">
        <f>'Survey Template'!J133</f>
        <v>0</v>
      </c>
      <c r="K15" s="8">
        <f>'Survey Template'!K133</f>
        <v>0</v>
      </c>
      <c r="L15" s="8">
        <f>'Survey Template'!L133</f>
        <v>25.44</v>
      </c>
      <c r="M15" s="8">
        <f>'Survey Template'!M133</f>
        <v>0</v>
      </c>
      <c r="N15" s="8">
        <f>'Survey Template'!N133</f>
        <v>0</v>
      </c>
      <c r="O15" s="8">
        <f>'Survey Template'!O133</f>
        <v>0</v>
      </c>
      <c r="P15" s="8">
        <f t="array" ref="P15">AVERAGE(IF(C15:O15&lt;&gt;0,C15:O15,""))</f>
        <v>13.685</v>
      </c>
      <c r="S15" s="8"/>
    </row>
    <row r="16" spans="1:21">
      <c r="B16" s="7" t="s">
        <v>190</v>
      </c>
      <c r="C16" s="8">
        <f>'Survey Template'!C135</f>
        <v>0</v>
      </c>
      <c r="D16" s="8">
        <f>'Survey Template'!D135</f>
        <v>0</v>
      </c>
      <c r="E16" s="8">
        <f>'Survey Template'!E135</f>
        <v>0</v>
      </c>
      <c r="F16" s="8">
        <f>'Survey Template'!F135</f>
        <v>0</v>
      </c>
      <c r="G16" s="451">
        <f>'Survey Template'!G135</f>
        <v>0</v>
      </c>
      <c r="H16" s="451">
        <f>'Survey Template'!H135</f>
        <v>0</v>
      </c>
      <c r="I16" s="8">
        <f>'Survey Template'!I135</f>
        <v>0</v>
      </c>
      <c r="J16" s="8">
        <f>'Survey Template'!J135</f>
        <v>0</v>
      </c>
      <c r="K16" s="8">
        <f>'Survey Template'!K135</f>
        <v>0</v>
      </c>
      <c r="L16" s="8">
        <f>'Survey Template'!L135</f>
        <v>0</v>
      </c>
      <c r="M16" s="8">
        <f>'Survey Template'!M135</f>
        <v>5.16</v>
      </c>
      <c r="N16" s="8">
        <f>'Survey Template'!N135</f>
        <v>0</v>
      </c>
      <c r="O16" s="8">
        <f>'Survey Template'!O135</f>
        <v>0</v>
      </c>
      <c r="P16" s="8">
        <f t="array" ref="P16">AVERAGE(IF(C16:O16&lt;&gt;0,C16:O16,""))</f>
        <v>5.16</v>
      </c>
      <c r="U16" s="435"/>
    </row>
    <row r="17" spans="1:21">
      <c r="B17" s="51" t="s">
        <v>193</v>
      </c>
      <c r="C17" s="50">
        <f>'Survey Template'!C134</f>
        <v>0</v>
      </c>
      <c r="D17" s="50">
        <f>'Survey Template'!D134</f>
        <v>0</v>
      </c>
      <c r="E17" s="50">
        <f>'Survey Template'!E134</f>
        <v>0</v>
      </c>
      <c r="F17" s="50">
        <f>'Survey Template'!F134</f>
        <v>0</v>
      </c>
      <c r="G17" s="453">
        <f>'Survey Template'!G134</f>
        <v>0</v>
      </c>
      <c r="H17" s="453">
        <f>'Survey Template'!H134</f>
        <v>0</v>
      </c>
      <c r="I17" s="50">
        <f>'Survey Template'!I134</f>
        <v>0</v>
      </c>
      <c r="J17" s="50">
        <f>'Survey Template'!J134</f>
        <v>0</v>
      </c>
      <c r="K17" s="50">
        <f>'Survey Template'!K134</f>
        <v>24.72</v>
      </c>
      <c r="L17" s="50">
        <f>'Survey Template'!L134</f>
        <v>0</v>
      </c>
      <c r="M17" s="50">
        <f>'Survey Template'!M134</f>
        <v>0</v>
      </c>
      <c r="N17" s="50">
        <f>'Survey Template'!N134</f>
        <v>0</v>
      </c>
      <c r="O17" s="50">
        <f>'Survey Template'!O134</f>
        <v>0</v>
      </c>
      <c r="P17" s="8">
        <f t="array" ref="P17">AVERAGE(IF(C17:O17&lt;&gt;0,C17:O17,""))</f>
        <v>24.72</v>
      </c>
      <c r="U17" s="7"/>
    </row>
    <row r="18" spans="1:21" ht="6.95" customHeight="1">
      <c r="B18" s="194"/>
      <c r="C18" s="8"/>
      <c r="D18" s="8"/>
      <c r="E18" s="8"/>
      <c r="F18" s="50"/>
      <c r="G18" s="453"/>
      <c r="H18" s="453"/>
      <c r="I18" s="8"/>
      <c r="J18" s="8"/>
      <c r="K18" s="8"/>
      <c r="L18" s="8"/>
      <c r="M18" s="8"/>
      <c r="N18" s="8"/>
      <c r="O18" s="8"/>
      <c r="P18" s="8"/>
      <c r="U18" s="7"/>
    </row>
    <row r="19" spans="1:21">
      <c r="A19" s="6" t="s">
        <v>18</v>
      </c>
      <c r="B19" s="7"/>
      <c r="C19" s="8"/>
      <c r="D19" s="8"/>
      <c r="E19" s="8"/>
      <c r="F19" s="8"/>
      <c r="G19" s="451"/>
      <c r="H19" s="451"/>
      <c r="I19" s="8"/>
      <c r="J19" s="8"/>
      <c r="K19" s="8"/>
      <c r="L19" s="8"/>
      <c r="M19" s="8"/>
      <c r="N19" s="8"/>
      <c r="O19" s="8"/>
      <c r="P19" s="8"/>
      <c r="U19" s="7"/>
    </row>
    <row r="20" spans="1:21">
      <c r="B20" s="7" t="s">
        <v>13</v>
      </c>
      <c r="C20" s="8">
        <f>'Survey Template'!C108</f>
        <v>0</v>
      </c>
      <c r="D20" s="8">
        <f>'Survey Template'!D108</f>
        <v>0</v>
      </c>
      <c r="E20" s="8">
        <f>'Survey Template'!E108</f>
        <v>0</v>
      </c>
      <c r="F20" s="8">
        <f>'Survey Template'!F108</f>
        <v>7</v>
      </c>
      <c r="G20" s="451">
        <f>'Survey Template'!G108</f>
        <v>0</v>
      </c>
      <c r="H20" s="451">
        <f>'Survey Template'!H108</f>
        <v>0</v>
      </c>
      <c r="I20" s="8">
        <f>'Survey Template'!I108</f>
        <v>0</v>
      </c>
      <c r="J20" s="8">
        <f>'Survey Template'!J108</f>
        <v>0</v>
      </c>
      <c r="K20" s="8">
        <f>'Survey Template'!K108</f>
        <v>0</v>
      </c>
      <c r="L20" s="8">
        <f>'Survey Template'!L108</f>
        <v>0</v>
      </c>
      <c r="M20" s="8">
        <f>'Survey Template'!M108</f>
        <v>0</v>
      </c>
      <c r="N20" s="8">
        <f>'Survey Template'!N108</f>
        <v>0</v>
      </c>
      <c r="O20" s="8">
        <f>'Survey Template'!O108</f>
        <v>0</v>
      </c>
      <c r="P20" s="8">
        <f t="array" ref="P20">AVERAGE(IF(C20:O20&lt;&gt;0,C20:O20,""))</f>
        <v>7</v>
      </c>
      <c r="U20" s="51"/>
    </row>
    <row r="21" spans="1:21">
      <c r="B21" s="7" t="s">
        <v>14</v>
      </c>
      <c r="C21" s="8">
        <f>'Survey Template'!C113</f>
        <v>0</v>
      </c>
      <c r="D21" s="8">
        <f>'Survey Template'!D113</f>
        <v>0</v>
      </c>
      <c r="E21" s="8">
        <f>'Survey Template'!E113</f>
        <v>0</v>
      </c>
      <c r="F21" s="8">
        <f>'Survey Template'!F113</f>
        <v>10</v>
      </c>
      <c r="G21" s="451">
        <f>'Survey Template'!G113</f>
        <v>5</v>
      </c>
      <c r="H21" s="451">
        <f>'Survey Template'!H113</f>
        <v>5</v>
      </c>
      <c r="I21" s="8">
        <f>'Survey Template'!I113</f>
        <v>0</v>
      </c>
      <c r="J21" s="8">
        <f>'Survey Template'!J113</f>
        <v>0</v>
      </c>
      <c r="K21" s="8">
        <f>'Survey Template'!K113</f>
        <v>0</v>
      </c>
      <c r="L21" s="8">
        <f>'Survey Template'!L113</f>
        <v>10</v>
      </c>
      <c r="M21" s="8">
        <f>'Survey Template'!M113</f>
        <v>0</v>
      </c>
      <c r="N21" s="8">
        <f>'Survey Template'!N113</f>
        <v>0</v>
      </c>
      <c r="O21" s="8">
        <f>'Survey Template'!O113</f>
        <v>0</v>
      </c>
      <c r="P21" s="8">
        <f t="array" ref="P21">AVERAGE(IF(C21:O21&lt;&gt;0,C21:O21,""))</f>
        <v>7.5</v>
      </c>
      <c r="U21" s="7"/>
    </row>
    <row r="22" spans="1:21">
      <c r="B22" s="7" t="s">
        <v>15</v>
      </c>
      <c r="C22" s="8">
        <f>'Survey Template'!C116</f>
        <v>0</v>
      </c>
      <c r="D22" s="8">
        <f>'Survey Template'!D116</f>
        <v>0</v>
      </c>
      <c r="E22" s="8">
        <f>'Survey Template'!E116</f>
        <v>0</v>
      </c>
      <c r="F22" s="8">
        <f>'Survey Template'!F116</f>
        <v>0</v>
      </c>
      <c r="G22" s="451">
        <f>'Survey Template'!G116</f>
        <v>0</v>
      </c>
      <c r="H22" s="451">
        <f>'Survey Template'!H116</f>
        <v>0</v>
      </c>
      <c r="I22" s="8">
        <f>'Survey Template'!I116</f>
        <v>0</v>
      </c>
      <c r="J22" s="8">
        <f>'Survey Template'!J116</f>
        <v>0</v>
      </c>
      <c r="K22" s="8">
        <f>'Survey Template'!K116</f>
        <v>0</v>
      </c>
      <c r="L22" s="8">
        <f>'Survey Template'!L116</f>
        <v>83.19</v>
      </c>
      <c r="M22" s="8">
        <f>'Survey Template'!M116</f>
        <v>0</v>
      </c>
      <c r="N22" s="8">
        <f>'Survey Template'!N116</f>
        <v>0</v>
      </c>
      <c r="O22" s="8">
        <f>'Survey Template'!O116</f>
        <v>0</v>
      </c>
      <c r="P22" s="8">
        <f t="array" ref="P22">AVERAGE(IF(C22:O22&lt;&gt;0,C22:O22,""))</f>
        <v>83.19</v>
      </c>
      <c r="U22" s="168"/>
    </row>
    <row r="23" spans="1:21">
      <c r="B23" s="51" t="s">
        <v>16</v>
      </c>
      <c r="C23" s="50">
        <f>'Survey Template'!C119</f>
        <v>0</v>
      </c>
      <c r="D23" s="50">
        <f>'Survey Template'!D119</f>
        <v>0</v>
      </c>
      <c r="E23" s="50">
        <f>'Survey Template'!E119</f>
        <v>65</v>
      </c>
      <c r="F23" s="50">
        <f>'Survey Template'!F119</f>
        <v>0</v>
      </c>
      <c r="G23" s="453">
        <f>'Survey Template'!G119</f>
        <v>0</v>
      </c>
      <c r="H23" s="453">
        <f>'Survey Template'!H119</f>
        <v>0</v>
      </c>
      <c r="I23" s="50">
        <f>'Survey Template'!I119</f>
        <v>76.900000000000006</v>
      </c>
      <c r="J23" s="50">
        <f>'Survey Template'!J119</f>
        <v>0</v>
      </c>
      <c r="K23" s="50">
        <f>'Survey Template'!K119</f>
        <v>0</v>
      </c>
      <c r="L23" s="8">
        <f>'Survey Template'!L119</f>
        <v>88.94</v>
      </c>
      <c r="M23" s="50">
        <f>'Survey Template'!M119</f>
        <v>0</v>
      </c>
      <c r="N23" s="50">
        <f>'Survey Template'!N119</f>
        <v>0</v>
      </c>
      <c r="O23" s="50">
        <f>'Survey Template'!O119</f>
        <v>0</v>
      </c>
      <c r="P23" s="8">
        <f t="array" ref="P23">AVERAGE(IF(C23:O23&lt;&gt;0,C23:O23,""))</f>
        <v>76.946666666666673</v>
      </c>
      <c r="U23" s="51"/>
    </row>
    <row r="24" spans="1:21" ht="13.5" thickBot="1">
      <c r="A24" s="6"/>
      <c r="B24" s="7" t="s">
        <v>277</v>
      </c>
      <c r="C24" s="9">
        <f>'Survey Template'!C161</f>
        <v>0</v>
      </c>
      <c r="D24" s="9">
        <f>'Survey Template'!D161</f>
        <v>20</v>
      </c>
      <c r="E24" s="9">
        <f>'Survey Template'!E161</f>
        <v>0</v>
      </c>
      <c r="F24" s="9">
        <f>'Survey Template'!F161</f>
        <v>20</v>
      </c>
      <c r="G24" s="452">
        <f>'Survey Template'!G161</f>
        <v>0</v>
      </c>
      <c r="H24" s="452">
        <f>'Survey Template'!H161</f>
        <v>0</v>
      </c>
      <c r="I24" s="9">
        <f>'Survey Template'!I161</f>
        <v>0</v>
      </c>
      <c r="J24" s="9">
        <f>'Survey Template'!J161</f>
        <v>0</v>
      </c>
      <c r="K24" s="9">
        <f>'Survey Template'!K161</f>
        <v>0</v>
      </c>
      <c r="L24" s="9">
        <f>'Survey Template'!L161</f>
        <v>0</v>
      </c>
      <c r="M24" s="9">
        <f>'Survey Template'!M161</f>
        <v>0</v>
      </c>
      <c r="N24" s="9">
        <f>'Survey Template'!N161</f>
        <v>0</v>
      </c>
      <c r="O24" s="9">
        <f>'Survey Template'!O161</f>
        <v>0</v>
      </c>
      <c r="P24" s="8">
        <f t="array" ref="P24">AVERAGE(IF(C24:O24&lt;&gt;0,C24:O24,""))</f>
        <v>20</v>
      </c>
      <c r="U24" s="436"/>
    </row>
    <row r="25" spans="1:21">
      <c r="B25" s="168" t="s">
        <v>17</v>
      </c>
      <c r="C25" s="8">
        <f>SUM(C20:C24)</f>
        <v>0</v>
      </c>
      <c r="D25" s="8">
        <f>SUM(D20:D24)</f>
        <v>20</v>
      </c>
      <c r="E25" s="8">
        <f>SUM(E20:E24)</f>
        <v>65</v>
      </c>
      <c r="F25" s="8">
        <f>SUM(F20:F24)</f>
        <v>37</v>
      </c>
      <c r="G25" s="451">
        <f t="shared" ref="G25:H25" si="2">SUM(G20:G24)</f>
        <v>5</v>
      </c>
      <c r="H25" s="451">
        <f t="shared" si="2"/>
        <v>5</v>
      </c>
      <c r="I25" s="8">
        <f>SUM(I20:I24)</f>
        <v>76.900000000000006</v>
      </c>
      <c r="J25" s="8">
        <f t="shared" ref="J25:O25" si="3">SUM(J20:J24)</f>
        <v>0</v>
      </c>
      <c r="K25" s="8">
        <f t="shared" si="3"/>
        <v>0</v>
      </c>
      <c r="L25" s="8">
        <f>SUM(L20:L24)</f>
        <v>182.13</v>
      </c>
      <c r="M25" s="8">
        <f t="shared" si="3"/>
        <v>0</v>
      </c>
      <c r="N25" s="8">
        <f t="shared" si="3"/>
        <v>0</v>
      </c>
      <c r="O25" s="8">
        <f t="shared" si="3"/>
        <v>0</v>
      </c>
      <c r="P25" s="8">
        <f t="array" ref="P25">AVERAGE(IF(C25:O25&lt;&gt;0,C25:O25,""))</f>
        <v>55.861428571428569</v>
      </c>
      <c r="U25" s="7"/>
    </row>
    <row r="26" spans="1:21" ht="7.5" customHeight="1">
      <c r="B26" s="51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8"/>
    </row>
    <row r="27" spans="1:21">
      <c r="A27" s="6" t="s">
        <v>182</v>
      </c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21">
      <c r="B28" s="7" t="s">
        <v>191</v>
      </c>
      <c r="C28" s="50">
        <f>'Survey Template'!C145</f>
        <v>1762.4</v>
      </c>
      <c r="D28" s="50">
        <f>'Survey Template'!D145</f>
        <v>1587.6</v>
      </c>
      <c r="E28" s="50">
        <f>'Survey Template'!E145</f>
        <v>0</v>
      </c>
      <c r="F28" s="50">
        <f>'Survey Template'!F145+'Survey Template'!F137</f>
        <v>2857.5299999999997</v>
      </c>
      <c r="G28" s="453">
        <f>'Survey Template'!G145+'Survey Template'!G137</f>
        <v>0</v>
      </c>
      <c r="H28" s="453">
        <f>'Survey Template'!H145+'Survey Template'!H137</f>
        <v>0</v>
      </c>
      <c r="I28" s="50">
        <f>'Survey Template'!I145</f>
        <v>1746.24</v>
      </c>
      <c r="J28" s="50">
        <f>'Survey Template'!J145</f>
        <v>0</v>
      </c>
      <c r="K28" s="50">
        <f>'Survey Template'!K145</f>
        <v>1951.6</v>
      </c>
      <c r="L28" s="50">
        <f>'Survey Template'!L145</f>
        <v>1448.5</v>
      </c>
      <c r="M28" s="50">
        <f>'Survey Template'!M145</f>
        <v>0</v>
      </c>
      <c r="N28" s="50">
        <f>'Survey Template'!N145</f>
        <v>0</v>
      </c>
      <c r="O28" s="50">
        <f>'Survey Template'!O145</f>
        <v>0</v>
      </c>
      <c r="P28" s="8">
        <f t="array" ref="P28">AVERAGE(IF(C28:O28&lt;&gt;0,C28:O28,""))</f>
        <v>1892.3116666666665</v>
      </c>
    </row>
    <row r="29" spans="1:21">
      <c r="A29" s="6"/>
      <c r="B29" s="7" t="s">
        <v>192</v>
      </c>
      <c r="C29" s="50">
        <f>'Survey Template'!C146</f>
        <v>1762.4</v>
      </c>
      <c r="D29" s="50">
        <f>'Survey Template'!D146</f>
        <v>1587.6</v>
      </c>
      <c r="E29" s="50">
        <f>'Survey Template'!E146</f>
        <v>0</v>
      </c>
      <c r="F29" s="50">
        <f>'Survey Template'!F146+'Survey Template'!F137</f>
        <v>2857.5299999999997</v>
      </c>
      <c r="G29" s="453">
        <f>'Survey Template'!G146+'Survey Template'!G137</f>
        <v>0</v>
      </c>
      <c r="H29" s="453">
        <f>'Survey Template'!H146+'Survey Template'!H137</f>
        <v>0</v>
      </c>
      <c r="I29" s="50">
        <f>'Survey Template'!I146</f>
        <v>1746.24</v>
      </c>
      <c r="J29" s="50">
        <f>'Survey Template'!J146</f>
        <v>0</v>
      </c>
      <c r="K29" s="50">
        <f>'Survey Template'!K146</f>
        <v>1951.6</v>
      </c>
      <c r="L29" s="50">
        <f>'Survey Template'!L146</f>
        <v>1448.5</v>
      </c>
      <c r="M29" s="50">
        <f>'Survey Template'!M146</f>
        <v>0</v>
      </c>
      <c r="N29" s="50">
        <f>'Survey Template'!N146</f>
        <v>0</v>
      </c>
      <c r="O29" s="50">
        <f>'Survey Template'!O146</f>
        <v>0</v>
      </c>
      <c r="P29" s="8">
        <f t="array" ref="P29">AVERAGE(IF(C29:O29&lt;&gt;0,C29:O29,""))</f>
        <v>1892.3116666666665</v>
      </c>
    </row>
    <row r="30" spans="1:21">
      <c r="A30" s="181"/>
      <c r="B30" s="51" t="s">
        <v>235</v>
      </c>
      <c r="C30" s="50">
        <f>'Survey Template'!C137*0</f>
        <v>0</v>
      </c>
      <c r="D30" s="50">
        <f>'Survey Template'!D137</f>
        <v>185.76</v>
      </c>
      <c r="E30" s="50">
        <f>'Survey Template'!E137</f>
        <v>0</v>
      </c>
      <c r="F30" s="50">
        <f>'Survey Template'!F137*0</f>
        <v>0</v>
      </c>
      <c r="G30" s="453">
        <f>'Survey Template'!G137*0</f>
        <v>0</v>
      </c>
      <c r="H30" s="453">
        <f>'Survey Template'!H137*0</f>
        <v>0</v>
      </c>
      <c r="I30" s="50">
        <f>'Survey Template'!I137*0</f>
        <v>0</v>
      </c>
      <c r="J30" s="50">
        <f>'Survey Template'!J137</f>
        <v>0</v>
      </c>
      <c r="K30" s="50">
        <f>'Survey Template'!K137</f>
        <v>0</v>
      </c>
      <c r="L30" s="50">
        <f>'Survey Template'!L137</f>
        <v>1596.91</v>
      </c>
      <c r="M30" s="50">
        <f>'Survey Template'!M137</f>
        <v>0</v>
      </c>
      <c r="N30" s="50">
        <f>'Survey Template'!N137</f>
        <v>0</v>
      </c>
      <c r="O30" s="50">
        <f>'Survey Template'!O137</f>
        <v>0</v>
      </c>
      <c r="P30" s="8">
        <f t="array" ref="P30">AVERAGE(IF(C30:O30&lt;&gt;0,C30:O30,""))</f>
        <v>891.33500000000004</v>
      </c>
    </row>
    <row r="31" spans="1:21">
      <c r="A31" s="181"/>
      <c r="B31" s="51" t="s">
        <v>232</v>
      </c>
      <c r="C31" s="50">
        <f>'Survey Template'!C138*0</f>
        <v>0</v>
      </c>
      <c r="D31" s="50"/>
      <c r="E31" s="50"/>
      <c r="F31" s="50">
        <f>'Survey Template'!F138*0</f>
        <v>0</v>
      </c>
      <c r="G31" s="453">
        <f>'Survey Template'!G138*0</f>
        <v>0</v>
      </c>
      <c r="H31" s="453">
        <f>'Survey Template'!H138*0</f>
        <v>0</v>
      </c>
      <c r="I31" s="50"/>
      <c r="J31" s="50"/>
      <c r="K31" s="50"/>
      <c r="L31" s="50"/>
      <c r="M31" s="50"/>
      <c r="N31" s="50"/>
      <c r="O31" s="50"/>
      <c r="P31" s="8"/>
    </row>
    <row r="32" spans="1:21">
      <c r="A32" s="181"/>
      <c r="B32" s="51" t="s">
        <v>231</v>
      </c>
      <c r="C32" s="50"/>
      <c r="D32" s="50"/>
      <c r="E32" s="50"/>
      <c r="F32" s="50">
        <f>'Survey Template'!F136*0</f>
        <v>0</v>
      </c>
      <c r="G32" s="453">
        <f>'Survey Template'!G136*0</f>
        <v>0</v>
      </c>
      <c r="H32" s="453">
        <f>'Survey Template'!H136*0</f>
        <v>0</v>
      </c>
      <c r="I32" s="50"/>
      <c r="J32" s="50"/>
      <c r="K32" s="50"/>
      <c r="L32" s="50"/>
      <c r="M32" s="50"/>
      <c r="N32" s="50"/>
      <c r="O32" s="50"/>
      <c r="P32" s="8"/>
    </row>
    <row r="33" spans="1:18">
      <c r="A33" s="6" t="s">
        <v>185</v>
      </c>
      <c r="B33" s="5"/>
      <c r="C33" s="8"/>
      <c r="D33" s="8"/>
      <c r="E33" s="8"/>
      <c r="F33" s="8"/>
      <c r="G33" s="451"/>
      <c r="H33" s="451"/>
      <c r="I33" s="8"/>
      <c r="J33" s="8"/>
      <c r="K33" s="8"/>
      <c r="L33" s="8"/>
      <c r="M33" s="8"/>
      <c r="N33" s="8"/>
      <c r="O33" s="8"/>
      <c r="P33" s="8"/>
    </row>
    <row r="34" spans="1:18" ht="13.5">
      <c r="B34" s="168" t="s">
        <v>17</v>
      </c>
      <c r="C34" s="133">
        <f>'Survey Template'!C148</f>
        <v>1601.64</v>
      </c>
      <c r="D34" s="133">
        <f>'Survey Template'!D148</f>
        <v>0</v>
      </c>
      <c r="E34" s="133">
        <f>'Survey Template'!E148</f>
        <v>0</v>
      </c>
      <c r="F34" s="133">
        <f>'Survey Template'!F148+'Survey Template'!F138</f>
        <v>2857.5299999999997</v>
      </c>
      <c r="G34" s="133">
        <f>'Survey Template'!G148+'Survey Template'!G138</f>
        <v>0</v>
      </c>
      <c r="H34" s="133">
        <f>'Survey Template'!H148+'Survey Template'!H138</f>
        <v>0</v>
      </c>
      <c r="I34" s="133">
        <f>'Survey Template'!I148</f>
        <v>0</v>
      </c>
      <c r="J34" s="133">
        <f>'Survey Template'!J148</f>
        <v>0</v>
      </c>
      <c r="K34" s="133">
        <f>'Survey Template'!K148</f>
        <v>0</v>
      </c>
      <c r="L34" s="133">
        <f>'Survey Template'!L148</f>
        <v>0</v>
      </c>
      <c r="M34" s="133">
        <f>'Survey Template'!M148</f>
        <v>0</v>
      </c>
      <c r="N34" s="133">
        <f>'Survey Template'!N148</f>
        <v>0</v>
      </c>
      <c r="O34" s="133">
        <f>'Survey Template'!O148</f>
        <v>0</v>
      </c>
      <c r="P34" s="8">
        <f t="array" ref="P34">AVERAGE(IF(C34:O34&lt;&gt;0,C34:O34,""))</f>
        <v>2229.585</v>
      </c>
    </row>
    <row r="35" spans="1:18">
      <c r="B35" s="168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8"/>
    </row>
    <row r="36" spans="1:18" s="19" customFormat="1">
      <c r="A36" s="23" t="s">
        <v>134</v>
      </c>
      <c r="C36" s="178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0"/>
    </row>
    <row r="37" spans="1:18" s="19" customFormat="1" ht="13.5">
      <c r="B37" s="7" t="s">
        <v>183</v>
      </c>
      <c r="C37" s="133">
        <f>'Survey Template'!C151</f>
        <v>1722.2</v>
      </c>
      <c r="D37" s="50"/>
      <c r="E37" s="50"/>
      <c r="F37" s="133">
        <f>'Survey Template'!F151+'Survey Template'!F136</f>
        <v>2284.89</v>
      </c>
      <c r="G37" s="133">
        <f>'Survey Template'!G151+'Survey Template'!G136</f>
        <v>0</v>
      </c>
      <c r="H37" s="133">
        <f>'Survey Template'!H151+'Survey Template'!H136</f>
        <v>0</v>
      </c>
      <c r="I37" s="43"/>
      <c r="J37" s="43"/>
      <c r="K37" s="43"/>
      <c r="L37" s="43"/>
      <c r="M37" s="43"/>
      <c r="N37" s="43"/>
      <c r="O37" s="43"/>
      <c r="P37" s="8">
        <f t="array" ref="P37">AVERAGE(IF(C37:O37&lt;&gt;0,C37:O37,""))</f>
        <v>2003.5450000000001</v>
      </c>
    </row>
    <row r="38" spans="1:18" s="19" customFormat="1" ht="13.5">
      <c r="B38" s="7" t="s">
        <v>184</v>
      </c>
      <c r="C38" s="133">
        <f>'Survey Template'!C152</f>
        <v>1722.2</v>
      </c>
      <c r="D38" s="50"/>
      <c r="E38" s="50"/>
      <c r="F38" s="133">
        <f>'Survey Template'!F152+'Survey Template'!F136</f>
        <v>2284.89</v>
      </c>
      <c r="G38" s="133">
        <f>'Survey Template'!G152+'Survey Template'!G136</f>
        <v>0</v>
      </c>
      <c r="H38" s="133">
        <f>'Survey Template'!H152+'Survey Template'!H136</f>
        <v>0</v>
      </c>
      <c r="I38" s="43"/>
      <c r="J38" s="43"/>
      <c r="K38" s="43"/>
      <c r="L38" s="43"/>
      <c r="M38" s="43"/>
      <c r="N38" s="43"/>
      <c r="O38" s="43"/>
      <c r="P38" s="8">
        <f t="array" ref="P38">AVERAGE(IF(C38:O38&lt;&gt;0,C38:O38,""))</f>
        <v>2003.5450000000001</v>
      </c>
    </row>
    <row r="39" spans="1:18" s="19" customFormat="1">
      <c r="A39" s="23" t="s">
        <v>186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</row>
    <row r="40" spans="1:18" s="19" customFormat="1" ht="13.5">
      <c r="B40" s="168" t="s">
        <v>17</v>
      </c>
      <c r="C40" s="133">
        <f>'Survey Template'!C156</f>
        <v>998.78</v>
      </c>
      <c r="D40" s="50"/>
      <c r="E40" s="50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8">
        <f t="array" ref="P40">AVERAGE(IF(C40:O40&lt;&gt;0,C40:O40,""))</f>
        <v>998.78</v>
      </c>
    </row>
    <row r="41" spans="1:18" ht="6" customHeight="1">
      <c r="B41" s="5"/>
      <c r="C41" s="8"/>
      <c r="D41" s="50"/>
      <c r="E41" s="50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283</v>
      </c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 ht="6" customHeight="1">
      <c r="A43" s="10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10"/>
      <c r="B44" s="7" t="s">
        <v>22</v>
      </c>
      <c r="C44" s="8">
        <v>6.76</v>
      </c>
      <c r="D44" s="8">
        <v>4.76</v>
      </c>
      <c r="E44" s="8">
        <v>6.76</v>
      </c>
      <c r="F44" s="8">
        <v>6.76</v>
      </c>
      <c r="G44" s="451">
        <v>6.76</v>
      </c>
      <c r="H44" s="451">
        <v>6.76</v>
      </c>
      <c r="I44" s="8">
        <v>6.76</v>
      </c>
      <c r="J44" s="8">
        <v>6.76</v>
      </c>
      <c r="K44" s="8">
        <v>6.76</v>
      </c>
      <c r="L44" s="8">
        <v>6.76</v>
      </c>
      <c r="M44" s="8">
        <v>6.76</v>
      </c>
      <c r="N44" s="8">
        <v>6.76</v>
      </c>
      <c r="O44" s="8">
        <v>6.14</v>
      </c>
      <c r="P44" s="8">
        <f t="array" ref="P44">AVERAGE(IF(C44:O44&lt;&gt;0,C44:O44,""))</f>
        <v>6.5584615384615388</v>
      </c>
    </row>
    <row r="45" spans="1:18" ht="15.75">
      <c r="A45" s="11" t="s">
        <v>38</v>
      </c>
      <c r="B45" s="15"/>
    </row>
    <row r="46" spans="1:18">
      <c r="A46" s="6" t="s">
        <v>39</v>
      </c>
    </row>
    <row r="47" spans="1:18">
      <c r="B47" s="7" t="s">
        <v>30</v>
      </c>
      <c r="C47" s="8">
        <f>'Survey Template'!C15</f>
        <v>630.41</v>
      </c>
      <c r="D47" s="8">
        <f>'Survey Template'!D15</f>
        <v>573.67999999999995</v>
      </c>
      <c r="E47" s="8">
        <f>'Survey Template'!E15</f>
        <v>379.76</v>
      </c>
      <c r="F47" s="8">
        <f>'Survey Template'!F15</f>
        <v>0</v>
      </c>
      <c r="G47" s="451">
        <f>'Survey Template'!G15</f>
        <v>0</v>
      </c>
      <c r="H47" s="451">
        <f>'Survey Template'!H15</f>
        <v>0</v>
      </c>
      <c r="I47" s="8">
        <f>'Survey Template'!I15</f>
        <v>0</v>
      </c>
      <c r="J47" s="8">
        <f>'Survey Template'!J15</f>
        <v>0</v>
      </c>
      <c r="K47" s="8">
        <f>'Survey Template'!K15</f>
        <v>0</v>
      </c>
      <c r="L47" s="8">
        <f>'Survey Template'!L15</f>
        <v>508.97</v>
      </c>
      <c r="M47" s="8">
        <f>'Survey Template'!M15</f>
        <v>0</v>
      </c>
      <c r="N47" s="8">
        <f>'Survey Template'!N15</f>
        <v>0</v>
      </c>
      <c r="O47" s="8">
        <f>'Survey Template'!O15</f>
        <v>0</v>
      </c>
      <c r="P47" s="8">
        <f t="array" ref="P47">AVERAGE(IF(C47:O47&lt;&gt;0,C47:O47,""))</f>
        <v>523.20499999999993</v>
      </c>
      <c r="R47" s="8"/>
    </row>
    <row r="48" spans="1:18" ht="13.5" thickBot="1">
      <c r="B48" s="7" t="s">
        <v>25</v>
      </c>
      <c r="C48" s="9">
        <f>'Survey Template'!C30</f>
        <v>31.52</v>
      </c>
      <c r="D48" s="9">
        <f>'Survey Template'!D30</f>
        <v>28.68</v>
      </c>
      <c r="E48" s="9">
        <f>'Survey Template'!E30</f>
        <v>18.98</v>
      </c>
      <c r="F48" s="9">
        <f>'Survey Template'!F30</f>
        <v>0</v>
      </c>
      <c r="G48" s="452">
        <f>'Survey Template'!G30</f>
        <v>0</v>
      </c>
      <c r="H48" s="452">
        <f>'Survey Template'!H30</f>
        <v>0</v>
      </c>
      <c r="I48" s="9">
        <f>'Survey Template'!I30</f>
        <v>0</v>
      </c>
      <c r="J48" s="9">
        <f>'Survey Template'!J30</f>
        <v>0</v>
      </c>
      <c r="K48" s="9">
        <f>'Survey Template'!K30</f>
        <v>0</v>
      </c>
      <c r="L48" s="9">
        <f>'Survey Template'!L30</f>
        <v>25.44</v>
      </c>
      <c r="M48" s="9">
        <f>'Survey Template'!M30</f>
        <v>0</v>
      </c>
      <c r="N48" s="9">
        <f>'Survey Template'!N30</f>
        <v>0</v>
      </c>
      <c r="O48" s="9">
        <f>'Survey Template'!O30</f>
        <v>0</v>
      </c>
      <c r="P48" s="8">
        <f t="array" ref="P48">AVERAGE(IF(C48:O48&lt;&gt;0,C48:O48,""))</f>
        <v>26.155000000000001</v>
      </c>
    </row>
    <row r="49" spans="1:16">
      <c r="B49" s="168" t="s">
        <v>17</v>
      </c>
      <c r="C49" s="8">
        <f>SUM(C47:C48)</f>
        <v>661.93</v>
      </c>
      <c r="D49" s="8">
        <f>SUM(D47:D48)</f>
        <v>602.3599999999999</v>
      </c>
      <c r="E49" s="8">
        <f>SUM(E47:E48)</f>
        <v>398.74</v>
      </c>
      <c r="F49" s="8"/>
      <c r="G49" s="451"/>
      <c r="H49" s="451"/>
      <c r="I49" s="8"/>
      <c r="J49" s="8"/>
      <c r="K49" s="8"/>
      <c r="L49" s="8">
        <f>SUM(L47:L48)</f>
        <v>534.41000000000008</v>
      </c>
      <c r="M49" s="8"/>
      <c r="N49" s="8"/>
      <c r="O49" s="8"/>
      <c r="P49" s="8">
        <f t="array" ref="P49">AVERAGE(IF(C49:O49&lt;&gt;0,C49:O49,""))</f>
        <v>549.36</v>
      </c>
    </row>
    <row r="50" spans="1:16" ht="4.5" customHeight="1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>
      <c r="A51" s="6" t="s">
        <v>40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>
      <c r="B52" s="7" t="s">
        <v>35</v>
      </c>
      <c r="C52" s="8">
        <f>24*(C13+C15+C43+C44+C49)+2*(C25)</f>
        <v>17136.96</v>
      </c>
      <c r="D52" s="8">
        <f>24*(D13+D15+D43+D44+D49)+2*(D25)</f>
        <v>15793.119999999997</v>
      </c>
      <c r="E52" s="8">
        <f>24*(E13+E15+E43+E44+E49)+2*(E25)</f>
        <v>11070.64</v>
      </c>
      <c r="F52" s="8"/>
      <c r="G52" s="451"/>
      <c r="H52" s="451"/>
      <c r="I52" s="8"/>
      <c r="J52" s="8"/>
      <c r="K52" s="8"/>
      <c r="L52" s="8">
        <f>24*(L13+L15+L43+L44+L49)+2*(L25)</f>
        <v>14658.180000000002</v>
      </c>
      <c r="M52" s="8"/>
      <c r="N52" s="8"/>
      <c r="O52" s="8"/>
      <c r="P52" s="8">
        <f t="array" ref="P52">AVERAGE(IF(C52:O52&lt;&gt;0,C52:O52,""))</f>
        <v>14664.724999999999</v>
      </c>
    </row>
    <row r="53" spans="1:16">
      <c r="B53" s="7" t="s">
        <v>28</v>
      </c>
      <c r="C53" s="8">
        <f>+C52/24</f>
        <v>714.04</v>
      </c>
      <c r="D53" s="8">
        <f>+D52/24</f>
        <v>658.04666666666651</v>
      </c>
      <c r="E53" s="8">
        <f>+E52/24</f>
        <v>461.27666666666664</v>
      </c>
      <c r="F53" s="8"/>
      <c r="G53" s="451"/>
      <c r="H53" s="451"/>
      <c r="I53" s="8"/>
      <c r="J53" s="8"/>
      <c r="K53" s="8"/>
      <c r="L53" s="8">
        <f>+L52/24</f>
        <v>610.75750000000005</v>
      </c>
      <c r="M53" s="8"/>
      <c r="N53" s="8"/>
      <c r="O53" s="8"/>
      <c r="P53" s="8">
        <f t="array" ref="P53">AVERAGE(IF(C53:O53&lt;&gt;0,C53:O53,""))</f>
        <v>611.03020833333335</v>
      </c>
    </row>
    <row r="54" spans="1:16">
      <c r="B54" s="13"/>
      <c r="P54" s="8"/>
    </row>
    <row r="55" spans="1:16">
      <c r="A55" s="6" t="s">
        <v>41</v>
      </c>
    </row>
    <row r="56" spans="1:16">
      <c r="B56" s="7" t="s">
        <v>83</v>
      </c>
      <c r="C56" s="8">
        <f>'Survey Template'!C61</f>
        <v>1245.17</v>
      </c>
      <c r="D56" s="8">
        <f>'Survey Template'!D61</f>
        <v>1208.99</v>
      </c>
      <c r="E56" s="8">
        <f>'Survey Template'!E61</f>
        <v>991.22</v>
      </c>
      <c r="F56" s="8">
        <f>'Survey Template'!F61</f>
        <v>0</v>
      </c>
      <c r="G56" s="451">
        <f>'Survey Template'!G61</f>
        <v>0</v>
      </c>
      <c r="H56" s="451">
        <f>'Survey Template'!H61</f>
        <v>0</v>
      </c>
      <c r="I56" s="8">
        <f>'Survey Template'!I61</f>
        <v>0</v>
      </c>
      <c r="J56" s="8">
        <f>'Survey Template'!J61</f>
        <v>0</v>
      </c>
      <c r="K56" s="8">
        <f>'Survey Template'!K61</f>
        <v>0</v>
      </c>
      <c r="L56" s="8">
        <f>'Survey Template'!L61</f>
        <v>946.58</v>
      </c>
      <c r="M56" s="8">
        <f>'Survey Template'!M61</f>
        <v>0</v>
      </c>
      <c r="N56" s="8">
        <f>'Survey Template'!N61</f>
        <v>0</v>
      </c>
      <c r="O56" s="8">
        <v>0</v>
      </c>
      <c r="P56" s="8">
        <f t="array" ref="P56">AVERAGE(IF(C56:O56&lt;&gt;0,C56:O56,""))</f>
        <v>1097.99</v>
      </c>
    </row>
    <row r="57" spans="1:16" ht="13.5" thickBot="1">
      <c r="B57" s="7" t="s">
        <v>25</v>
      </c>
      <c r="C57" s="9">
        <f>'Survey Template'!C77</f>
        <v>62.25</v>
      </c>
      <c r="D57" s="9">
        <f>'Survey Template'!D77</f>
        <v>60.44</v>
      </c>
      <c r="E57" s="9">
        <f>'Survey Template'!E77</f>
        <v>49.55</v>
      </c>
      <c r="F57" s="9">
        <f>'Survey Template'!F77</f>
        <v>0</v>
      </c>
      <c r="G57" s="452">
        <f>'Survey Template'!G77</f>
        <v>0</v>
      </c>
      <c r="H57" s="452">
        <f>'Survey Template'!H77</f>
        <v>0</v>
      </c>
      <c r="I57" s="9">
        <f>'Survey Template'!I77</f>
        <v>0</v>
      </c>
      <c r="J57" s="9">
        <f>'Survey Template'!J77</f>
        <v>0</v>
      </c>
      <c r="K57" s="9">
        <f>'Survey Template'!K77</f>
        <v>0</v>
      </c>
      <c r="L57" s="9">
        <f>'Survey Template'!L77</f>
        <v>47.32</v>
      </c>
      <c r="M57" s="9">
        <f>'Survey Template'!M77</f>
        <v>0</v>
      </c>
      <c r="N57" s="9">
        <f>'Survey Template'!N77</f>
        <v>0</v>
      </c>
      <c r="O57" s="9">
        <v>0</v>
      </c>
      <c r="P57" s="8">
        <f t="array" ref="P57">AVERAGE(IF(C57:O57&lt;&gt;0,C57:O57,""))</f>
        <v>54.89</v>
      </c>
    </row>
    <row r="58" spans="1:16">
      <c r="B58" s="168" t="s">
        <v>17</v>
      </c>
      <c r="C58" s="8">
        <f>SUM(C56:C57)</f>
        <v>1307.42</v>
      </c>
      <c r="D58" s="8">
        <f>SUM(D56:D57)</f>
        <v>1269.43</v>
      </c>
      <c r="E58" s="8">
        <f>SUM(E56:E57)</f>
        <v>1040.77</v>
      </c>
      <c r="F58" s="8">
        <f t="shared" ref="F58:L58" si="4">SUM(F56:F57)</f>
        <v>0</v>
      </c>
      <c r="G58" s="451">
        <f t="shared" ref="G58:H58" si="5">SUM(G56:G57)</f>
        <v>0</v>
      </c>
      <c r="H58" s="451">
        <f t="shared" si="5"/>
        <v>0</v>
      </c>
      <c r="I58" s="8">
        <f t="shared" si="4"/>
        <v>0</v>
      </c>
      <c r="J58" s="8">
        <f t="shared" si="4"/>
        <v>0</v>
      </c>
      <c r="K58" s="8">
        <f t="shared" si="4"/>
        <v>0</v>
      </c>
      <c r="L58" s="8">
        <f t="shared" si="4"/>
        <v>993.90000000000009</v>
      </c>
      <c r="M58" s="8"/>
      <c r="N58" s="8"/>
      <c r="O58" s="8"/>
      <c r="P58" s="8">
        <f t="array" ref="P58">AVERAGE(IF(C58:O58&lt;&gt;0,C58:O58,""))</f>
        <v>1152.8800000000001</v>
      </c>
    </row>
    <row r="59" spans="1:16" ht="8.4499999999999993" customHeight="1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>
      <c r="A60" s="6" t="s">
        <v>42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>
      <c r="B61" s="7" t="s">
        <v>35</v>
      </c>
      <c r="C61" s="8">
        <f>24*(C13+C15+C43+C44+C58)+2*C25</f>
        <v>32628.720000000001</v>
      </c>
      <c r="D61" s="8">
        <f>24*(D13+D15+D43+D44+D58)+2*D25</f>
        <v>31802.800000000003</v>
      </c>
      <c r="E61" s="8">
        <f>24*(E13+E15+E43+E44+E58)+2*E25</f>
        <v>26479.359999999997</v>
      </c>
      <c r="F61" s="8"/>
      <c r="G61" s="451"/>
      <c r="H61" s="451"/>
      <c r="I61" s="8"/>
      <c r="J61" s="8"/>
      <c r="K61" s="8"/>
      <c r="L61" s="8">
        <f>24*(L13+L15+L43+L44+L58)+2*L25</f>
        <v>25685.940000000002</v>
      </c>
      <c r="M61" s="8"/>
      <c r="N61" s="8"/>
      <c r="O61" s="8"/>
      <c r="P61" s="8">
        <f t="array" ref="P61">AVERAGE(IF(C61:O61&lt;&gt;0,C61:O61,""))</f>
        <v>29149.205000000002</v>
      </c>
    </row>
    <row r="62" spans="1:16">
      <c r="B62" s="7" t="s">
        <v>28</v>
      </c>
      <c r="C62" s="8">
        <f>+C61/24</f>
        <v>1359.53</v>
      </c>
      <c r="D62" s="8">
        <f t="shared" ref="D62:L62" si="6">+D61/24</f>
        <v>1325.1166666666668</v>
      </c>
      <c r="E62" s="8">
        <f t="shared" si="6"/>
        <v>1103.3066666666666</v>
      </c>
      <c r="F62" s="8">
        <f t="shared" si="6"/>
        <v>0</v>
      </c>
      <c r="G62" s="451">
        <f t="shared" ref="G62:H62" si="7">+G61/24</f>
        <v>0</v>
      </c>
      <c r="H62" s="451">
        <f t="shared" si="7"/>
        <v>0</v>
      </c>
      <c r="I62" s="8"/>
      <c r="J62" s="8"/>
      <c r="K62" s="8">
        <f t="shared" si="6"/>
        <v>0</v>
      </c>
      <c r="L62" s="8">
        <f t="shared" si="6"/>
        <v>1070.2475000000002</v>
      </c>
      <c r="M62" s="8"/>
      <c r="N62" s="8"/>
      <c r="O62" s="8"/>
      <c r="P62" s="8">
        <f t="array" ref="P62">AVERAGE(IF(C62:O62&lt;&gt;0,C62:O62,""))</f>
        <v>1214.5502083333333</v>
      </c>
    </row>
    <row r="63" spans="1:16" ht="15.75">
      <c r="A63" s="11" t="s">
        <v>43</v>
      </c>
      <c r="B63" s="15"/>
      <c r="J63" s="8"/>
    </row>
    <row r="64" spans="1:16">
      <c r="A64" s="6" t="s">
        <v>44</v>
      </c>
    </row>
    <row r="65" spans="1:16">
      <c r="B65" s="7" t="s">
        <v>30</v>
      </c>
      <c r="C65" s="8">
        <f>'Survey Template'!C16</f>
        <v>31790</v>
      </c>
      <c r="D65" s="8">
        <f>'Survey Template'!D16</f>
        <v>19943.16</v>
      </c>
      <c r="E65" s="8">
        <f>'Survey Template'!E16</f>
        <v>0</v>
      </c>
      <c r="F65" s="8">
        <f>'Survey Template'!F16</f>
        <v>29174.65</v>
      </c>
      <c r="G65" s="451">
        <f>'Survey Template'!G16</f>
        <v>0</v>
      </c>
      <c r="H65" s="451">
        <f>'Survey Template'!H16</f>
        <v>0</v>
      </c>
      <c r="I65" s="8">
        <f>'Survey Template'!I16</f>
        <v>25725</v>
      </c>
      <c r="J65" s="8">
        <f>'Survey Template'!J16</f>
        <v>0</v>
      </c>
      <c r="K65" s="8">
        <f>'Survey Template'!K16</f>
        <v>22915.599999999999</v>
      </c>
      <c r="L65" s="8">
        <f>'Survey Template'!L16</f>
        <v>31938.37</v>
      </c>
      <c r="M65" s="8">
        <f>'Survey Template'!M16</f>
        <v>0</v>
      </c>
      <c r="N65" s="8">
        <f>'Survey Template'!N16</f>
        <v>0</v>
      </c>
      <c r="O65" s="8">
        <f>'Survey Template'!O16</f>
        <v>0</v>
      </c>
      <c r="P65" s="8">
        <f t="array" ref="P65">AVERAGE(IF(C65:O65&lt;&gt;0,C65:O65,""))</f>
        <v>26914.463333333333</v>
      </c>
    </row>
    <row r="66" spans="1:16" ht="13.5" thickBot="1">
      <c r="B66" s="7" t="s">
        <v>25</v>
      </c>
      <c r="C66" s="9">
        <f>'Survey Template'!C31</f>
        <v>1589.5</v>
      </c>
      <c r="D66" s="9">
        <f>'Survey Template'!D31</f>
        <v>997.15</v>
      </c>
      <c r="E66" s="9">
        <f>'Survey Template'!E31</f>
        <v>0</v>
      </c>
      <c r="F66" s="9">
        <f>'Survey Template'!F31</f>
        <v>1458.73</v>
      </c>
      <c r="G66" s="452">
        <f>'Survey Template'!G31</f>
        <v>0</v>
      </c>
      <c r="H66" s="452">
        <f>'Survey Template'!H31</f>
        <v>0</v>
      </c>
      <c r="I66" s="9">
        <f>'Survey Template'!I31</f>
        <v>607.20000000000005</v>
      </c>
      <c r="J66" s="9">
        <f>'Survey Template'!J31</f>
        <v>0</v>
      </c>
      <c r="K66" s="9">
        <f>'Survey Template'!K31</f>
        <v>1145.5999999999999</v>
      </c>
      <c r="L66" s="9">
        <f>'Survey Template'!L31</f>
        <v>1596.91</v>
      </c>
      <c r="M66" s="9">
        <f>'Survey Template'!M31</f>
        <v>0</v>
      </c>
      <c r="N66" s="9">
        <f>'Survey Template'!N31</f>
        <v>0</v>
      </c>
      <c r="O66" s="9">
        <f>'Survey Template'!O31</f>
        <v>0</v>
      </c>
      <c r="P66" s="8">
        <f t="array" ref="P66">AVERAGE(IF(C66:O66&lt;&gt;0,C66:O66,""))</f>
        <v>1232.5150000000001</v>
      </c>
    </row>
    <row r="67" spans="1:16">
      <c r="B67" s="168" t="s">
        <v>17</v>
      </c>
      <c r="C67" s="8">
        <f>SUM(C65:C66)</f>
        <v>33379.5</v>
      </c>
      <c r="D67" s="8">
        <f>SUM(D65:D66)</f>
        <v>20940.310000000001</v>
      </c>
      <c r="E67" s="8"/>
      <c r="F67" s="8">
        <f>SUM(F65:F66)</f>
        <v>30633.38</v>
      </c>
      <c r="G67" s="451">
        <f t="shared" ref="G67:H67" si="8">SUM(G65:G66)</f>
        <v>0</v>
      </c>
      <c r="H67" s="451">
        <f t="shared" si="8"/>
        <v>0</v>
      </c>
      <c r="I67" s="8">
        <f>SUM(I65:I66)</f>
        <v>26332.2</v>
      </c>
      <c r="J67" s="8"/>
      <c r="K67" s="8">
        <f>SUM(K65:K66)</f>
        <v>24061.199999999997</v>
      </c>
      <c r="L67" s="8">
        <f>SUM(L65:L66)</f>
        <v>33535.279999999999</v>
      </c>
      <c r="M67" s="8"/>
      <c r="N67" s="8"/>
      <c r="O67" s="8"/>
      <c r="P67" s="8">
        <f t="array" ref="P67">AVERAGE(IF(C67:O67&lt;&gt;0,C67:O67,""))</f>
        <v>28146.978333333333</v>
      </c>
    </row>
    <row r="68" spans="1:16" ht="6" customHeight="1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>
      <c r="A69" s="6" t="s">
        <v>45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>
      <c r="B70" s="7" t="s">
        <v>46</v>
      </c>
      <c r="C70" s="8">
        <f>C67+C30+C28+40*(C43+C44)+2*C25</f>
        <v>35412.300000000003</v>
      </c>
      <c r="D70" s="8">
        <f>D67+D30+D28+40*(D43+D44)+2*D25</f>
        <v>22944.07</v>
      </c>
      <c r="E70" s="8"/>
      <c r="F70" s="8">
        <f>F67+F28+F30+40*(F43+F44)+2*F25</f>
        <v>33835.310000000005</v>
      </c>
      <c r="G70" s="451"/>
      <c r="H70" s="451"/>
      <c r="I70" s="8">
        <f>I67+I28+I30+40*(I43+I44)+2*I25</f>
        <v>28502.640000000003</v>
      </c>
      <c r="J70" s="8"/>
      <c r="K70" s="8">
        <f>K67+K30+K28+40*(K43+K44)+2*K25</f>
        <v>26283.199999999997</v>
      </c>
      <c r="L70" s="8">
        <f>L67+L30+L28+50*(L43+L44)*1+2*L25</f>
        <v>37282.950000000004</v>
      </c>
      <c r="M70" s="8"/>
      <c r="N70" s="8"/>
      <c r="O70" s="8"/>
      <c r="P70" s="8">
        <f t="array" ref="P70">AVERAGE(IF(C70:O70&lt;&gt;0,C70:O70,""))</f>
        <v>30710.078333333338</v>
      </c>
    </row>
    <row r="71" spans="1:16" ht="9" customHeight="1"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>
      <c r="A72" s="6" t="s">
        <v>47</v>
      </c>
    </row>
    <row r="73" spans="1:16">
      <c r="B73" s="7" t="s">
        <v>83</v>
      </c>
      <c r="C73" s="8">
        <f>'Survey Template'!C62</f>
        <v>59637.86</v>
      </c>
      <c r="D73" s="8">
        <f>'Survey Template'!D62</f>
        <v>52849.06</v>
      </c>
      <c r="E73" s="8">
        <f>'Survey Template'!E62</f>
        <v>0</v>
      </c>
      <c r="F73" s="8">
        <f>'Survey Template'!F62</f>
        <v>49355.29</v>
      </c>
      <c r="G73" s="451">
        <f>'Survey Template'!G62</f>
        <v>0</v>
      </c>
      <c r="H73" s="451">
        <f>'Survey Template'!H62</f>
        <v>0</v>
      </c>
      <c r="I73" s="8">
        <f>'Survey Template'!I62</f>
        <v>57225</v>
      </c>
      <c r="J73" s="8">
        <f>'Survey Template'!J62</f>
        <v>0</v>
      </c>
      <c r="K73" s="8">
        <f>'Survey Template'!K62</f>
        <v>49597.2</v>
      </c>
      <c r="L73" s="8">
        <f>'Survey Template'!L62</f>
        <v>61938.37</v>
      </c>
      <c r="M73" s="8">
        <f>'Survey Template'!M62</f>
        <v>0</v>
      </c>
      <c r="N73" s="8">
        <f>'Survey Template'!N62</f>
        <v>0</v>
      </c>
      <c r="O73" s="8">
        <v>0</v>
      </c>
      <c r="P73" s="8">
        <f t="array" ref="P73">AVERAGE(IF(C73:O73&lt;&gt;0,C73:O73,""))</f>
        <v>55100.463333333326</v>
      </c>
    </row>
    <row r="74" spans="1:16" ht="13.5" thickBot="1">
      <c r="B74" s="7" t="s">
        <v>25</v>
      </c>
      <c r="C74" s="9">
        <f>'Survey Template'!C78</f>
        <v>2981.88</v>
      </c>
      <c r="D74" s="9">
        <f>'Survey Template'!D78</f>
        <v>2642.44</v>
      </c>
      <c r="E74" s="9">
        <f>'Survey Template'!E78</f>
        <v>0</v>
      </c>
      <c r="F74" s="9">
        <f>'Survey Template'!F78</f>
        <v>2467.75</v>
      </c>
      <c r="G74" s="452">
        <f>'Survey Template'!G78</f>
        <v>0</v>
      </c>
      <c r="H74" s="452">
        <f>'Survey Template'!H78</f>
        <v>0</v>
      </c>
      <c r="I74" s="9">
        <f>'Survey Template'!I78</f>
        <v>1854.8</v>
      </c>
      <c r="J74" s="9">
        <f>'Survey Template'!J78</f>
        <v>0</v>
      </c>
      <c r="K74" s="9">
        <f>'Survey Template'!K78</f>
        <v>2479.6</v>
      </c>
      <c r="L74" s="9">
        <f>'Survey Template'!L78</f>
        <v>3096.91</v>
      </c>
      <c r="M74" s="9">
        <v>0</v>
      </c>
      <c r="N74" s="9">
        <v>0</v>
      </c>
      <c r="O74" s="9">
        <v>0</v>
      </c>
      <c r="P74" s="8">
        <f t="array" ref="P74">AVERAGE(IF(C74:O74&lt;&gt;0,C74:O74,""))</f>
        <v>2587.23</v>
      </c>
    </row>
    <row r="75" spans="1:16">
      <c r="B75" s="168" t="s">
        <v>17</v>
      </c>
      <c r="C75" s="8">
        <f>SUM(C73:C74)</f>
        <v>62619.74</v>
      </c>
      <c r="D75" s="8">
        <f t="shared" ref="D75:L75" si="9">SUM(D73:D74)</f>
        <v>55491.5</v>
      </c>
      <c r="E75" s="8">
        <f t="shared" si="9"/>
        <v>0</v>
      </c>
      <c r="F75" s="8">
        <f t="shared" si="9"/>
        <v>51823.040000000001</v>
      </c>
      <c r="G75" s="451">
        <f t="shared" ref="G75:H75" si="10">SUM(G73:G74)</f>
        <v>0</v>
      </c>
      <c r="H75" s="451">
        <f t="shared" si="10"/>
        <v>0</v>
      </c>
      <c r="I75" s="8">
        <f t="shared" si="9"/>
        <v>59079.8</v>
      </c>
      <c r="J75" s="8">
        <f t="shared" si="9"/>
        <v>0</v>
      </c>
      <c r="K75" s="8">
        <f t="shared" si="9"/>
        <v>52076.799999999996</v>
      </c>
      <c r="L75" s="8">
        <f t="shared" si="9"/>
        <v>65035.28</v>
      </c>
      <c r="M75" s="8"/>
      <c r="N75" s="8"/>
      <c r="O75" s="8"/>
      <c r="P75" s="8">
        <f t="array" ref="P75">AVERAGE(IF(C75:O75&lt;&gt;0,C75:O75,""))</f>
        <v>57687.693333333336</v>
      </c>
    </row>
    <row r="76" spans="1:16" ht="8.4499999999999993" customHeight="1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>
      <c r="A77" s="6" t="s">
        <v>48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>
      <c r="B78" s="7" t="s">
        <v>46</v>
      </c>
      <c r="C78" s="8">
        <f>C75+C30+C29+40*(C43+C44)+2*C25</f>
        <v>64652.54</v>
      </c>
      <c r="D78" s="8">
        <f>D75+D30+D29+40*(D43+D44)+2*D25</f>
        <v>57495.26</v>
      </c>
      <c r="E78" s="8"/>
      <c r="F78" s="8">
        <f>F75+F30+F29+40*(F43+F44)+2*F25</f>
        <v>55024.97</v>
      </c>
      <c r="G78" s="8"/>
      <c r="H78" s="8"/>
      <c r="I78" s="8">
        <f>I75+I30+I29+32*(I43+I44)+2*I25</f>
        <v>61196.160000000003</v>
      </c>
      <c r="J78" s="8"/>
      <c r="K78" s="8">
        <f>K75+K30+K29+40*(K43+K44)+2*K25</f>
        <v>54298.799999999996</v>
      </c>
      <c r="L78" s="8">
        <f>L75+L30+L29+50*(L43+L44)+2*L25</f>
        <v>68782.95</v>
      </c>
      <c r="M78" s="8"/>
      <c r="N78" s="8"/>
      <c r="O78" s="8"/>
      <c r="P78" s="8">
        <f t="array" ref="P78">AVERAGE(IF(C78:O78&lt;&gt;0,C78:O78,""))</f>
        <v>60241.780000000006</v>
      </c>
    </row>
    <row r="79" spans="1:16" ht="5.0999999999999996" customHeight="1">
      <c r="B79" s="13"/>
      <c r="C79" s="48"/>
    </row>
    <row r="80" spans="1:16" ht="15.75">
      <c r="A80" s="11" t="s">
        <v>49</v>
      </c>
      <c r="B80" s="15"/>
      <c r="C80" s="3"/>
    </row>
    <row r="81" spans="1:16">
      <c r="A81" s="6" t="s">
        <v>50</v>
      </c>
    </row>
    <row r="82" spans="1:16">
      <c r="B82" s="7" t="s">
        <v>30</v>
      </c>
      <c r="C82" s="8">
        <f>'Survey Template'!C18</f>
        <v>24826.12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>
        <f t="array" ref="P82">AVERAGE(IF(C82:O82&lt;&gt;0,C82:O82,""))</f>
        <v>24826.12</v>
      </c>
    </row>
    <row r="83" spans="1:16" ht="13.5" thickBot="1">
      <c r="B83" s="7" t="s">
        <v>25</v>
      </c>
      <c r="C83" s="9">
        <f>'Survey Template'!C33</f>
        <v>1241.3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8">
        <f t="array" ref="P83">AVERAGE(IF(C83:O83&lt;&gt;0,C83:O83,""))</f>
        <v>1241.3</v>
      </c>
    </row>
    <row r="84" spans="1:16">
      <c r="B84" s="168" t="s">
        <v>17</v>
      </c>
      <c r="C84" s="8">
        <f>SUM(C82:C83)</f>
        <v>26067.42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>
        <f t="array" ref="P84">AVERAGE(IF(C84:O84&lt;&gt;0,C84:O84,""))</f>
        <v>26067.42</v>
      </c>
    </row>
    <row r="85" spans="1:16" ht="6" customHeight="1"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>
      <c r="A86" s="6" t="s">
        <v>51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>
      <c r="B87" s="7" t="s">
        <v>46</v>
      </c>
      <c r="C87" s="8">
        <f>C84+C30+C28+40*(C43+C44)+2*C25</f>
        <v>28100.22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>
        <f t="array" ref="P87">AVERAGE(IF(C87:O87&lt;&gt;0,C87:O87,""))</f>
        <v>28100.22</v>
      </c>
    </row>
    <row r="88" spans="1:16" ht="9" customHeight="1">
      <c r="B88" s="7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>
      <c r="A89" s="6" t="s">
        <v>52</v>
      </c>
    </row>
    <row r="90" spans="1:16">
      <c r="B90" s="7" t="s">
        <v>83</v>
      </c>
      <c r="C90" s="8">
        <f>'Survey Template'!C64</f>
        <v>44802.52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>
        <f t="array" ref="P90">AVERAGE(IF(C90:O90&lt;&gt;0,C90:O90,""))</f>
        <v>44802.52</v>
      </c>
    </row>
    <row r="91" spans="1:16" ht="13.5" thickBot="1">
      <c r="B91" s="7" t="s">
        <v>25</v>
      </c>
      <c r="C91" s="9">
        <f>'Survey Template'!C80</f>
        <v>2240.1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8">
        <f t="array" ref="P91">AVERAGE(IF(C91:O91&lt;&gt;0,C91:O91,""))</f>
        <v>2240.1</v>
      </c>
    </row>
    <row r="92" spans="1:16">
      <c r="B92" s="168" t="s">
        <v>17</v>
      </c>
      <c r="C92" s="8">
        <f>SUM(C90:C91)</f>
        <v>47042.619999999995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>
        <f t="array" ref="P92">AVERAGE(IF(C92:O92&lt;&gt;0,C92:O92,""))</f>
        <v>47042.619999999995</v>
      </c>
    </row>
    <row r="93" spans="1:16" ht="5.0999999999999996" customHeight="1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>
      <c r="A94" s="6" t="s">
        <v>53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>
      <c r="B95" s="7" t="s">
        <v>46</v>
      </c>
      <c r="C95" s="8">
        <f>C92+C30+C29+40*(C43+C44)+2*C25</f>
        <v>49075.42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>
        <f t="array" ref="P95">AVERAGE(IF(C95:O95&lt;&gt;0,C95:O95,""))</f>
        <v>49075.42</v>
      </c>
    </row>
    <row r="96" spans="1:16" ht="3.75" customHeight="1">
      <c r="B96" s="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15.75">
      <c r="A97" s="11" t="s">
        <v>54</v>
      </c>
      <c r="B97" s="15"/>
      <c r="C97" s="3"/>
    </row>
    <row r="98" spans="1:16">
      <c r="A98" s="6" t="s">
        <v>55</v>
      </c>
    </row>
    <row r="99" spans="1:16">
      <c r="B99" s="7" t="s">
        <v>30</v>
      </c>
      <c r="C99" s="8">
        <f>'Survey Template'!C21</f>
        <v>36469.440000000002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>
        <f t="array" ref="P99">AVERAGE(IF(C99:O99&lt;&gt;0,C99:O99,""))</f>
        <v>36469.440000000002</v>
      </c>
    </row>
    <row r="100" spans="1:16" ht="13.5" thickBot="1">
      <c r="B100" s="7" t="s">
        <v>25</v>
      </c>
      <c r="C100" s="9">
        <f>'Survey Template'!C36</f>
        <v>1823.46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8">
        <f t="array" ref="P100">AVERAGE(IF(C100:O100&lt;&gt;0,C100:O100,""))</f>
        <v>1823.46</v>
      </c>
    </row>
    <row r="101" spans="1:16">
      <c r="B101" s="168" t="s">
        <v>17</v>
      </c>
      <c r="C101" s="8">
        <f>SUM(C99:C100)</f>
        <v>38292.9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>
        <f t="array" ref="P101">AVERAGE(IF(C101:O101&lt;&gt;0,C101:O101,""))</f>
        <v>38292.9</v>
      </c>
    </row>
    <row r="102" spans="1:16" ht="6" customHeight="1"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6">
      <c r="A103" s="6" t="s">
        <v>56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6">
      <c r="B104" s="7" t="s">
        <v>46</v>
      </c>
      <c r="C104" s="8">
        <f>C101+C30+C28+40*(C43+C44)+2*C25</f>
        <v>40325.700000000004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>
        <f t="array" ref="P104">AVERAGE(IF(C104:O104&lt;&gt;0,C104:O104,""))</f>
        <v>40325.700000000004</v>
      </c>
    </row>
    <row r="105" spans="1:16" ht="7.5" customHeight="1">
      <c r="B105" s="7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6">
      <c r="A106" s="6" t="s">
        <v>57</v>
      </c>
    </row>
    <row r="107" spans="1:16">
      <c r="B107" s="7" t="s">
        <v>83</v>
      </c>
      <c r="C107" s="8">
        <f>'Survey Template'!C67</f>
        <v>61689.22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>
        <f t="array" ref="P107">AVERAGE(IF(C107:O107&lt;&gt;0,C107:O107,""))</f>
        <v>61689.22</v>
      </c>
    </row>
    <row r="108" spans="1:16" ht="13.5" thickBot="1">
      <c r="B108" s="7" t="s">
        <v>25</v>
      </c>
      <c r="C108" s="9">
        <f>'Survey Template'!C83</f>
        <v>3084.44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8">
        <f t="array" ref="P108">AVERAGE(IF(C108:O108&lt;&gt;0,C108:O108,""))</f>
        <v>3084.44</v>
      </c>
    </row>
    <row r="109" spans="1:16">
      <c r="B109" s="168" t="s">
        <v>17</v>
      </c>
      <c r="C109" s="8">
        <f>SUM(C107:C108)</f>
        <v>64773.66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>
        <f t="array" ref="P109">AVERAGE(IF(C109:O109&lt;&gt;0,C109:O109,""))</f>
        <v>64773.66</v>
      </c>
    </row>
    <row r="110" spans="1:16" ht="6.6" customHeight="1"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6">
      <c r="A111" s="6" t="s">
        <v>58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6">
      <c r="B112" s="7" t="s">
        <v>46</v>
      </c>
      <c r="C112" s="8">
        <f>C109+C30+C29+40*(C43+C44)+2*C25</f>
        <v>66806.459999999992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>
        <f t="array" ref="P112">AVERAGE(IF(C112:O112&lt;&gt;0,C112:O112,""))</f>
        <v>66806.459999999992</v>
      </c>
    </row>
    <row r="113" spans="1:16" ht="4.5" customHeight="1">
      <c r="B113" s="13"/>
    </row>
    <row r="114" spans="1:16" ht="15.75">
      <c r="A114" s="11" t="s">
        <v>114</v>
      </c>
      <c r="B114" s="15"/>
      <c r="C114" s="3"/>
    </row>
    <row r="115" spans="1:16">
      <c r="A115" s="6" t="s">
        <v>115</v>
      </c>
    </row>
    <row r="116" spans="1:16">
      <c r="B116" s="7" t="s">
        <v>30</v>
      </c>
      <c r="C116" s="8">
        <f>'Survey Template'!C19</f>
        <v>19844.740000000002</v>
      </c>
      <c r="D116" s="8"/>
      <c r="E116" s="8"/>
      <c r="F116" s="8">
        <f>'Survey Template'!F19</f>
        <v>16610</v>
      </c>
      <c r="G116" s="451">
        <f>'Survey Template'!G19</f>
        <v>0</v>
      </c>
      <c r="H116" s="451">
        <f>'Survey Template'!H19</f>
        <v>0</v>
      </c>
      <c r="I116" s="8"/>
      <c r="J116" s="8"/>
      <c r="K116" s="8"/>
      <c r="L116" s="8"/>
      <c r="M116" s="8"/>
      <c r="N116" s="8"/>
      <c r="O116" s="8"/>
      <c r="P116" s="8">
        <f t="array" ref="P116">AVERAGE(IF(C116:O116&lt;&gt;0,C116:O116,""))</f>
        <v>18227.370000000003</v>
      </c>
    </row>
    <row r="117" spans="1:16" ht="13.5" thickBot="1">
      <c r="B117" s="7" t="s">
        <v>25</v>
      </c>
      <c r="C117" s="9">
        <f>'Survey Template'!C34</f>
        <v>992.22</v>
      </c>
      <c r="D117" s="9"/>
      <c r="E117" s="9"/>
      <c r="F117" s="9">
        <f>'Survey Template'!F34</f>
        <v>830.5</v>
      </c>
      <c r="G117" s="452">
        <f>'Survey Template'!G34</f>
        <v>0</v>
      </c>
      <c r="H117" s="452">
        <f>'Survey Template'!H34</f>
        <v>0</v>
      </c>
      <c r="I117" s="9"/>
      <c r="J117" s="9"/>
      <c r="K117" s="9"/>
      <c r="L117" s="9"/>
      <c r="M117" s="9"/>
      <c r="N117" s="9"/>
      <c r="O117" s="9"/>
      <c r="P117" s="8">
        <f t="array" ref="P117">AVERAGE(IF(C117:O117&lt;&gt;0,C117:O117,""))</f>
        <v>911.36</v>
      </c>
    </row>
    <row r="118" spans="1:16">
      <c r="B118" s="168" t="s">
        <v>17</v>
      </c>
      <c r="C118" s="8">
        <f>SUM(C116:C117)</f>
        <v>20836.960000000003</v>
      </c>
      <c r="D118" s="8"/>
      <c r="E118" s="8"/>
      <c r="F118" s="8">
        <f>SUM(F116:F117)</f>
        <v>17440.5</v>
      </c>
      <c r="G118" s="451">
        <f t="shared" ref="G118:H118" si="11">SUM(G116:G117)</f>
        <v>0</v>
      </c>
      <c r="H118" s="451">
        <f t="shared" si="11"/>
        <v>0</v>
      </c>
      <c r="I118" s="8"/>
      <c r="J118" s="8"/>
      <c r="K118" s="8"/>
      <c r="L118" s="8"/>
      <c r="M118" s="8"/>
      <c r="N118" s="8"/>
      <c r="O118" s="8"/>
      <c r="P118" s="8">
        <f t="array" ref="P118">AVERAGE(IF(C118:O118&lt;&gt;0,C118:O118,""))</f>
        <v>19138.730000000003</v>
      </c>
    </row>
    <row r="119" spans="1:16" ht="9" customHeight="1"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6">
      <c r="A120" s="6" t="s">
        <v>116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>
      <c r="B121" s="7" t="s">
        <v>46</v>
      </c>
      <c r="C121" s="8">
        <f>C118+C31+C34+36*(C43+C44)+2*C25</f>
        <v>22681.960000000003</v>
      </c>
      <c r="D121" s="8"/>
      <c r="E121" s="8"/>
      <c r="F121" s="8">
        <f>F118+F31+F34+40*(F43+F44)+2*F25</f>
        <v>20642.43</v>
      </c>
      <c r="G121" s="8"/>
      <c r="H121" s="8"/>
      <c r="I121" s="8"/>
      <c r="J121" s="8"/>
      <c r="K121" s="8"/>
      <c r="L121" s="8"/>
      <c r="M121" s="8"/>
      <c r="N121" s="8"/>
      <c r="O121" s="8"/>
      <c r="P121" s="8">
        <f t="array" ref="P121">AVERAGE(IF(C121:O121&lt;&gt;0,C121:O121,""))</f>
        <v>21662.195</v>
      </c>
    </row>
    <row r="122" spans="1:16" s="79" customFormat="1" hidden="1">
      <c r="B122" s="146" t="s">
        <v>112</v>
      </c>
      <c r="C122" s="145"/>
      <c r="P122" s="147"/>
    </row>
    <row r="123" spans="1:16" ht="6.6" customHeight="1">
      <c r="B123" s="13"/>
    </row>
    <row r="124" spans="1:16">
      <c r="A124" s="6" t="s">
        <v>171</v>
      </c>
    </row>
    <row r="125" spans="1:16">
      <c r="B125" s="7" t="s">
        <v>83</v>
      </c>
      <c r="C125" s="8">
        <f>'Survey Template'!C65</f>
        <v>41886.14</v>
      </c>
      <c r="D125" s="8"/>
      <c r="E125" s="8"/>
      <c r="F125" s="8">
        <f>'Survey Template'!F65</f>
        <v>33510</v>
      </c>
      <c r="G125" s="451">
        <f>'Survey Template'!G65</f>
        <v>0</v>
      </c>
      <c r="H125" s="451">
        <f>'Survey Template'!H65</f>
        <v>0</v>
      </c>
      <c r="I125" s="8"/>
      <c r="J125" s="8"/>
      <c r="K125" s="8"/>
      <c r="L125" s="8"/>
      <c r="M125" s="8"/>
      <c r="N125" s="8"/>
      <c r="O125" s="8"/>
      <c r="P125" s="8">
        <f t="array" ref="P125">AVERAGE(IF(C125:O125&lt;&gt;0,C125:O125,""))</f>
        <v>37698.07</v>
      </c>
    </row>
    <row r="126" spans="1:16" ht="13.5" thickBot="1">
      <c r="B126" s="7" t="s">
        <v>25</v>
      </c>
      <c r="C126" s="9">
        <f>'Survey Template'!C81</f>
        <v>2094.2799999999997</v>
      </c>
      <c r="D126" s="9"/>
      <c r="E126" s="9"/>
      <c r="F126" s="9">
        <f>'Survey Template'!F81</f>
        <v>1675.5</v>
      </c>
      <c r="G126" s="452">
        <f>'Survey Template'!G81</f>
        <v>0</v>
      </c>
      <c r="H126" s="452">
        <f>'Survey Template'!H81</f>
        <v>0</v>
      </c>
      <c r="I126" s="9"/>
      <c r="J126" s="9"/>
      <c r="K126" s="9"/>
      <c r="L126" s="9"/>
      <c r="M126" s="9"/>
      <c r="N126" s="9"/>
      <c r="O126" s="9"/>
      <c r="P126" s="8">
        <f t="array" ref="P126">AVERAGE(IF(C126:O126&lt;&gt;0,C126:O126,""))</f>
        <v>1884.8899999999999</v>
      </c>
    </row>
    <row r="127" spans="1:16">
      <c r="B127" s="168" t="s">
        <v>17</v>
      </c>
      <c r="C127" s="8">
        <f>SUM(C125:C126)</f>
        <v>43980.42</v>
      </c>
      <c r="D127" s="8"/>
      <c r="E127" s="8"/>
      <c r="F127" s="8">
        <f>SUM(F125:F126)</f>
        <v>35185.5</v>
      </c>
      <c r="G127" s="451">
        <f t="shared" ref="G127:H127" si="12">SUM(G125:G126)</f>
        <v>0</v>
      </c>
      <c r="H127" s="451">
        <f t="shared" si="12"/>
        <v>0</v>
      </c>
      <c r="I127" s="8"/>
      <c r="J127" s="8"/>
      <c r="K127" s="8"/>
      <c r="L127" s="8"/>
      <c r="M127" s="8"/>
      <c r="N127" s="8"/>
      <c r="O127" s="8"/>
      <c r="P127" s="8">
        <f t="array" ref="P127">AVERAGE(IF(C127:O127&lt;&gt;0,C127:O127,""))</f>
        <v>39582.959999999999</v>
      </c>
    </row>
    <row r="128" spans="1:16" ht="7.5" customHeight="1"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6">
      <c r="A129" s="6" t="s">
        <v>170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6">
      <c r="B130" s="7" t="s">
        <v>46</v>
      </c>
      <c r="C130" s="8">
        <f>C127+C30+C34+36*(C43+C44)+2*C25</f>
        <v>45825.42</v>
      </c>
      <c r="D130" s="8"/>
      <c r="E130" s="8"/>
      <c r="F130" s="8">
        <f>F127+F31+F34+40*(F43+F44)</f>
        <v>38313.43</v>
      </c>
      <c r="G130" s="451"/>
      <c r="H130" s="451"/>
      <c r="I130" s="8"/>
      <c r="J130" s="8"/>
      <c r="K130" s="8"/>
      <c r="L130" s="8"/>
      <c r="M130" s="8"/>
      <c r="N130" s="8"/>
      <c r="O130" s="8"/>
      <c r="P130" s="8">
        <f t="array" ref="P130">AVERAGE(IF(C130:O130&lt;&gt;0,C130:O130,""))</f>
        <v>42069.425000000003</v>
      </c>
    </row>
    <row r="131" spans="1:16" ht="15.75">
      <c r="A131" s="11" t="s">
        <v>117</v>
      </c>
      <c r="B131" s="15"/>
      <c r="C131" s="3"/>
    </row>
    <row r="132" spans="1:16">
      <c r="A132" s="6" t="s">
        <v>262</v>
      </c>
    </row>
    <row r="133" spans="1:16">
      <c r="B133" s="7" t="s">
        <v>30</v>
      </c>
      <c r="C133" s="8">
        <f>'Survey Template'!C20</f>
        <v>19522.3</v>
      </c>
      <c r="D133" s="8"/>
      <c r="E133" s="8"/>
      <c r="F133" s="8">
        <f>'Survey Template'!F20</f>
        <v>17721.86</v>
      </c>
      <c r="G133" s="451">
        <f>'Survey Template'!G20</f>
        <v>0</v>
      </c>
      <c r="H133" s="451">
        <f>'Survey Template'!H20</f>
        <v>0</v>
      </c>
      <c r="I133" s="8"/>
      <c r="J133" s="8"/>
      <c r="K133" s="8">
        <f>'Survey Template'!K20</f>
        <v>19780</v>
      </c>
      <c r="L133" s="8"/>
      <c r="M133" s="8"/>
      <c r="N133" s="8"/>
      <c r="O133" s="8"/>
      <c r="P133" s="8">
        <f t="array" ref="P133">AVERAGE(IF(C133:O133&lt;&gt;0,C133:O133,""))</f>
        <v>19008.053333333333</v>
      </c>
    </row>
    <row r="134" spans="1:16" ht="13.5" thickBot="1">
      <c r="B134" s="7" t="s">
        <v>25</v>
      </c>
      <c r="C134" s="9">
        <f>'Survey Template'!C35</f>
        <v>976.1</v>
      </c>
      <c r="D134" s="9"/>
      <c r="E134" s="9"/>
      <c r="F134" s="9">
        <f>'Survey Template'!F35</f>
        <v>886.09</v>
      </c>
      <c r="G134" s="452">
        <f>'Survey Template'!G35</f>
        <v>0</v>
      </c>
      <c r="H134" s="452">
        <f>'Survey Template'!H35</f>
        <v>0</v>
      </c>
      <c r="I134" s="9"/>
      <c r="J134" s="9"/>
      <c r="K134" s="9">
        <f>'Survey Template'!K35</f>
        <v>988.8</v>
      </c>
      <c r="L134" s="9"/>
      <c r="M134" s="9"/>
      <c r="N134" s="9"/>
      <c r="O134" s="9"/>
      <c r="P134" s="8">
        <f t="array" ref="P134">AVERAGE(IF(C134:O134&lt;&gt;0,C134:O134,""))</f>
        <v>950.32999999999993</v>
      </c>
    </row>
    <row r="135" spans="1:16">
      <c r="B135" s="168" t="s">
        <v>17</v>
      </c>
      <c r="C135" s="8">
        <f>SUM(C133:C134)</f>
        <v>20498.399999999998</v>
      </c>
      <c r="D135" s="8"/>
      <c r="E135" s="8"/>
      <c r="F135" s="8">
        <f>SUM(F133:F134)</f>
        <v>18607.95</v>
      </c>
      <c r="G135" s="451">
        <f t="shared" ref="G135:H135" si="13">SUM(G133:G134)</f>
        <v>0</v>
      </c>
      <c r="H135" s="451">
        <f t="shared" si="13"/>
        <v>0</v>
      </c>
      <c r="I135" s="8"/>
      <c r="J135" s="8"/>
      <c r="K135" s="8">
        <f>SUM(K133:K134)</f>
        <v>20768.8</v>
      </c>
      <c r="L135" s="8"/>
      <c r="M135" s="8"/>
      <c r="N135" s="8"/>
      <c r="O135" s="8"/>
      <c r="P135" s="8">
        <f t="array" ref="P135">AVERAGE(IF(C135:O135&lt;&gt;0,C135:O135,""))</f>
        <v>19958.383333333331</v>
      </c>
    </row>
    <row r="136" spans="1:16"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6">
      <c r="A137" s="6" t="s">
        <v>118</v>
      </c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6">
      <c r="B138" s="7" t="s">
        <v>46</v>
      </c>
      <c r="C138" s="8">
        <f>C135+C37+40*(C17+C43+C44)+2*C25</f>
        <v>22491</v>
      </c>
      <c r="D138" s="8"/>
      <c r="E138" s="8"/>
      <c r="F138" s="8">
        <f>F135+F37+F32+40*(F43+F44)</f>
        <v>21163.24</v>
      </c>
      <c r="G138" s="8"/>
      <c r="H138" s="8"/>
      <c r="I138" s="8"/>
      <c r="J138" s="8"/>
      <c r="K138" s="8">
        <f>K135+K30+K37+40*(K17+K43+K44)</f>
        <v>22028</v>
      </c>
      <c r="L138" s="8"/>
      <c r="M138" s="8"/>
      <c r="N138" s="8"/>
      <c r="O138" s="8"/>
      <c r="P138" s="8">
        <f t="array" ref="P138">AVERAGE(IF(C138:O138&lt;&gt;0,C138:O138,""))</f>
        <v>21894.080000000002</v>
      </c>
    </row>
    <row r="139" spans="1:16">
      <c r="B139" s="7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6">
      <c r="A140" s="6" t="s">
        <v>176</v>
      </c>
    </row>
    <row r="141" spans="1:16">
      <c r="B141" s="7" t="s">
        <v>83</v>
      </c>
      <c r="C141" s="8">
        <f>'Survey Template'!C66</f>
        <v>28322.3</v>
      </c>
      <c r="D141" s="8">
        <f>'Survey Template'!D66</f>
        <v>0</v>
      </c>
      <c r="E141" s="8">
        <f>'Survey Template'!E66</f>
        <v>0</v>
      </c>
      <c r="F141" s="8">
        <f>'Survey Template'!F66</f>
        <v>24525.03</v>
      </c>
      <c r="G141" s="8"/>
      <c r="H141" s="8"/>
      <c r="I141" s="8">
        <f>'Survey Template'!I66</f>
        <v>0</v>
      </c>
      <c r="J141" s="8">
        <f>'Survey Template'!J66</f>
        <v>0</v>
      </c>
      <c r="K141" s="8">
        <f>'Survey Template'!K66</f>
        <v>51186</v>
      </c>
      <c r="L141" s="8">
        <f>'Survey Template'!L66</f>
        <v>0</v>
      </c>
      <c r="M141" s="8">
        <f>'Survey Template'!M66</f>
        <v>0</v>
      </c>
      <c r="N141" s="8">
        <f>'Survey Template'!N66</f>
        <v>0</v>
      </c>
      <c r="O141" s="8"/>
      <c r="P141" s="8">
        <f t="array" ref="P141">AVERAGE(IF(C141:O141&lt;&gt;0,C141:O141,""))</f>
        <v>34677.776666666665</v>
      </c>
    </row>
    <row r="142" spans="1:16" ht="13.5" thickBot="1">
      <c r="B142" s="7" t="s">
        <v>25</v>
      </c>
      <c r="C142" s="9">
        <f>'Survey Template'!C82</f>
        <v>1416.1</v>
      </c>
      <c r="D142" s="9">
        <f>'Survey Template'!D82</f>
        <v>0</v>
      </c>
      <c r="E142" s="9">
        <f>'Survey Template'!E82</f>
        <v>0</v>
      </c>
      <c r="F142" s="9">
        <f>'Survey Template'!F82</f>
        <v>1226.24</v>
      </c>
      <c r="G142" s="9"/>
      <c r="H142" s="9"/>
      <c r="I142" s="9">
        <f>'Survey Template'!I82</f>
        <v>0</v>
      </c>
      <c r="J142" s="9">
        <f>'Survey Template'!J82</f>
        <v>0</v>
      </c>
      <c r="K142" s="9">
        <f>'Survey Template'!K82</f>
        <v>2558.8000000000002</v>
      </c>
      <c r="L142" s="9">
        <f>'Survey Template'!L82</f>
        <v>0</v>
      </c>
      <c r="M142" s="9">
        <f>'Survey Template'!M82</f>
        <v>0</v>
      </c>
      <c r="N142" s="9">
        <f>'Survey Template'!N82</f>
        <v>0</v>
      </c>
      <c r="O142" s="9"/>
      <c r="P142" s="8">
        <f t="array" ref="P142">AVERAGE(IF(C142:O142&lt;&gt;0,C142:O142,""))</f>
        <v>1733.7133333333334</v>
      </c>
    </row>
    <row r="143" spans="1:16">
      <c r="B143" s="168" t="s">
        <v>17</v>
      </c>
      <c r="C143" s="8">
        <f>SUM(C141:C142)</f>
        <v>29738.399999999998</v>
      </c>
      <c r="D143" s="8"/>
      <c r="E143" s="8"/>
      <c r="F143" s="8">
        <f>SUM(F141:F142)</f>
        <v>25751.27</v>
      </c>
      <c r="G143" s="8"/>
      <c r="H143" s="8"/>
      <c r="I143" s="8"/>
      <c r="J143" s="8"/>
      <c r="K143" s="8">
        <f>SUM(K141:K142)</f>
        <v>53744.800000000003</v>
      </c>
      <c r="L143" s="8"/>
      <c r="M143" s="8"/>
      <c r="N143" s="8"/>
      <c r="O143" s="8"/>
      <c r="P143" s="8">
        <f t="array" ref="P143">AVERAGE(IF(C143:O143&lt;&gt;0,C143:O143,""))</f>
        <v>36411.49</v>
      </c>
    </row>
    <row r="144" spans="1:16"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>
      <c r="A145" s="6" t="s">
        <v>172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6">
      <c r="B146" s="7" t="s">
        <v>46</v>
      </c>
      <c r="C146" s="8">
        <f>C143+C32+C38+40*(C17+C43+C44)</f>
        <v>31731</v>
      </c>
      <c r="D146" s="8"/>
      <c r="E146" s="8"/>
      <c r="F146" s="8">
        <f>F143+F32+F38+40*(F43+F44)+2*F25</f>
        <v>28380.560000000001</v>
      </c>
      <c r="G146" s="8"/>
      <c r="H146" s="8"/>
      <c r="I146" s="8"/>
      <c r="J146" s="8"/>
      <c r="K146" s="8">
        <f>K143+40*(K17+K43+K44)+2*K25</f>
        <v>55004</v>
      </c>
      <c r="L146" s="8"/>
      <c r="M146" s="8"/>
      <c r="N146" s="8"/>
      <c r="O146" s="8"/>
      <c r="P146" s="8">
        <f t="array" ref="P146">AVERAGE(IF(C146:O146&lt;&gt;0,C146:O146,""))</f>
        <v>38371.853333333333</v>
      </c>
    </row>
    <row r="147" spans="1:16">
      <c r="B147" s="7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 ht="15.75">
      <c r="A148" s="11" t="s">
        <v>123</v>
      </c>
      <c r="B148" s="15"/>
      <c r="C148" s="3"/>
    </row>
    <row r="149" spans="1:16">
      <c r="A149" s="6" t="s">
        <v>263</v>
      </c>
    </row>
    <row r="150" spans="1:16">
      <c r="B150" s="7" t="s">
        <v>30</v>
      </c>
      <c r="C150" s="8">
        <f>'Survey Template'!C22</f>
        <v>13201.82</v>
      </c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>
        <f t="array" ref="P150">AVERAGE(IF(C150:O150&lt;&gt;0,C150:O150,""))</f>
        <v>13201.82</v>
      </c>
    </row>
    <row r="151" spans="1:16" ht="13.5" thickBot="1">
      <c r="B151" s="7" t="s">
        <v>25</v>
      </c>
      <c r="C151" s="9">
        <f>'Survey Template'!C37</f>
        <v>660.08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8">
        <f t="array" ref="P151">AVERAGE(IF(C151:O151&lt;&gt;0,C151:O151,""))</f>
        <v>660.08</v>
      </c>
    </row>
    <row r="152" spans="1:16">
      <c r="B152" s="168" t="s">
        <v>17</v>
      </c>
      <c r="C152" s="8">
        <f>SUM(C150:C151)</f>
        <v>13861.9</v>
      </c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>
        <f t="array" ref="P152">AVERAGE(IF(C152:O152&lt;&gt;0,C152:O152,""))</f>
        <v>13861.9</v>
      </c>
    </row>
    <row r="153" spans="1:16" ht="6" customHeight="1"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>
      <c r="A154" s="6" t="s">
        <v>131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>
      <c r="B155" s="7" t="s">
        <v>46</v>
      </c>
      <c r="C155" s="8">
        <f>C152+C30+C40+42*(C43+C44)</f>
        <v>15144.6</v>
      </c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>
        <f t="array" ref="P155">AVERAGE(IF(C155:O155&lt;&gt;0,C155:O155,""))</f>
        <v>15144.6</v>
      </c>
    </row>
    <row r="156" spans="1:16">
      <c r="B156" s="7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6">
      <c r="A157" s="6" t="s">
        <v>264</v>
      </c>
    </row>
    <row r="158" spans="1:16">
      <c r="B158" s="7" t="s">
        <v>83</v>
      </c>
      <c r="C158" s="8">
        <f>'Survey Template'!C68</f>
        <v>29767.06</v>
      </c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>
        <f t="array" ref="P158">AVERAGE(IF(C158:O158&lt;&gt;0,C158:O158,""))</f>
        <v>29767.06</v>
      </c>
    </row>
    <row r="159" spans="1:16" ht="13.5" thickBot="1">
      <c r="B159" s="7" t="s">
        <v>25</v>
      </c>
      <c r="C159" s="9">
        <f>'Survey Template'!C84</f>
        <v>1488.3400000000001</v>
      </c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8">
        <f t="array" ref="P159">AVERAGE(IF(C159:O159&lt;&gt;0,C159:O159,""))</f>
        <v>1488.3400000000001</v>
      </c>
    </row>
    <row r="160" spans="1:16">
      <c r="B160" s="168" t="s">
        <v>17</v>
      </c>
      <c r="C160" s="8">
        <f>SUM(C158:C159)</f>
        <v>31255.4</v>
      </c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>
        <f t="array" ref="P160">AVERAGE(IF(C160:O160&lt;&gt;0,C160:O160,""))</f>
        <v>31255.4</v>
      </c>
    </row>
    <row r="161" spans="1:16" ht="9" customHeight="1"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6">
      <c r="A162" s="6" t="s">
        <v>175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6">
      <c r="B163" s="7" t="s">
        <v>46</v>
      </c>
      <c r="C163" s="8">
        <f>C160+C40+C30+42*(C43+C44)</f>
        <v>32538.1</v>
      </c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>
        <f t="array" ref="P163">AVERAGE(IF(C163:O163&lt;&gt;0,C163:O163,""))</f>
        <v>32538.1</v>
      </c>
    </row>
    <row r="164" spans="1:16" ht="7.5" customHeight="1"/>
    <row r="165" spans="1:16" ht="15.75">
      <c r="A165" s="11" t="s">
        <v>121</v>
      </c>
      <c r="B165" s="15"/>
      <c r="C165" s="3"/>
    </row>
    <row r="166" spans="1:16">
      <c r="A166" s="6" t="s">
        <v>265</v>
      </c>
    </row>
    <row r="167" spans="1:16">
      <c r="B167" s="7" t="s">
        <v>30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>
        <f>'Survey Template'!M17</f>
        <v>13713.28</v>
      </c>
      <c r="N167" s="8"/>
      <c r="O167" s="8"/>
      <c r="P167" s="8">
        <f t="array" ref="P167">AVERAGE(IF(C167:O167&lt;&gt;0,C167:O167,""))</f>
        <v>13713.28</v>
      </c>
    </row>
    <row r="168" spans="1:16" ht="13.5" thickBot="1">
      <c r="B168" s="7" t="s">
        <v>25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>
        <f>'Survey Template'!M32</f>
        <v>685.44</v>
      </c>
      <c r="N168" s="9"/>
      <c r="O168" s="9"/>
      <c r="P168" s="8">
        <f t="array" ref="P168">AVERAGE(IF(C168:O168&lt;&gt;0,C168:O168,""))</f>
        <v>685.44</v>
      </c>
    </row>
    <row r="169" spans="1:16">
      <c r="B169" s="168" t="s">
        <v>17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>
        <f>SUM(M167:M168)</f>
        <v>14398.720000000001</v>
      </c>
      <c r="N169" s="8"/>
      <c r="O169" s="8"/>
      <c r="P169" s="8">
        <f t="array" ref="P169">AVERAGE(IF(C169:O169&lt;&gt;0,C169:O169,""))</f>
        <v>14398.720000000001</v>
      </c>
    </row>
    <row r="170" spans="1:16" ht="4.5" customHeight="1"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6">
      <c r="A171" s="6" t="s">
        <v>128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6">
      <c r="B172" s="7" t="s">
        <v>46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>
        <f>+M169+32*(M13+M16+M43+M44)+2*M25</f>
        <v>16373.76</v>
      </c>
      <c r="N172" s="8"/>
      <c r="O172" s="8"/>
      <c r="P172" s="8">
        <f t="array" ref="P172">AVERAGE(IF(C172:O172&lt;&gt;0,C172:O172,""))</f>
        <v>16373.76</v>
      </c>
    </row>
    <row r="173" spans="1:16" ht="6.75" customHeight="1">
      <c r="B173" s="13"/>
    </row>
    <row r="174" spans="1:16">
      <c r="A174" s="6" t="s">
        <v>173</v>
      </c>
    </row>
    <row r="175" spans="1:16">
      <c r="B175" s="7" t="s">
        <v>83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>
        <f>'Survey Template'!M63</f>
        <v>32535.68</v>
      </c>
      <c r="N175" s="8"/>
      <c r="O175" s="8"/>
      <c r="P175" s="8">
        <f t="array" ref="P175">AVERAGE(IF(C175:O175&lt;&gt;0,C175:O175,""))</f>
        <v>32535.68</v>
      </c>
    </row>
    <row r="176" spans="1:16" ht="13.5" thickBot="1">
      <c r="B176" s="7" t="s">
        <v>25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>
        <f>'Survey Template'!M79</f>
        <v>1626.56</v>
      </c>
      <c r="N176" s="9"/>
      <c r="O176" s="9"/>
      <c r="P176" s="8">
        <f t="array" ref="P176">AVERAGE(IF(C176:O176&lt;&gt;0,C176:O176,""))</f>
        <v>1626.56</v>
      </c>
    </row>
    <row r="177" spans="1:16">
      <c r="B177" s="168" t="s">
        <v>17</v>
      </c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>
        <f>SUM(M175:M176)</f>
        <v>34162.239999999998</v>
      </c>
      <c r="N177" s="8"/>
      <c r="O177" s="8"/>
      <c r="P177" s="8">
        <f t="array" ref="P177">AVERAGE(IF(C177:O177&lt;&gt;0,C177:O177,""))</f>
        <v>34162.239999999998</v>
      </c>
    </row>
    <row r="178" spans="1:16">
      <c r="A178" s="6" t="s">
        <v>174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6">
      <c r="B179" s="7" t="s">
        <v>46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>
        <f>+M177+32*(M13+M16+M43+M44)+2*M25</f>
        <v>36137.279999999999</v>
      </c>
      <c r="N179" s="8"/>
      <c r="O179" s="8"/>
      <c r="P179" s="8">
        <f t="array" ref="P179">AVERAGE(IF(C179:O179&lt;&gt;0,C179:O179,""))</f>
        <v>36137.279999999999</v>
      </c>
    </row>
    <row r="180" spans="1:16" ht="13.5">
      <c r="A180" s="140" t="s">
        <v>266</v>
      </c>
    </row>
    <row r="181" spans="1:16" ht="13.5">
      <c r="A181" s="140" t="s">
        <v>268</v>
      </c>
    </row>
    <row r="182" spans="1:16" ht="13.5">
      <c r="A182" s="140" t="s">
        <v>286</v>
      </c>
    </row>
  </sheetData>
  <printOptions horizontalCentered="1"/>
  <pageMargins left="0" right="0" top="0.5" bottom="0.5" header="0.25" footer="0.25"/>
  <pageSetup scale="64" fitToHeight="0" orientation="landscape" r:id="rId1"/>
  <headerFooter alignWithMargins="0">
    <oddFooter>&amp;ROffice of Institutional Research, SUS, &amp;F, &amp;D
Page &amp;P of &amp;N</oddFooter>
  </headerFooter>
  <rowBreaks count="1" manualBreakCount="1">
    <brk id="62" max="15" man="1"/>
  </rowBreaks>
  <colBreaks count="1" manualBreakCount="1">
    <brk id="16" max="226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V224"/>
  <sheetViews>
    <sheetView showZeros="0" view="pageBreakPreview" topLeftCell="A3" zoomScale="75" zoomScaleNormal="70" zoomScaleSheetLayoutView="75" workbookViewId="0">
      <pane xSplit="2" ySplit="1" topLeftCell="E64" activePane="bottomRight" state="frozen"/>
      <selection activeCell="J142" sqref="J142"/>
      <selection pane="topRight" activeCell="J142" sqref="J142"/>
      <selection pane="bottomLeft" activeCell="J142" sqref="J142"/>
      <selection pane="bottomRight" activeCell="F64" sqref="F64"/>
    </sheetView>
  </sheetViews>
  <sheetFormatPr defaultColWidth="9.140625" defaultRowHeight="12.75"/>
  <cols>
    <col min="1" max="1" width="12.7109375" style="4" customWidth="1"/>
    <col min="2" max="2" width="27" style="4" customWidth="1"/>
    <col min="3" max="6" width="10.7109375" style="4" bestFit="1" customWidth="1"/>
    <col min="7" max="8" width="10.7109375" style="4" customWidth="1"/>
    <col min="9" max="9" width="11.42578125" style="4" bestFit="1" customWidth="1"/>
    <col min="10" max="16" width="10.7109375" style="4" bestFit="1" customWidth="1"/>
    <col min="17" max="17" width="10.5703125" style="4" hidden="1" customWidth="1"/>
    <col min="18" max="16384" width="9.140625" style="4"/>
  </cols>
  <sheetData>
    <row r="1" spans="1:17" ht="25.5">
      <c r="A1" s="1" t="s">
        <v>269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21" customHeight="1">
      <c r="A2" s="1" t="s">
        <v>179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5" t="s">
        <v>130</v>
      </c>
    </row>
    <row r="3" spans="1:17">
      <c r="C3" s="5" t="s">
        <v>0</v>
      </c>
      <c r="D3" s="5" t="s">
        <v>1</v>
      </c>
      <c r="E3" s="5" t="s">
        <v>2</v>
      </c>
      <c r="F3" s="5" t="s">
        <v>272</v>
      </c>
      <c r="G3" s="5" t="s">
        <v>284</v>
      </c>
      <c r="H3" s="5" t="s">
        <v>285</v>
      </c>
      <c r="I3" s="5" t="s">
        <v>4</v>
      </c>
      <c r="J3" s="5" t="s">
        <v>5</v>
      </c>
      <c r="K3" s="5" t="s">
        <v>6</v>
      </c>
      <c r="L3" s="5" t="s">
        <v>7</v>
      </c>
      <c r="M3" s="5" t="s">
        <v>8</v>
      </c>
      <c r="N3" s="5" t="s">
        <v>9</v>
      </c>
      <c r="O3" s="5" t="s">
        <v>10</v>
      </c>
      <c r="P3" s="5" t="s">
        <v>129</v>
      </c>
      <c r="Q3" s="5" t="s">
        <v>11</v>
      </c>
    </row>
    <row r="4" spans="1:17">
      <c r="A4" s="6" t="s">
        <v>12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>
      <c r="A5" s="6"/>
      <c r="B5" s="7" t="s">
        <v>13</v>
      </c>
      <c r="C5" s="8">
        <f>'Survey Template'!C107</f>
        <v>16.059999999999999</v>
      </c>
      <c r="D5" s="8">
        <f>'Survey Template'!D107</f>
        <v>12.24</v>
      </c>
      <c r="E5" s="8">
        <f>'Survey Template'!E107</f>
        <v>10.5</v>
      </c>
      <c r="F5" s="8">
        <f>'Survey Template'!F107</f>
        <v>11.71</v>
      </c>
      <c r="G5" s="451">
        <f>'Survey Template'!G107</f>
        <v>25.05</v>
      </c>
      <c r="H5" s="451">
        <f>'Survey Template'!H107</f>
        <v>20.190000000000001</v>
      </c>
      <c r="I5" s="8">
        <f>'Survey Template'!I107</f>
        <v>12.32</v>
      </c>
      <c r="J5" s="8">
        <f>'Survey Template'!J107</f>
        <v>13.3</v>
      </c>
      <c r="K5" s="8">
        <f>'Survey Template'!K107</f>
        <v>10.79</v>
      </c>
      <c r="L5" s="8">
        <f>'Survey Template'!L107</f>
        <v>12.87</v>
      </c>
      <c r="M5" s="8">
        <f>'Survey Template'!M107</f>
        <v>14.47</v>
      </c>
      <c r="N5" s="8">
        <f>'Survey Template'!N107</f>
        <v>11.24</v>
      </c>
      <c r="O5" s="8">
        <f>'Survey Template'!O107</f>
        <v>16.649999999999999</v>
      </c>
      <c r="P5" s="8">
        <f t="array" ref="P5">AVERAGE(IF(C5:O5&lt;&gt;0,C5:O5,""))</f>
        <v>14.414615384615386</v>
      </c>
      <c r="Q5" s="159"/>
    </row>
    <row r="6" spans="1:17">
      <c r="A6" s="6"/>
      <c r="B6" s="7" t="s">
        <v>14</v>
      </c>
      <c r="C6" s="8">
        <f>'Survey Template'!C110</f>
        <v>1.9</v>
      </c>
      <c r="D6" s="8">
        <f>'Survey Template'!D110</f>
        <v>7.54</v>
      </c>
      <c r="E6" s="8">
        <f>'Survey Template'!E110</f>
        <v>13.969999999999999</v>
      </c>
      <c r="F6" s="8">
        <f>'Survey Template'!F110</f>
        <v>14.46</v>
      </c>
      <c r="G6" s="451">
        <f>'Survey Template'!G110</f>
        <v>2.4500000000000002</v>
      </c>
      <c r="H6" s="451">
        <f>'Survey Template'!H110</f>
        <v>4.2300000000000004</v>
      </c>
      <c r="I6" s="8">
        <f>'Survey Template'!I110</f>
        <v>17.27</v>
      </c>
      <c r="J6" s="8">
        <f>'Survey Template'!J110</f>
        <v>19.39</v>
      </c>
      <c r="K6" s="8">
        <f>'Survey Template'!K110</f>
        <v>13.44</v>
      </c>
      <c r="L6" s="8">
        <f>'Survey Template'!L110</f>
        <v>14.1</v>
      </c>
      <c r="M6" s="8">
        <f>'Survey Template'!M110</f>
        <v>14.33</v>
      </c>
      <c r="N6" s="8">
        <f>'Survey Template'!N110</f>
        <v>12.79</v>
      </c>
      <c r="O6" s="8">
        <f>'Survey Template'!O110</f>
        <v>6.28</v>
      </c>
      <c r="P6" s="8">
        <f t="array" ref="P6">AVERAGE(IF(C6:O6&lt;&gt;0,C6:O6,""))</f>
        <v>10.934615384615382</v>
      </c>
      <c r="Q6" s="159"/>
    </row>
    <row r="7" spans="1:17">
      <c r="A7" s="6"/>
      <c r="B7" s="7" t="s">
        <v>113</v>
      </c>
      <c r="C7" s="8">
        <f>'Survey Template'!C111</f>
        <v>0</v>
      </c>
      <c r="D7" s="8">
        <f>'Survey Template'!D111</f>
        <v>0</v>
      </c>
      <c r="E7" s="8">
        <f>'Survey Template'!E111</f>
        <v>0</v>
      </c>
      <c r="F7" s="8">
        <f>'Survey Template'!F111</f>
        <v>0</v>
      </c>
      <c r="G7" s="8"/>
      <c r="H7" s="8"/>
      <c r="I7" s="8">
        <f>'Survey Template'!I111</f>
        <v>0</v>
      </c>
      <c r="J7" s="8">
        <f>'Survey Template'!J111</f>
        <v>0</v>
      </c>
      <c r="K7" s="8">
        <f>'Survey Template'!K111</f>
        <v>0</v>
      </c>
      <c r="L7" s="8">
        <f>'Survey Template'!L111</f>
        <v>2</v>
      </c>
      <c r="M7" s="8">
        <f>'Survey Template'!M111</f>
        <v>2</v>
      </c>
      <c r="N7" s="8">
        <f>'Survey Template'!N111</f>
        <v>4</v>
      </c>
      <c r="O7" s="8">
        <f>'Survey Template'!O111</f>
        <v>0</v>
      </c>
      <c r="P7" s="8">
        <f t="array" ref="P7">AVERAGE(IF(C7:O7&lt;&gt;0,C7:O7,""))</f>
        <v>2.6666666666666665</v>
      </c>
    </row>
    <row r="8" spans="1:17">
      <c r="A8" s="6"/>
      <c r="B8" s="7" t="s">
        <v>15</v>
      </c>
      <c r="C8" s="8">
        <f>'Survey Template'!C115</f>
        <v>13.82</v>
      </c>
      <c r="D8" s="8">
        <f>'Survey Template'!D115</f>
        <v>13.42</v>
      </c>
      <c r="E8" s="8">
        <f>'Survey Template'!E115</f>
        <v>6.91</v>
      </c>
      <c r="F8" s="8">
        <f>'Survey Template'!F115</f>
        <v>9.73</v>
      </c>
      <c r="G8" s="451">
        <f>'Survey Template'!G115</f>
        <v>3.9</v>
      </c>
      <c r="H8" s="451">
        <f>'Survey Template'!H115</f>
        <v>4.03</v>
      </c>
      <c r="I8" s="8">
        <f>'Survey Template'!I115</f>
        <v>9.42</v>
      </c>
      <c r="J8" s="8">
        <f>'Survey Template'!J115</f>
        <v>7.23</v>
      </c>
      <c r="K8" s="8">
        <f>'Survey Template'!K115</f>
        <v>10.3</v>
      </c>
      <c r="L8" s="8">
        <f>'Survey Template'!L115</f>
        <v>0</v>
      </c>
      <c r="M8" s="8">
        <f>'Survey Template'!M115</f>
        <v>9.76</v>
      </c>
      <c r="N8" s="8">
        <f>'Survey Template'!N115</f>
        <v>8.7899999999999991</v>
      </c>
      <c r="O8" s="8">
        <f>'Survey Template'!O115</f>
        <v>4.58</v>
      </c>
      <c r="P8" s="8">
        <f t="array" ref="P8">AVERAGE(IF(C8:O8&lt;&gt;0,C8:O8,""))</f>
        <v>8.4908333333333328</v>
      </c>
    </row>
    <row r="9" spans="1:17">
      <c r="B9" s="51" t="s">
        <v>144</v>
      </c>
      <c r="C9" s="50">
        <f>'Survey Template'!C118</f>
        <v>8.41</v>
      </c>
      <c r="D9" s="50">
        <f>'Survey Template'!D118</f>
        <v>8.9</v>
      </c>
      <c r="E9" s="50">
        <f>'Survey Template'!E118</f>
        <v>0</v>
      </c>
      <c r="F9" s="50">
        <f>'Survey Template'!F118</f>
        <v>3</v>
      </c>
      <c r="G9" s="453">
        <f>'Survey Template'!G118</f>
        <v>2.25</v>
      </c>
      <c r="H9" s="453">
        <f>'Survey Template'!H118</f>
        <v>0</v>
      </c>
      <c r="I9" s="50">
        <f>'Survey Template'!I118</f>
        <v>0</v>
      </c>
      <c r="J9" s="50">
        <f>'Survey Template'!J118</f>
        <v>8</v>
      </c>
      <c r="K9" s="50">
        <f>'Survey Template'!K118</f>
        <v>9.1</v>
      </c>
      <c r="L9" s="50">
        <f>'Survey Template'!L118</f>
        <v>0</v>
      </c>
      <c r="M9" s="50">
        <f>'Survey Template'!M118</f>
        <v>4.08</v>
      </c>
      <c r="N9" s="50">
        <f>'Survey Template'!N118</f>
        <v>8.6999999999999993</v>
      </c>
      <c r="O9" s="50">
        <f>'Survey Template'!O118</f>
        <v>0</v>
      </c>
      <c r="P9" s="8">
        <f t="array" ref="P9">AVERAGE(IF(C9:O9&lt;&gt;0,C9:O9,""))</f>
        <v>6.5549999999999997</v>
      </c>
    </row>
    <row r="10" spans="1:17">
      <c r="B10" s="51" t="s">
        <v>229</v>
      </c>
      <c r="C10" s="50">
        <f>'Survey Template'!C122</f>
        <v>0</v>
      </c>
      <c r="D10" s="50">
        <f>'Survey Template'!D122</f>
        <v>0</v>
      </c>
      <c r="E10" s="50">
        <f>'Survey Template'!E122</f>
        <v>0</v>
      </c>
      <c r="F10" s="50">
        <f>'Survey Template'!F122</f>
        <v>1</v>
      </c>
      <c r="G10" s="453">
        <f>'Survey Template'!G122</f>
        <v>1</v>
      </c>
      <c r="H10" s="453">
        <f>'Survey Template'!H122</f>
        <v>0</v>
      </c>
      <c r="I10" s="50">
        <f>'Survey Template'!I122</f>
        <v>0</v>
      </c>
      <c r="J10" s="50">
        <f>'Survey Template'!J122</f>
        <v>0.75</v>
      </c>
      <c r="K10" s="50">
        <f>'Survey Template'!K122</f>
        <v>0</v>
      </c>
      <c r="L10" s="50">
        <f>'Survey Template'!L122</f>
        <v>0</v>
      </c>
      <c r="M10" s="50">
        <f>'Survey Template'!M122</f>
        <v>0</v>
      </c>
      <c r="N10" s="50">
        <f>'Survey Template'!N122</f>
        <v>0</v>
      </c>
      <c r="O10" s="50">
        <f>'Survey Template'!O122</f>
        <v>1</v>
      </c>
      <c r="P10" s="8">
        <f t="array" ref="P10">AVERAGE(IF(C10:O10&lt;&gt;0,C10:O10,""))</f>
        <v>0.9375</v>
      </c>
    </row>
    <row r="11" spans="1:17" ht="66" customHeight="1" thickBot="1">
      <c r="A11" s="6"/>
      <c r="B11" s="275" t="s">
        <v>230</v>
      </c>
      <c r="C11" s="9">
        <f>'Survey Template'!C162</f>
        <v>0</v>
      </c>
      <c r="D11" s="9">
        <f>'Survey Template'!D162</f>
        <v>2</v>
      </c>
      <c r="E11" s="9">
        <f>'Survey Template'!E162</f>
        <v>0</v>
      </c>
      <c r="F11" s="9">
        <f>'Survey Template'!F162</f>
        <v>1.5</v>
      </c>
      <c r="G11" s="452">
        <f>'Survey Template'!G162</f>
        <v>0</v>
      </c>
      <c r="H11" s="452">
        <f>'Survey Template'!H162</f>
        <v>0</v>
      </c>
      <c r="I11" s="9">
        <f>'Survey Template'!I162</f>
        <v>0</v>
      </c>
      <c r="J11" s="9">
        <f>'Survey Template'!J162</f>
        <v>0</v>
      </c>
      <c r="K11" s="9">
        <f>'Survey Template'!K162</f>
        <v>0</v>
      </c>
      <c r="L11" s="9">
        <f>'Survey Template'!L162</f>
        <v>0</v>
      </c>
      <c r="M11" s="9">
        <f>'Survey Template'!M162+'Survey Template'!M123</f>
        <v>5.16</v>
      </c>
      <c r="N11" s="9">
        <f>'Survey Template'!N162</f>
        <v>0</v>
      </c>
      <c r="O11" s="9"/>
      <c r="P11" s="8">
        <f t="array" ref="P11">AVERAGE(IF(C11:O11&lt;&gt;0,C11:O11,""))</f>
        <v>2.8866666666666667</v>
      </c>
    </row>
    <row r="12" spans="1:17">
      <c r="B12" s="168" t="s">
        <v>17</v>
      </c>
      <c r="C12" s="8">
        <f>SUM(C5:C11)</f>
        <v>40.19</v>
      </c>
      <c r="D12" s="8">
        <f>SUM(D5:D11)</f>
        <v>44.1</v>
      </c>
      <c r="E12" s="8">
        <f t="shared" ref="E12:N12" si="0">SUM(E5:E11)</f>
        <v>31.38</v>
      </c>
      <c r="F12" s="8">
        <f>SUM(F5:F11)</f>
        <v>41.400000000000006</v>
      </c>
      <c r="G12" s="451">
        <f t="shared" ref="G12:H12" si="1">SUM(G5:G11)</f>
        <v>34.65</v>
      </c>
      <c r="H12" s="451">
        <f t="shared" si="1"/>
        <v>28.450000000000003</v>
      </c>
      <c r="I12" s="8">
        <f>SUM(I5:I11)</f>
        <v>39.01</v>
      </c>
      <c r="J12" s="8">
        <f>SUM(J5:J11)</f>
        <v>48.67</v>
      </c>
      <c r="K12" s="8">
        <f t="shared" si="0"/>
        <v>43.63</v>
      </c>
      <c r="L12" s="8">
        <f t="shared" si="0"/>
        <v>28.97</v>
      </c>
      <c r="M12" s="8">
        <f>SUM(M5:M11)</f>
        <v>49.8</v>
      </c>
      <c r="N12" s="8">
        <f t="shared" si="0"/>
        <v>45.519999999999996</v>
      </c>
      <c r="O12" s="8">
        <f>SUM(O5:O11)</f>
        <v>28.509999999999998</v>
      </c>
      <c r="P12" s="8">
        <f t="array" ref="P12">AVERAGE(IF(C12:O12&lt;&gt;0,C12:O12,""))</f>
        <v>38.790769230769236</v>
      </c>
    </row>
    <row r="13" spans="1:17">
      <c r="B13" s="16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7">
      <c r="B14" s="51" t="s">
        <v>166</v>
      </c>
      <c r="C14" s="50">
        <f>'Survey Template'!C130</f>
        <v>5.16</v>
      </c>
      <c r="D14" s="50">
        <f>'Survey Template'!D130</f>
        <v>5.16</v>
      </c>
      <c r="E14" s="50">
        <f>'Survey Template'!E130</f>
        <v>5.16</v>
      </c>
      <c r="F14" s="50">
        <f>'Survey Template'!F130</f>
        <v>5.16</v>
      </c>
      <c r="G14" s="453">
        <f>'Survey Template'!G130</f>
        <v>5.16</v>
      </c>
      <c r="H14" s="453">
        <f>'Survey Template'!H130</f>
        <v>5.16</v>
      </c>
      <c r="I14" s="50">
        <f>'Survey Template'!I130</f>
        <v>5.16</v>
      </c>
      <c r="J14" s="50">
        <f>'Survey Template'!J130</f>
        <v>5.16</v>
      </c>
      <c r="K14" s="50">
        <f>'Survey Template'!K130</f>
        <v>5.16</v>
      </c>
      <c r="L14" s="50">
        <f>'Survey Template'!L130</f>
        <v>5.16</v>
      </c>
      <c r="M14" s="50">
        <f>'Survey Template'!M130</f>
        <v>5.16</v>
      </c>
      <c r="N14" s="50">
        <f>'Survey Template'!N130</f>
        <v>5.15</v>
      </c>
      <c r="O14" s="50">
        <f>'Survey Template'!O130</f>
        <v>5.16</v>
      </c>
      <c r="P14" s="8">
        <f t="array" ref="P14">AVERAGE(IF(C14:O14&lt;&gt;0,C14:O14,""))</f>
        <v>5.1592307692307688</v>
      </c>
    </row>
    <row r="15" spans="1:17">
      <c r="B15" s="51" t="s">
        <v>180</v>
      </c>
      <c r="C15" s="50">
        <f>'Survey Template'!C131</f>
        <v>6.45</v>
      </c>
      <c r="D15" s="50">
        <f>'Survey Template'!D131</f>
        <v>5.16</v>
      </c>
      <c r="E15" s="50">
        <f>'Survey Template'!E131</f>
        <v>16.7</v>
      </c>
      <c r="F15" s="50">
        <f>'Survey Template'!F131</f>
        <v>17.39</v>
      </c>
      <c r="G15" s="453">
        <f>'Survey Template'!G131</f>
        <v>17.39</v>
      </c>
      <c r="H15" s="453">
        <f>'Survey Template'!H131</f>
        <v>17.39</v>
      </c>
      <c r="I15" s="50">
        <f>'Survey Template'!I131</f>
        <v>5.16</v>
      </c>
      <c r="J15" s="50">
        <f>'Survey Template'!J131</f>
        <v>9.41</v>
      </c>
      <c r="K15" s="50">
        <f>'Survey Template'!K131</f>
        <v>14.4</v>
      </c>
      <c r="L15" s="50">
        <f>'Survey Template'!L131</f>
        <v>17.559999999999999</v>
      </c>
      <c r="M15" s="50">
        <f>'Survey Template'!M131</f>
        <v>5.16</v>
      </c>
      <c r="N15" s="50">
        <f>'Survey Template'!N131</f>
        <v>14.52</v>
      </c>
      <c r="O15" s="50">
        <f>'Survey Template'!O131</f>
        <v>0</v>
      </c>
      <c r="P15" s="8">
        <f t="array" ref="P15">AVERAGE(IF(C15:O15&lt;&gt;0,C15:O15,""))</f>
        <v>12.224166666666669</v>
      </c>
    </row>
    <row r="16" spans="1:17">
      <c r="B16" s="51" t="s">
        <v>181</v>
      </c>
      <c r="C16" s="50">
        <f>'Survey Template'!C132</f>
        <v>6.45</v>
      </c>
      <c r="D16" s="50">
        <f>'Survey Template'!D132</f>
        <v>5.16</v>
      </c>
      <c r="E16" s="50">
        <f>'Survey Template'!E132</f>
        <v>16.7</v>
      </c>
      <c r="F16" s="50">
        <f>'Survey Template'!F132</f>
        <v>17.39</v>
      </c>
      <c r="G16" s="453">
        <f>'Survey Template'!G132</f>
        <v>17.39</v>
      </c>
      <c r="H16" s="453">
        <f>'Survey Template'!H132</f>
        <v>17.39</v>
      </c>
      <c r="I16" s="50">
        <f>'Survey Template'!I132</f>
        <v>5.16</v>
      </c>
      <c r="J16" s="50">
        <f>'Survey Template'!J132</f>
        <v>9.41</v>
      </c>
      <c r="K16" s="50">
        <f>'Survey Template'!K132</f>
        <v>14.4</v>
      </c>
      <c r="L16" s="50">
        <f>'Survey Template'!L132</f>
        <v>17.559999999999999</v>
      </c>
      <c r="M16" s="50">
        <f>'Survey Template'!M132</f>
        <v>5.16</v>
      </c>
      <c r="N16" s="50">
        <f>'Survey Template'!N132</f>
        <v>14.52</v>
      </c>
      <c r="O16" s="50">
        <f>'Survey Template'!O132</f>
        <v>0</v>
      </c>
      <c r="P16" s="8">
        <f t="array" ref="P16">AVERAGE(IF(C16:O16&lt;&gt;0,C16:O16,""))</f>
        <v>12.224166666666669</v>
      </c>
    </row>
    <row r="17" spans="1:22">
      <c r="B17" s="7" t="s">
        <v>189</v>
      </c>
      <c r="C17" s="8">
        <f>'Survey Template'!C133</f>
        <v>5.16</v>
      </c>
      <c r="D17" s="8">
        <f>'Survey Template'!D133</f>
        <v>5.16</v>
      </c>
      <c r="E17" s="8">
        <f>'Survey Template'!E133</f>
        <v>18.98</v>
      </c>
      <c r="F17" s="8">
        <f>'Survey Template'!F133</f>
        <v>0</v>
      </c>
      <c r="G17" s="451">
        <f>'Survey Template'!G133</f>
        <v>0</v>
      </c>
      <c r="H17" s="451">
        <f>'Survey Template'!H133</f>
        <v>0</v>
      </c>
      <c r="I17" s="8">
        <f>'Survey Template'!I133</f>
        <v>0</v>
      </c>
      <c r="J17" s="8">
        <f>'Survey Template'!J133</f>
        <v>0</v>
      </c>
      <c r="K17" s="8">
        <f>'Survey Template'!K133</f>
        <v>0</v>
      </c>
      <c r="L17" s="8">
        <f>'Survey Template'!L133</f>
        <v>25.44</v>
      </c>
      <c r="M17" s="8">
        <f>'Survey Template'!M133</f>
        <v>0</v>
      </c>
      <c r="N17" s="8">
        <f>'Survey Template'!N133</f>
        <v>0</v>
      </c>
      <c r="O17" s="8">
        <f>'Survey Template'!O133</f>
        <v>0</v>
      </c>
      <c r="P17" s="8">
        <f t="array" ref="P17">AVERAGE(IF(C17:O17&lt;&gt;0,C17:O17,""))</f>
        <v>13.685</v>
      </c>
    </row>
    <row r="18" spans="1:22">
      <c r="B18" s="7" t="s">
        <v>190</v>
      </c>
      <c r="C18" s="8">
        <f>'Survey Template'!C135</f>
        <v>0</v>
      </c>
      <c r="D18" s="8">
        <f>'Survey Template'!D135</f>
        <v>0</v>
      </c>
      <c r="E18" s="8">
        <f>'Survey Template'!E135</f>
        <v>0</v>
      </c>
      <c r="F18" s="8">
        <f>'Survey Template'!F135</f>
        <v>0</v>
      </c>
      <c r="G18" s="451">
        <f>'Survey Template'!G135</f>
        <v>0</v>
      </c>
      <c r="H18" s="451"/>
      <c r="I18" s="8">
        <f>'Survey Template'!I135</f>
        <v>0</v>
      </c>
      <c r="J18" s="8">
        <f>'Survey Template'!J135</f>
        <v>0</v>
      </c>
      <c r="K18" s="8">
        <f>'Survey Template'!K135</f>
        <v>0</v>
      </c>
      <c r="L18" s="8">
        <f>'Survey Template'!L135</f>
        <v>0</v>
      </c>
      <c r="M18" s="8">
        <f>'Survey Template'!M135</f>
        <v>5.16</v>
      </c>
      <c r="N18" s="8">
        <f>'Survey Template'!N135</f>
        <v>0</v>
      </c>
      <c r="O18" s="8">
        <f>'Survey Template'!O135</f>
        <v>0</v>
      </c>
      <c r="P18" s="8">
        <f t="array" ref="P18">AVERAGE(IF(C18:O18&lt;&gt;0,C18:O18,""))</f>
        <v>5.16</v>
      </c>
    </row>
    <row r="19" spans="1:22">
      <c r="B19" s="51" t="s">
        <v>193</v>
      </c>
      <c r="C19" s="50">
        <f>'Survey Template'!C134</f>
        <v>0</v>
      </c>
      <c r="D19" s="50">
        <f>'Survey Template'!D134</f>
        <v>0</v>
      </c>
      <c r="E19" s="50">
        <f>'Survey Template'!E134</f>
        <v>0</v>
      </c>
      <c r="F19" s="50">
        <f>'Survey Template'!F134</f>
        <v>0</v>
      </c>
      <c r="G19" s="453">
        <f>'Survey Template'!G134</f>
        <v>0</v>
      </c>
      <c r="H19" s="453">
        <f>'Survey Template'!H134</f>
        <v>0</v>
      </c>
      <c r="I19" s="50">
        <f>'Survey Template'!I134</f>
        <v>0</v>
      </c>
      <c r="J19" s="50">
        <f>'Survey Template'!J134</f>
        <v>0</v>
      </c>
      <c r="K19" s="50">
        <f>'Survey Template'!K134</f>
        <v>24.72</v>
      </c>
      <c r="L19" s="50">
        <f>'Survey Template'!L134</f>
        <v>0</v>
      </c>
      <c r="M19" s="50">
        <f>'Survey Template'!M134</f>
        <v>0</v>
      </c>
      <c r="N19" s="50">
        <f>'Survey Template'!N134</f>
        <v>0</v>
      </c>
      <c r="O19" s="50">
        <f>'Survey Template'!O134</f>
        <v>0</v>
      </c>
      <c r="P19" s="8">
        <f t="array" ref="P19">AVERAGE(IF(C19:O19&lt;&gt;0,C19:O19,""))</f>
        <v>24.72</v>
      </c>
    </row>
    <row r="20" spans="1:22">
      <c r="B20" s="194"/>
      <c r="C20" s="8"/>
      <c r="D20" s="8"/>
      <c r="E20" s="8"/>
      <c r="F20" s="50"/>
      <c r="G20" s="50"/>
      <c r="H20" s="50"/>
      <c r="I20" s="8"/>
      <c r="J20" s="8"/>
      <c r="K20" s="8"/>
      <c r="L20" s="8"/>
      <c r="M20" s="8"/>
      <c r="N20" s="8"/>
      <c r="O20" s="8"/>
      <c r="P20" s="8"/>
    </row>
    <row r="21" spans="1:22">
      <c r="A21" s="6" t="s">
        <v>18</v>
      </c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22">
      <c r="B22" s="7" t="s">
        <v>13</v>
      </c>
      <c r="C22" s="8">
        <f>'Survey Template'!C108</f>
        <v>0</v>
      </c>
      <c r="D22" s="8">
        <f>'Survey Template'!D108</f>
        <v>0</v>
      </c>
      <c r="E22" s="8">
        <f>'Survey Template'!E108</f>
        <v>0</v>
      </c>
      <c r="F22" s="8">
        <f>'Survey Template'!F108</f>
        <v>7</v>
      </c>
      <c r="G22" s="451">
        <f>'Survey Template'!G108</f>
        <v>0</v>
      </c>
      <c r="H22" s="451">
        <f>'Survey Template'!H108</f>
        <v>0</v>
      </c>
      <c r="I22" s="8">
        <f>'Survey Template'!I108</f>
        <v>0</v>
      </c>
      <c r="J22" s="8">
        <f>'Survey Template'!J108</f>
        <v>0</v>
      </c>
      <c r="K22" s="8">
        <f>'Survey Template'!K108</f>
        <v>0</v>
      </c>
      <c r="L22" s="8">
        <f>'Survey Template'!L108</f>
        <v>0</v>
      </c>
      <c r="M22" s="8">
        <f>'Survey Template'!M108</f>
        <v>0</v>
      </c>
      <c r="N22" s="8">
        <f>'Survey Template'!N108</f>
        <v>0</v>
      </c>
      <c r="O22" s="8">
        <f>'Survey Template'!O108</f>
        <v>0</v>
      </c>
      <c r="P22" s="8">
        <f t="array" ref="P22">AVERAGE(IF(C22:O22&lt;&gt;0,C22:O22,""))</f>
        <v>7</v>
      </c>
    </row>
    <row r="23" spans="1:22">
      <c r="B23" s="7" t="s">
        <v>14</v>
      </c>
      <c r="C23" s="8">
        <f>'Survey Template'!C113</f>
        <v>0</v>
      </c>
      <c r="D23" s="8">
        <f>'Survey Template'!D113</f>
        <v>0</v>
      </c>
      <c r="E23" s="8">
        <f>'Survey Template'!E113</f>
        <v>0</v>
      </c>
      <c r="F23" s="8">
        <f>'Survey Template'!F113</f>
        <v>10</v>
      </c>
      <c r="G23" s="451">
        <f>'Survey Template'!G113</f>
        <v>5</v>
      </c>
      <c r="H23" s="451">
        <f>'Survey Template'!H113</f>
        <v>5</v>
      </c>
      <c r="I23" s="8">
        <f>'Survey Template'!I113</f>
        <v>0</v>
      </c>
      <c r="J23" s="8">
        <f>'Survey Template'!J113</f>
        <v>0</v>
      </c>
      <c r="K23" s="8">
        <f>'Survey Template'!K113</f>
        <v>0</v>
      </c>
      <c r="L23" s="8">
        <f>'Survey Template'!L113</f>
        <v>10</v>
      </c>
      <c r="M23" s="8">
        <f>'Survey Template'!M113</f>
        <v>0</v>
      </c>
      <c r="N23" s="8">
        <f>'Survey Template'!N113</f>
        <v>0</v>
      </c>
      <c r="O23" s="8">
        <f>'Survey Template'!O113</f>
        <v>0</v>
      </c>
      <c r="P23" s="8">
        <f t="array" ref="P23">AVERAGE(IF(C23:O23&lt;&gt;0,C23:O23,""))</f>
        <v>7.5</v>
      </c>
    </row>
    <row r="24" spans="1:22">
      <c r="B24" s="7" t="s">
        <v>15</v>
      </c>
      <c r="C24" s="8">
        <f>'Survey Template'!C116</f>
        <v>0</v>
      </c>
      <c r="D24" s="8">
        <f>'Survey Template'!D116</f>
        <v>0</v>
      </c>
      <c r="E24" s="8">
        <f>'Survey Template'!E116</f>
        <v>0</v>
      </c>
      <c r="F24" s="8">
        <f>'Survey Template'!F116</f>
        <v>0</v>
      </c>
      <c r="G24" s="451">
        <f>'Survey Template'!G116</f>
        <v>0</v>
      </c>
      <c r="H24" s="451">
        <f>'Survey Template'!H116</f>
        <v>0</v>
      </c>
      <c r="I24" s="8">
        <f>'Survey Template'!I116</f>
        <v>0</v>
      </c>
      <c r="J24" s="8">
        <f>'Survey Template'!J116</f>
        <v>0</v>
      </c>
      <c r="K24" s="8">
        <f>'Survey Template'!K116</f>
        <v>0</v>
      </c>
      <c r="L24" s="8">
        <f>'Survey Template'!L116</f>
        <v>83.19</v>
      </c>
      <c r="M24" s="8">
        <f>'Survey Template'!M116</f>
        <v>0</v>
      </c>
      <c r="N24" s="8">
        <f>'Survey Template'!N116</f>
        <v>0</v>
      </c>
      <c r="O24" s="8">
        <f>'Survey Template'!O116</f>
        <v>0</v>
      </c>
      <c r="P24" s="8">
        <f t="array" ref="P24">AVERAGE(IF(C24:O24&lt;&gt;0,C24:O24,""))</f>
        <v>83.19</v>
      </c>
    </row>
    <row r="25" spans="1:22">
      <c r="B25" s="51" t="s">
        <v>16</v>
      </c>
      <c r="C25" s="50">
        <f>'Survey Template'!C119</f>
        <v>0</v>
      </c>
      <c r="D25" s="50">
        <f>'Survey Template'!D119</f>
        <v>0</v>
      </c>
      <c r="E25" s="50">
        <f>'Survey Template'!E119</f>
        <v>65</v>
      </c>
      <c r="F25" s="50">
        <f>'Survey Template'!F119</f>
        <v>0</v>
      </c>
      <c r="G25" s="453">
        <f>'Survey Template'!G119</f>
        <v>0</v>
      </c>
      <c r="H25" s="453">
        <f>'Survey Template'!H119</f>
        <v>0</v>
      </c>
      <c r="I25" s="50">
        <f>'Survey Template'!I119</f>
        <v>76.900000000000006</v>
      </c>
      <c r="J25" s="50">
        <f>'Survey Template'!J119</f>
        <v>0</v>
      </c>
      <c r="K25" s="50">
        <f>'Survey Template'!K119</f>
        <v>0</v>
      </c>
      <c r="L25" s="8">
        <f>'Survey Template'!L119</f>
        <v>88.94</v>
      </c>
      <c r="M25" s="50">
        <f>'Survey Template'!M119</f>
        <v>0</v>
      </c>
      <c r="N25" s="50">
        <f>'Survey Template'!N119</f>
        <v>0</v>
      </c>
      <c r="O25" s="50">
        <f>'Survey Template'!O119</f>
        <v>0</v>
      </c>
      <c r="P25" s="8">
        <f t="array" ref="P25">AVERAGE(IF(C25:O25&lt;&gt;0,C25:O25,""))</f>
        <v>76.946666666666673</v>
      </c>
    </row>
    <row r="26" spans="1:22" ht="13.5" thickBot="1">
      <c r="A26" s="6"/>
      <c r="B26" s="7" t="s">
        <v>195</v>
      </c>
      <c r="C26" s="9">
        <f>'Survey Template'!C161</f>
        <v>0</v>
      </c>
      <c r="D26" s="9">
        <f>'Survey Template'!D161</f>
        <v>20</v>
      </c>
      <c r="E26" s="9">
        <f>'Survey Template'!E161</f>
        <v>0</v>
      </c>
      <c r="F26" s="9">
        <f>'Survey Template'!F161</f>
        <v>20</v>
      </c>
      <c r="G26" s="452">
        <f>'Survey Template'!G161</f>
        <v>0</v>
      </c>
      <c r="H26" s="452">
        <f>'Survey Template'!H161</f>
        <v>0</v>
      </c>
      <c r="I26" s="9">
        <f>'Survey Template'!I161</f>
        <v>0</v>
      </c>
      <c r="J26" s="9">
        <f>'Survey Template'!J161</f>
        <v>0</v>
      </c>
      <c r="K26" s="9">
        <f>'Survey Template'!K161</f>
        <v>0</v>
      </c>
      <c r="L26" s="9">
        <f>'Survey Template'!L161</f>
        <v>0</v>
      </c>
      <c r="M26" s="9">
        <f>'Survey Template'!M161</f>
        <v>0</v>
      </c>
      <c r="N26" s="9">
        <f>'Survey Template'!N161</f>
        <v>0</v>
      </c>
      <c r="O26" s="9">
        <f>'Survey Template'!O161</f>
        <v>0</v>
      </c>
      <c r="P26" s="8">
        <f t="array" ref="P26">AVERAGE(IF(C26:O26&lt;&gt;0,C26:O26,""))</f>
        <v>20</v>
      </c>
    </row>
    <row r="27" spans="1:22">
      <c r="B27" s="5" t="s">
        <v>17</v>
      </c>
      <c r="C27" s="8">
        <f>SUM(C22:C26)</f>
        <v>0</v>
      </c>
      <c r="D27" s="8">
        <f>SUM(D22:D26)</f>
        <v>20</v>
      </c>
      <c r="E27" s="8">
        <f>SUM(E22:E26)</f>
        <v>65</v>
      </c>
      <c r="F27" s="8">
        <f>SUM(F22:F26)</f>
        <v>37</v>
      </c>
      <c r="G27" s="451">
        <f t="shared" ref="G27:H27" si="2">SUM(G22:G26)</f>
        <v>5</v>
      </c>
      <c r="H27" s="451">
        <f t="shared" si="2"/>
        <v>5</v>
      </c>
      <c r="I27" s="8">
        <f>SUM(I22:I26)</f>
        <v>76.900000000000006</v>
      </c>
      <c r="J27" s="8">
        <f t="shared" ref="J27:O27" si="3">SUM(J22:J26)</f>
        <v>0</v>
      </c>
      <c r="K27" s="8">
        <f t="shared" si="3"/>
        <v>0</v>
      </c>
      <c r="L27" s="8">
        <f>SUM(L22:L26)</f>
        <v>182.13</v>
      </c>
      <c r="M27" s="8">
        <f t="shared" si="3"/>
        <v>0</v>
      </c>
      <c r="N27" s="8">
        <f t="shared" si="3"/>
        <v>0</v>
      </c>
      <c r="O27" s="8">
        <f t="shared" si="3"/>
        <v>0</v>
      </c>
      <c r="P27" s="8">
        <f t="array" ref="P27">AVERAGE(IF(C27:O27&lt;&gt;0,C27:O27,""))</f>
        <v>55.861428571428569</v>
      </c>
    </row>
    <row r="28" spans="1:22">
      <c r="B28" s="51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8"/>
    </row>
    <row r="29" spans="1:22">
      <c r="A29" s="6" t="s">
        <v>182</v>
      </c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S29" s="6"/>
      <c r="T29" s="5"/>
    </row>
    <row r="30" spans="1:22">
      <c r="B30" s="7" t="s">
        <v>191</v>
      </c>
      <c r="C30" s="50">
        <f>'Survey Template'!C145</f>
        <v>1762.4</v>
      </c>
      <c r="D30" s="50">
        <f>'Survey Template'!D145</f>
        <v>1587.6</v>
      </c>
      <c r="E30" s="50">
        <f>'Survey Template'!E145</f>
        <v>0</v>
      </c>
      <c r="F30" s="50">
        <f>'Survey Template'!F145+'Survey Template'!F137</f>
        <v>2857.5299999999997</v>
      </c>
      <c r="G30" s="453">
        <f>'Survey Template'!G145+'Survey Template'!G137</f>
        <v>0</v>
      </c>
      <c r="H30" s="453">
        <f>'Survey Template'!H145+'Survey Template'!H137</f>
        <v>0</v>
      </c>
      <c r="I30" s="50">
        <f>'Survey Template'!I145</f>
        <v>1746.24</v>
      </c>
      <c r="J30" s="50">
        <f>'Survey Template'!J145</f>
        <v>0</v>
      </c>
      <c r="K30" s="50">
        <f>'Survey Template'!K145</f>
        <v>1951.6</v>
      </c>
      <c r="L30" s="50">
        <f>'Survey Template'!L145</f>
        <v>1448.5</v>
      </c>
      <c r="M30" s="50">
        <f>'Survey Template'!M145</f>
        <v>0</v>
      </c>
      <c r="N30" s="50">
        <f>'Survey Template'!N145</f>
        <v>0</v>
      </c>
      <c r="O30" s="50">
        <f>'Survey Template'!O145</f>
        <v>0</v>
      </c>
      <c r="P30" s="8">
        <f t="array" ref="P30">AVERAGE(IF(C30:O30&lt;&gt;0,C30:O30,""))</f>
        <v>1892.3116666666665</v>
      </c>
      <c r="S30" s="432"/>
      <c r="V30" s="434"/>
    </row>
    <row r="31" spans="1:22">
      <c r="A31" s="6"/>
      <c r="B31" s="7" t="s">
        <v>192</v>
      </c>
      <c r="C31" s="50">
        <f>'Survey Template'!C146</f>
        <v>1762.4</v>
      </c>
      <c r="D31" s="50">
        <f>'Survey Template'!D146</f>
        <v>1587.6</v>
      </c>
      <c r="E31" s="50">
        <f>'Survey Template'!E146</f>
        <v>0</v>
      </c>
      <c r="F31" s="50">
        <f>'Survey Template'!F146+'Survey Template'!F137</f>
        <v>2857.5299999999997</v>
      </c>
      <c r="G31" s="453">
        <f>'Survey Template'!G146+'Survey Template'!G137</f>
        <v>0</v>
      </c>
      <c r="H31" s="453">
        <f>'Survey Template'!H146+'Survey Template'!H137</f>
        <v>0</v>
      </c>
      <c r="I31" s="50">
        <f>'Survey Template'!I146</f>
        <v>1746.24</v>
      </c>
      <c r="J31" s="50">
        <f>'Survey Template'!J146</f>
        <v>0</v>
      </c>
      <c r="K31" s="50">
        <f>'Survey Template'!K146</f>
        <v>1951.6</v>
      </c>
      <c r="L31" s="50">
        <f>'Survey Template'!L146</f>
        <v>1448.5</v>
      </c>
      <c r="M31" s="50">
        <f>'Survey Template'!M146</f>
        <v>0</v>
      </c>
      <c r="N31" s="50">
        <f>'Survey Template'!N146</f>
        <v>0</v>
      </c>
      <c r="O31" s="50">
        <f>'Survey Template'!O146</f>
        <v>0</v>
      </c>
      <c r="P31" s="8">
        <f t="array" ref="P31">AVERAGE(IF(C31:O31&lt;&gt;0,C31:O31,""))</f>
        <v>1892.3116666666665</v>
      </c>
      <c r="S31" s="432"/>
      <c r="V31" s="434"/>
    </row>
    <row r="32" spans="1:22">
      <c r="A32" s="181"/>
      <c r="B32" s="296" t="s">
        <v>235</v>
      </c>
      <c r="C32" s="50">
        <f>'Survey Template'!C137*0</f>
        <v>0</v>
      </c>
      <c r="D32" s="50">
        <f>'Survey Template'!D137</f>
        <v>185.76</v>
      </c>
      <c r="E32" s="50">
        <f>'Survey Template'!E137</f>
        <v>0</v>
      </c>
      <c r="F32" s="50">
        <f>'Survey Template'!F137*0</f>
        <v>0</v>
      </c>
      <c r="G32" s="453">
        <f>'Survey Template'!G137*0</f>
        <v>0</v>
      </c>
      <c r="H32" s="453">
        <f>'Survey Template'!H137*0</f>
        <v>0</v>
      </c>
      <c r="I32" s="50">
        <f>'Survey Template'!I137*0</f>
        <v>0</v>
      </c>
      <c r="J32" s="50">
        <f>'Survey Template'!J137</f>
        <v>0</v>
      </c>
      <c r="K32" s="50">
        <f>'Survey Template'!K137</f>
        <v>0</v>
      </c>
      <c r="L32" s="50">
        <f>'Survey Template'!L137</f>
        <v>1596.91</v>
      </c>
      <c r="M32" s="50">
        <f>'Survey Template'!M137</f>
        <v>0</v>
      </c>
      <c r="N32" s="50">
        <f>'Survey Template'!N137</f>
        <v>0</v>
      </c>
      <c r="O32" s="50">
        <f>'Survey Template'!O137</f>
        <v>0</v>
      </c>
      <c r="P32" s="8">
        <f t="array" ref="P32">AVERAGE(IF(C32:O32&lt;&gt;0,C32:O32,""))</f>
        <v>891.33500000000004</v>
      </c>
      <c r="S32" s="433"/>
      <c r="V32" s="434"/>
    </row>
    <row r="33" spans="1:17">
      <c r="A33" s="181"/>
      <c r="B33" s="296" t="s">
        <v>232</v>
      </c>
      <c r="C33" s="50">
        <f>'Survey Template'!C138*0</f>
        <v>0</v>
      </c>
      <c r="D33" s="50"/>
      <c r="E33" s="50"/>
      <c r="F33" s="50">
        <f>'Survey Template'!F138*0</f>
        <v>0</v>
      </c>
      <c r="G33" s="453">
        <f>'Survey Template'!G138*0</f>
        <v>0</v>
      </c>
      <c r="H33" s="453">
        <f>'Survey Template'!H138*0</f>
        <v>0</v>
      </c>
      <c r="I33" s="50"/>
      <c r="J33" s="50"/>
      <c r="K33" s="50"/>
      <c r="L33" s="50"/>
      <c r="M33" s="50"/>
      <c r="N33" s="50"/>
      <c r="O33" s="50"/>
      <c r="P33" s="8"/>
    </row>
    <row r="34" spans="1:17">
      <c r="A34" s="181"/>
      <c r="B34" s="296" t="s">
        <v>231</v>
      </c>
      <c r="C34" s="50"/>
      <c r="D34" s="50"/>
      <c r="E34" s="50"/>
      <c r="F34" s="50">
        <f>'Survey Template'!F136*0</f>
        <v>0</v>
      </c>
      <c r="G34" s="453">
        <f>'Survey Template'!G136*0</f>
        <v>0</v>
      </c>
      <c r="H34" s="453">
        <f>'Survey Template'!H136*0</f>
        <v>0</v>
      </c>
      <c r="I34" s="50"/>
      <c r="J34" s="50"/>
      <c r="K34" s="50"/>
      <c r="L34" s="50"/>
      <c r="M34" s="50"/>
      <c r="N34" s="50"/>
      <c r="O34" s="50"/>
      <c r="P34" s="8"/>
    </row>
    <row r="35" spans="1:17">
      <c r="A35" s="6" t="s">
        <v>185</v>
      </c>
      <c r="B35" s="5"/>
      <c r="C35" s="8"/>
      <c r="D35" s="8"/>
      <c r="E35" s="8"/>
      <c r="F35" s="8"/>
      <c r="G35" s="451"/>
      <c r="H35" s="451"/>
      <c r="I35" s="8"/>
      <c r="J35" s="8"/>
      <c r="K35" s="8"/>
      <c r="L35" s="8"/>
      <c r="M35" s="8"/>
      <c r="N35" s="8"/>
      <c r="O35" s="8"/>
      <c r="P35" s="8"/>
    </row>
    <row r="36" spans="1:17" ht="13.5">
      <c r="B36" s="5" t="s">
        <v>17</v>
      </c>
      <c r="C36" s="133">
        <f>'Survey Template'!C148</f>
        <v>1601.64</v>
      </c>
      <c r="D36" s="133">
        <f>'Survey Template'!D148</f>
        <v>0</v>
      </c>
      <c r="E36" s="133">
        <f>'Survey Template'!E148</f>
        <v>0</v>
      </c>
      <c r="F36" s="133">
        <f>'Survey Template'!F148+'Survey Template'!F138</f>
        <v>2857.5299999999997</v>
      </c>
      <c r="G36" s="133">
        <f>'Survey Template'!G148+'Survey Template'!G138</f>
        <v>0</v>
      </c>
      <c r="H36" s="133">
        <f>'Survey Template'!H148+'Survey Template'!H138</f>
        <v>0</v>
      </c>
      <c r="I36" s="133">
        <f>'Survey Template'!I148</f>
        <v>0</v>
      </c>
      <c r="J36" s="133">
        <f>'Survey Template'!J148</f>
        <v>0</v>
      </c>
      <c r="K36" s="133">
        <f>'Survey Template'!K148</f>
        <v>0</v>
      </c>
      <c r="L36" s="133">
        <f>'Survey Template'!L148</f>
        <v>0</v>
      </c>
      <c r="M36" s="133">
        <f>'Survey Template'!M148</f>
        <v>0</v>
      </c>
      <c r="N36" s="133">
        <f>'Survey Template'!N148</f>
        <v>0</v>
      </c>
      <c r="O36" s="133">
        <f>'Survey Template'!O148</f>
        <v>0</v>
      </c>
      <c r="P36" s="8">
        <f t="array" ref="P36">AVERAGE(IF(C36:O36&lt;&gt;0,C36:O36,""))</f>
        <v>2229.585</v>
      </c>
    </row>
    <row r="37" spans="1:17">
      <c r="B37" s="5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8"/>
    </row>
    <row r="38" spans="1:17" s="19" customFormat="1">
      <c r="A38" s="23" t="s">
        <v>134</v>
      </c>
      <c r="C38" s="178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0"/>
    </row>
    <row r="39" spans="1:17" s="19" customFormat="1" ht="13.5">
      <c r="B39" s="5" t="s">
        <v>183</v>
      </c>
      <c r="C39" s="133">
        <f>'Survey Template'!C151</f>
        <v>1722.2</v>
      </c>
      <c r="D39" s="50"/>
      <c r="E39" s="50"/>
      <c r="F39" s="133">
        <f>'Survey Template'!F151+'Survey Template'!F136</f>
        <v>2284.89</v>
      </c>
      <c r="G39" s="133">
        <f>'Survey Template'!G151+'Survey Template'!G136</f>
        <v>0</v>
      </c>
      <c r="H39" s="133">
        <f>'Survey Template'!H151+'Survey Template'!H136</f>
        <v>0</v>
      </c>
      <c r="I39" s="43"/>
      <c r="J39" s="43"/>
      <c r="K39" s="43"/>
      <c r="L39" s="43"/>
      <c r="M39" s="43"/>
      <c r="N39" s="43"/>
      <c r="O39" s="43"/>
      <c r="P39" s="8">
        <f t="array" ref="P39">AVERAGE(IF(C39:O39&lt;&gt;0,C39:O39,""))</f>
        <v>2003.5450000000001</v>
      </c>
    </row>
    <row r="40" spans="1:17" s="19" customFormat="1" ht="13.5">
      <c r="B40" s="5" t="s">
        <v>184</v>
      </c>
      <c r="C40" s="133">
        <f>'Survey Template'!C152</f>
        <v>1722.2</v>
      </c>
      <c r="D40" s="50"/>
      <c r="E40" s="50"/>
      <c r="F40" s="133">
        <f>'Survey Template'!F152+'Survey Template'!F136</f>
        <v>2284.89</v>
      </c>
      <c r="G40" s="133">
        <f>'Survey Template'!G152+'Survey Template'!G136</f>
        <v>0</v>
      </c>
      <c r="H40" s="133">
        <f>'Survey Template'!H152+'Survey Template'!H136</f>
        <v>0</v>
      </c>
      <c r="I40" s="43"/>
      <c r="J40" s="43"/>
      <c r="K40" s="43"/>
      <c r="L40" s="43"/>
      <c r="M40" s="43"/>
      <c r="N40" s="43"/>
      <c r="O40" s="43"/>
      <c r="P40" s="8">
        <f t="array" ref="P40">AVERAGE(IF(C40:O40&lt;&gt;0,C40:O40,""))</f>
        <v>2003.5450000000001</v>
      </c>
    </row>
    <row r="41" spans="1:17" s="19" customFormat="1">
      <c r="A41" s="23" t="s">
        <v>186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</row>
    <row r="42" spans="1:17" s="19" customFormat="1" ht="13.5">
      <c r="B42" s="5" t="s">
        <v>17</v>
      </c>
      <c r="C42" s="133">
        <f>'Survey Template'!C156</f>
        <v>998.78</v>
      </c>
      <c r="D42" s="50"/>
      <c r="E42" s="50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8">
        <f t="array" ref="P42">AVERAGE(IF(C42:O42&lt;&gt;0,C42:O42,""))</f>
        <v>998.78</v>
      </c>
    </row>
    <row r="43" spans="1:17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7">
      <c r="A44" s="6" t="s">
        <v>283</v>
      </c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7">
      <c r="A45" s="10"/>
      <c r="B45" s="7" t="s">
        <v>22</v>
      </c>
      <c r="C45" s="8">
        <f>'Survey Template'!C43</f>
        <v>6.76</v>
      </c>
      <c r="D45" s="8">
        <f>'Survey Template'!D43</f>
        <v>4.76</v>
      </c>
      <c r="E45" s="8">
        <f>'Survey Template'!E43</f>
        <v>6.76</v>
      </c>
      <c r="F45" s="8">
        <f>'Survey Template'!F43</f>
        <v>6.76</v>
      </c>
      <c r="G45" s="451">
        <f>'Survey Template'!G43</f>
        <v>6.76</v>
      </c>
      <c r="H45" s="451">
        <f>'Survey Template'!H43</f>
        <v>6.76</v>
      </c>
      <c r="I45" s="8">
        <f>'Survey Template'!I43</f>
        <v>6.76</v>
      </c>
      <c r="J45" s="8">
        <f>'Survey Template'!J43</f>
        <v>6.76</v>
      </c>
      <c r="K45" s="8">
        <f>'Survey Template'!K43</f>
        <v>6.76</v>
      </c>
      <c r="L45" s="8">
        <f>'Survey Template'!L43</f>
        <v>6.76</v>
      </c>
      <c r="M45" s="8">
        <f>'Survey Template'!M43</f>
        <v>6.76</v>
      </c>
      <c r="N45" s="8">
        <f>'Survey Template'!N43</f>
        <v>6.76</v>
      </c>
      <c r="O45" s="8">
        <f>'Survey Template'!O43</f>
        <v>6.14</v>
      </c>
      <c r="P45" s="8">
        <f t="array" ref="P45">AVERAGE(IF(C45:O45&lt;&gt;0,C45:O45,""))</f>
        <v>6.5584615384615388</v>
      </c>
    </row>
    <row r="46" spans="1:17" ht="15.75">
      <c r="A46" s="11" t="s">
        <v>23</v>
      </c>
      <c r="B46" s="11"/>
      <c r="C46" s="12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7">
      <c r="A47" s="6" t="s">
        <v>24</v>
      </c>
    </row>
    <row r="48" spans="1:17">
      <c r="B48" s="7" t="s">
        <v>30</v>
      </c>
      <c r="C48" s="8">
        <f>'Survey Template'!C12</f>
        <v>103.32</v>
      </c>
      <c r="D48" s="8">
        <f>'Survey Template'!D12</f>
        <v>103.32</v>
      </c>
      <c r="E48" s="8">
        <f>'Survey Template'!E12</f>
        <v>103.32</v>
      </c>
      <c r="F48" s="8">
        <f>'Survey Template'!F12</f>
        <v>103.32</v>
      </c>
      <c r="G48" s="451">
        <f>'Survey Template'!G12</f>
        <v>103.32</v>
      </c>
      <c r="H48" s="451">
        <f>'Survey Template'!H12</f>
        <v>103.32</v>
      </c>
      <c r="I48" s="8">
        <f>'Survey Template'!I12</f>
        <v>103.32</v>
      </c>
      <c r="J48" s="8">
        <f>'Survey Template'!J12</f>
        <v>103.32</v>
      </c>
      <c r="K48" s="8">
        <f>'Survey Template'!K12</f>
        <v>103.32</v>
      </c>
      <c r="L48" s="8">
        <f>'Survey Template'!L12</f>
        <v>103.32</v>
      </c>
      <c r="M48" s="8">
        <f>'Survey Template'!M12</f>
        <v>103.32</v>
      </c>
      <c r="N48" s="8">
        <f>'Survey Template'!N12</f>
        <v>103.32</v>
      </c>
      <c r="O48" s="8">
        <f>'Survey Template'!O12</f>
        <v>103.32</v>
      </c>
      <c r="P48" s="8">
        <f t="array" ref="P48">AVERAGE(IF(C48:O48&lt;&gt;0,C48:O48,""))</f>
        <v>103.31999999999995</v>
      </c>
      <c r="Q48" s="159">
        <f>SUMPRODUCT(C48:O48,$C$219:$O$219)/SUM($C$219:$O$219)</f>
        <v>103.32</v>
      </c>
    </row>
    <row r="49" spans="1:17">
      <c r="B49" s="179" t="s">
        <v>145</v>
      </c>
      <c r="C49" s="50">
        <f>'Survey Template'!C13</f>
        <v>44.17</v>
      </c>
      <c r="D49" s="50">
        <f>'Survey Template'!D13</f>
        <v>49.59</v>
      </c>
      <c r="E49" s="50">
        <f>'Survey Template'!E13</f>
        <v>36.380000000000003</v>
      </c>
      <c r="F49" s="50">
        <f>'Survey Template'!F13</f>
        <v>46.88</v>
      </c>
      <c r="G49" s="453">
        <f>'Survey Template'!G13</f>
        <v>35.14</v>
      </c>
      <c r="H49" s="453">
        <f>'Survey Template'!H13</f>
        <v>35.14</v>
      </c>
      <c r="I49" s="50">
        <f>'Survey Template'!I13</f>
        <v>40.130000000000003</v>
      </c>
      <c r="J49" s="50">
        <f>'Survey Template'!J13</f>
        <v>38.880000000000003</v>
      </c>
      <c r="K49" s="50">
        <f>'Survey Template'!K13</f>
        <v>44.2</v>
      </c>
      <c r="L49" s="50">
        <f>'Survey Template'!L13</f>
        <v>52.29</v>
      </c>
      <c r="M49" s="50">
        <f>'Survey Template'!M13</f>
        <v>37.630000000000003</v>
      </c>
      <c r="N49" s="50">
        <f>'Survey Template'!N13</f>
        <v>36.380000000000003</v>
      </c>
      <c r="O49" s="50">
        <f>'Survey Template'!O13</f>
        <v>40.130000000000003</v>
      </c>
      <c r="P49" s="8">
        <f t="array" ref="P49">AVERAGE(IF(C49:O49&lt;&gt;0,C49:O49,""))</f>
        <v>41.303076923076929</v>
      </c>
    </row>
    <row r="50" spans="1:17" ht="13.5" thickBot="1">
      <c r="B50" s="7" t="s">
        <v>25</v>
      </c>
      <c r="C50" s="9">
        <f>'Survey Template'!C28</f>
        <v>5.16</v>
      </c>
      <c r="D50" s="9">
        <f>'Survey Template'!D28</f>
        <v>5.16</v>
      </c>
      <c r="E50" s="9">
        <f>'Survey Template'!E28</f>
        <v>5.16</v>
      </c>
      <c r="F50" s="9">
        <f>'Survey Template'!F28</f>
        <v>5.16</v>
      </c>
      <c r="G50" s="452">
        <f>'Survey Template'!G28</f>
        <v>5.16</v>
      </c>
      <c r="H50" s="452">
        <f>'Survey Template'!H28</f>
        <v>5.16</v>
      </c>
      <c r="I50" s="9">
        <f>'Survey Template'!I28</f>
        <v>5.16</v>
      </c>
      <c r="J50" s="9">
        <f>'Survey Template'!J28</f>
        <v>5.16</v>
      </c>
      <c r="K50" s="9">
        <f>'Survey Template'!K28</f>
        <v>5.16</v>
      </c>
      <c r="L50" s="9">
        <f>'Survey Template'!L28</f>
        <v>5.16</v>
      </c>
      <c r="M50" s="9">
        <f>'Survey Template'!M28</f>
        <v>5.16</v>
      </c>
      <c r="N50" s="9">
        <f>'Survey Template'!N28</f>
        <v>5.15</v>
      </c>
      <c r="O50" s="9">
        <f>'Survey Template'!O28</f>
        <v>5.16</v>
      </c>
      <c r="P50" s="8">
        <f t="array" ref="P50">AVERAGE(IF(C50:O50&lt;&gt;0,C50:O50,""))</f>
        <v>5.1592307692307688</v>
      </c>
      <c r="Q50" s="159">
        <f>SUMPRODUCT(C50:O50,$C$219:$O$219)/SUM($C$219:$O$219)</f>
        <v>5.16</v>
      </c>
    </row>
    <row r="51" spans="1:17">
      <c r="B51" s="5" t="s">
        <v>17</v>
      </c>
      <c r="C51" s="8">
        <f t="shared" ref="C51:O51" si="4">SUM(C48:C50)</f>
        <v>152.65</v>
      </c>
      <c r="D51" s="8">
        <f t="shared" si="4"/>
        <v>158.07</v>
      </c>
      <c r="E51" s="8">
        <f t="shared" si="4"/>
        <v>144.85999999999999</v>
      </c>
      <c r="F51" s="8">
        <f t="shared" si="4"/>
        <v>155.35999999999999</v>
      </c>
      <c r="G51" s="451">
        <f t="shared" ref="G51:H51" si="5">SUM(G48:G50)</f>
        <v>143.61999999999998</v>
      </c>
      <c r="H51" s="451">
        <f t="shared" si="5"/>
        <v>143.61999999999998</v>
      </c>
      <c r="I51" s="8">
        <f t="shared" si="4"/>
        <v>148.60999999999999</v>
      </c>
      <c r="J51" s="8">
        <f t="shared" si="4"/>
        <v>147.35999999999999</v>
      </c>
      <c r="K51" s="8">
        <f t="shared" si="4"/>
        <v>152.67999999999998</v>
      </c>
      <c r="L51" s="8">
        <f t="shared" si="4"/>
        <v>160.76999999999998</v>
      </c>
      <c r="M51" s="8">
        <f t="shared" si="4"/>
        <v>146.10999999999999</v>
      </c>
      <c r="N51" s="8">
        <f t="shared" si="4"/>
        <v>144.85</v>
      </c>
      <c r="O51" s="8">
        <f t="shared" si="4"/>
        <v>148.60999999999999</v>
      </c>
      <c r="P51" s="8">
        <f t="array" ref="P51">AVERAGE(IF(C51:O51&lt;&gt;0,C51:O51,""))</f>
        <v>149.78230769230765</v>
      </c>
      <c r="Q51" s="159">
        <f>SUMPRODUCT(C51:O51,$C$219:$O$219)/SUM($C$219:$O$219)</f>
        <v>146.10999999999999</v>
      </c>
    </row>
    <row r="52" spans="1:17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7">
      <c r="A53" s="6" t="s">
        <v>26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7">
      <c r="B54" s="7" t="s">
        <v>27</v>
      </c>
      <c r="C54" s="8">
        <f>30*(C12+C14+C45+C51)+2*(C27)</f>
        <v>6142.7999999999993</v>
      </c>
      <c r="D54" s="8">
        <f>30*(D12+D14+D45+D51)+2*(D27)</f>
        <v>6402.7</v>
      </c>
      <c r="E54" s="8">
        <f t="shared" ref="E54:O54" si="6">30*(E12+E14+E45+E51)+2*(E27)</f>
        <v>5774.7999999999993</v>
      </c>
      <c r="F54" s="8">
        <f t="shared" si="6"/>
        <v>6334.4</v>
      </c>
      <c r="G54" s="451">
        <f t="shared" ref="G54:H54" si="7">30*(G12+G14+G45+G51)+2*(G27)</f>
        <v>5715.6999999999989</v>
      </c>
      <c r="H54" s="451">
        <f t="shared" si="7"/>
        <v>5529.7</v>
      </c>
      <c r="I54" s="8">
        <f t="shared" si="6"/>
        <v>6140</v>
      </c>
      <c r="J54" s="8">
        <f t="shared" si="6"/>
        <v>6238.5</v>
      </c>
      <c r="K54" s="8">
        <f t="shared" si="6"/>
        <v>6246.9</v>
      </c>
      <c r="L54" s="8">
        <f t="shared" si="6"/>
        <v>6414.0599999999995</v>
      </c>
      <c r="M54" s="8">
        <f t="shared" si="6"/>
        <v>6234.9</v>
      </c>
      <c r="N54" s="8">
        <f t="shared" si="6"/>
        <v>6068.4</v>
      </c>
      <c r="O54" s="8">
        <f t="shared" si="6"/>
        <v>5652.5999999999995</v>
      </c>
      <c r="P54" s="8">
        <f t="array" ref="P54">AVERAGE(IF(C54:O54&lt;&gt;0,C54:O54,""))</f>
        <v>6068.8815384615382</v>
      </c>
      <c r="Q54" s="159">
        <f>SUMPRODUCT(C54:O54,$C$219:$O$219)/SUM($C$219:$O$219)</f>
        <v>6234.9</v>
      </c>
    </row>
    <row r="55" spans="1:17">
      <c r="B55" s="7" t="s">
        <v>28</v>
      </c>
      <c r="C55" s="8">
        <f>TRUNC(+C54/30,2)</f>
        <v>204.76</v>
      </c>
      <c r="D55" s="8">
        <f t="shared" ref="D55:O55" si="8">TRUNC(+D54/30,2)</f>
        <v>213.42</v>
      </c>
      <c r="E55" s="8">
        <f t="shared" si="8"/>
        <v>192.49</v>
      </c>
      <c r="F55" s="8">
        <f t="shared" si="8"/>
        <v>211.14</v>
      </c>
      <c r="G55" s="451">
        <f t="shared" ref="G55:H55" si="9">TRUNC(+G54/30,2)</f>
        <v>190.52</v>
      </c>
      <c r="H55" s="451">
        <f t="shared" si="9"/>
        <v>184.32</v>
      </c>
      <c r="I55" s="8">
        <f t="shared" si="8"/>
        <v>204.66</v>
      </c>
      <c r="J55" s="8">
        <f t="shared" si="8"/>
        <v>207.95</v>
      </c>
      <c r="K55" s="8">
        <f t="shared" si="8"/>
        <v>208.23</v>
      </c>
      <c r="L55" s="8">
        <f t="shared" si="8"/>
        <v>213.8</v>
      </c>
      <c r="M55" s="8">
        <f t="shared" si="8"/>
        <v>207.83</v>
      </c>
      <c r="N55" s="8">
        <f t="shared" si="8"/>
        <v>202.28</v>
      </c>
      <c r="O55" s="8">
        <f t="shared" si="8"/>
        <v>188.42</v>
      </c>
      <c r="P55" s="8">
        <f t="array" ref="P55">AVERAGE(IF(C55:O55&lt;&gt;0,C55:O55,""))</f>
        <v>202.29384615384618</v>
      </c>
      <c r="Q55" s="159">
        <f>SUMPRODUCT(C55:O55,$C$219:$O$219)/SUM($C$219:$O$219)</f>
        <v>207.83</v>
      </c>
    </row>
    <row r="56" spans="1:17" ht="11.1" customHeight="1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59"/>
    </row>
    <row r="57" spans="1:17">
      <c r="A57" s="6" t="s">
        <v>29</v>
      </c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59"/>
    </row>
    <row r="58" spans="1:17">
      <c r="B58" s="7" t="s">
        <v>83</v>
      </c>
      <c r="C58" s="8">
        <f>'Survey Template'!C58</f>
        <v>810.53</v>
      </c>
      <c r="D58" s="8">
        <f>'Survey Template'!D58</f>
        <v>584.79999999999995</v>
      </c>
      <c r="E58" s="8">
        <f>'Survey Template'!E58</f>
        <v>482.39</v>
      </c>
      <c r="F58" s="8">
        <f>'Survey Template'!F58</f>
        <v>418.32</v>
      </c>
      <c r="G58" s="451">
        <f>'Survey Template'!G58</f>
        <v>418.32</v>
      </c>
      <c r="H58" s="451">
        <f>'Survey Template'!H58</f>
        <v>418.32</v>
      </c>
      <c r="I58" s="8">
        <f>'Survey Template'!I58</f>
        <v>597.18000000000006</v>
      </c>
      <c r="J58" s="8">
        <f>'Survey Template'!J58</f>
        <v>512.26</v>
      </c>
      <c r="K58" s="8">
        <f>'Survey Template'!K58</f>
        <v>614.38</v>
      </c>
      <c r="L58" s="8">
        <f>'Survey Template'!L58</f>
        <v>496.94</v>
      </c>
      <c r="M58" s="8">
        <f>'Survey Template'!M58</f>
        <v>562.34</v>
      </c>
      <c r="N58" s="8">
        <f>'Survey Template'!N58</f>
        <v>707.90000000000009</v>
      </c>
      <c r="O58" s="8">
        <f>'Survey Template'!O58</f>
        <v>712.55</v>
      </c>
      <c r="P58" s="8">
        <f t="array" ref="P58">AVERAGE(IF(C58:O58&lt;&gt;0,C58:O58,""))</f>
        <v>564.32538461538468</v>
      </c>
      <c r="Q58" s="159"/>
    </row>
    <row r="59" spans="1:17" ht="13.5">
      <c r="B59" s="180" t="s">
        <v>157</v>
      </c>
      <c r="C59" s="8">
        <f>'Survey Template'!C59</f>
        <v>44.17</v>
      </c>
      <c r="D59" s="8">
        <f>'Survey Template'!D59</f>
        <v>49.59</v>
      </c>
      <c r="E59" s="8">
        <f>'Survey Template'!E59</f>
        <v>36.380000000000003</v>
      </c>
      <c r="F59" s="8">
        <f>'Survey Template'!F59</f>
        <v>46.88</v>
      </c>
      <c r="G59" s="451">
        <f>'Survey Template'!G59</f>
        <v>35.14</v>
      </c>
      <c r="H59" s="451">
        <f>'Survey Template'!H59</f>
        <v>35.14</v>
      </c>
      <c r="I59" s="8">
        <f>'Survey Template'!I59</f>
        <v>40.130000000000003</v>
      </c>
      <c r="J59" s="8">
        <f>'Survey Template'!J59</f>
        <v>38.880000000000003</v>
      </c>
      <c r="K59" s="8">
        <f>'Survey Template'!K59</f>
        <v>44.2</v>
      </c>
      <c r="L59" s="8">
        <f>'Survey Template'!L59</f>
        <v>52.29</v>
      </c>
      <c r="M59" s="8">
        <f>'Survey Template'!M59</f>
        <v>37.630000000000003</v>
      </c>
      <c r="N59" s="8">
        <f>'Survey Template'!N59</f>
        <v>36.380000000000003</v>
      </c>
      <c r="O59" s="8">
        <f>'Survey Template'!O59</f>
        <v>40.130000000000003</v>
      </c>
      <c r="P59" s="8">
        <f t="array" ref="P59">AVERAGE(IF(C59:O59&lt;&gt;0,C59:O59,""))</f>
        <v>41.303076923076929</v>
      </c>
      <c r="Q59" s="159"/>
    </row>
    <row r="60" spans="1:17" ht="13.5" thickBot="1">
      <c r="B60" s="7" t="s">
        <v>25</v>
      </c>
      <c r="C60" s="9">
        <f>'Survey Template'!C75</f>
        <v>40.520000000000003</v>
      </c>
      <c r="D60" s="9">
        <f>'Survey Template'!D75</f>
        <v>29.229999999999997</v>
      </c>
      <c r="E60" s="9">
        <f>'Survey Template'!E75</f>
        <v>24.11</v>
      </c>
      <c r="F60" s="9">
        <f>'Survey Template'!F75</f>
        <v>20.91</v>
      </c>
      <c r="G60" s="452">
        <f>'Survey Template'!G75</f>
        <v>20.91</v>
      </c>
      <c r="H60" s="452">
        <f>'Survey Template'!H75</f>
        <v>20.91</v>
      </c>
      <c r="I60" s="9">
        <f>'Survey Template'!I75</f>
        <v>29.85</v>
      </c>
      <c r="J60" s="9">
        <f>'Survey Template'!J75</f>
        <v>25.61</v>
      </c>
      <c r="K60" s="9">
        <f>'Survey Template'!K75</f>
        <v>30.71</v>
      </c>
      <c r="L60" s="9">
        <f>'Survey Template'!L75</f>
        <v>24.84</v>
      </c>
      <c r="M60" s="9">
        <f>'Survey Template'!M75</f>
        <v>28.11</v>
      </c>
      <c r="N60" s="9">
        <f>'Survey Template'!N75</f>
        <v>35.36</v>
      </c>
      <c r="O60" s="9">
        <f>'Survey Template'!O75</f>
        <v>35.619999999999997</v>
      </c>
      <c r="P60" s="8">
        <f t="array" ref="P60">AVERAGE(IF(C60:O60&lt;&gt;0,C60:O60,""))</f>
        <v>28.206923076923083</v>
      </c>
      <c r="Q60" s="159"/>
    </row>
    <row r="61" spans="1:17">
      <c r="B61" s="7" t="s">
        <v>17</v>
      </c>
      <c r="C61" s="8">
        <f>SUM(C58:C60)</f>
        <v>895.21999999999991</v>
      </c>
      <c r="D61" s="8">
        <f t="shared" ref="D61:N61" si="10">SUM(D58:D60)</f>
        <v>663.62</v>
      </c>
      <c r="E61" s="8">
        <f t="shared" si="10"/>
        <v>542.88</v>
      </c>
      <c r="F61" s="8">
        <f t="shared" si="10"/>
        <v>486.11</v>
      </c>
      <c r="G61" s="451">
        <f t="shared" ref="G61:H61" si="11">SUM(G58:G60)</f>
        <v>474.37</v>
      </c>
      <c r="H61" s="451">
        <f t="shared" si="11"/>
        <v>474.37</v>
      </c>
      <c r="I61" s="8">
        <f t="shared" si="10"/>
        <v>667.16000000000008</v>
      </c>
      <c r="J61" s="8">
        <f t="shared" si="10"/>
        <v>576.75</v>
      </c>
      <c r="K61" s="8">
        <f t="shared" si="10"/>
        <v>689.29000000000008</v>
      </c>
      <c r="L61" s="8">
        <f t="shared" si="10"/>
        <v>574.07000000000005</v>
      </c>
      <c r="M61" s="8">
        <f t="shared" si="10"/>
        <v>628.08000000000004</v>
      </c>
      <c r="N61" s="8">
        <f t="shared" si="10"/>
        <v>779.6400000000001</v>
      </c>
      <c r="O61" s="8">
        <f>SUM(O58:O60)</f>
        <v>788.3</v>
      </c>
      <c r="P61" s="8">
        <f t="array" ref="P61">AVERAGE(IF(C61:O61&lt;&gt;0,C61:O61,""))</f>
        <v>633.83538461538456</v>
      </c>
      <c r="Q61" s="159"/>
    </row>
    <row r="62" spans="1:17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159"/>
    </row>
    <row r="63" spans="1:17">
      <c r="A63" s="6" t="s">
        <v>31</v>
      </c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159"/>
    </row>
    <row r="64" spans="1:17">
      <c r="B64" s="7" t="s">
        <v>27</v>
      </c>
      <c r="C64" s="8">
        <f>30*(C12+C14+C45+C61)+2*(C27)</f>
        <v>28419.899999999998</v>
      </c>
      <c r="D64" s="8">
        <f t="shared" ref="D64:O64" si="12">30*(D12+D14+D45+D61)+2*(D27)</f>
        <v>21569.200000000001</v>
      </c>
      <c r="E64" s="8">
        <f t="shared" si="12"/>
        <v>17715.399999999998</v>
      </c>
      <c r="F64" s="8">
        <f t="shared" si="12"/>
        <v>16256.900000000001</v>
      </c>
      <c r="G64" s="451">
        <f t="shared" ref="G64:H64" si="13">30*(G12+G14+G45+G61)+2*(G27)</f>
        <v>15638.2</v>
      </c>
      <c r="H64" s="451">
        <f t="shared" si="13"/>
        <v>15452.2</v>
      </c>
      <c r="I64" s="8">
        <f t="shared" si="12"/>
        <v>21696.5</v>
      </c>
      <c r="J64" s="8">
        <f t="shared" si="12"/>
        <v>19120.2</v>
      </c>
      <c r="K64" s="8">
        <f t="shared" si="12"/>
        <v>22345.200000000001</v>
      </c>
      <c r="L64" s="8">
        <f t="shared" si="12"/>
        <v>18813.060000000001</v>
      </c>
      <c r="M64" s="8">
        <f t="shared" si="12"/>
        <v>20694.000000000004</v>
      </c>
      <c r="N64" s="8">
        <f t="shared" si="12"/>
        <v>25112.100000000002</v>
      </c>
      <c r="O64" s="8">
        <f t="shared" si="12"/>
        <v>24843.299999999996</v>
      </c>
      <c r="P64" s="8">
        <f t="array" ref="P64">AVERAGE(IF(C64:O64&lt;&gt;0,C64:O64,""))</f>
        <v>20590.473846153847</v>
      </c>
      <c r="Q64" s="159"/>
    </row>
    <row r="65" spans="1:18">
      <c r="B65" s="7" t="s">
        <v>28</v>
      </c>
      <c r="C65" s="8">
        <f>TRUNC(+C64/30,2)</f>
        <v>947.33</v>
      </c>
      <c r="D65" s="8">
        <f t="shared" ref="D65:O65" si="14">TRUNC(+D64/30,2)</f>
        <v>718.97</v>
      </c>
      <c r="E65" s="8">
        <f t="shared" si="14"/>
        <v>590.51</v>
      </c>
      <c r="F65" s="8">
        <f t="shared" si="14"/>
        <v>541.89</v>
      </c>
      <c r="G65" s="451">
        <f t="shared" ref="G65:H65" si="15">TRUNC(+G64/30,2)</f>
        <v>521.27</v>
      </c>
      <c r="H65" s="451">
        <f t="shared" si="15"/>
        <v>515.07000000000005</v>
      </c>
      <c r="I65" s="8">
        <f t="shared" si="14"/>
        <v>723.21</v>
      </c>
      <c r="J65" s="8">
        <f t="shared" si="14"/>
        <v>637.34</v>
      </c>
      <c r="K65" s="8">
        <f t="shared" si="14"/>
        <v>744.84</v>
      </c>
      <c r="L65" s="8">
        <f t="shared" si="14"/>
        <v>627.1</v>
      </c>
      <c r="M65" s="8">
        <f t="shared" si="14"/>
        <v>689.8</v>
      </c>
      <c r="N65" s="8">
        <f t="shared" si="14"/>
        <v>837.07</v>
      </c>
      <c r="O65" s="8">
        <f t="shared" si="14"/>
        <v>828.11</v>
      </c>
      <c r="P65" s="8">
        <f t="array" ref="P65">AVERAGE(IF(C65:O65&lt;&gt;0,C65:O65,""))</f>
        <v>686.34692307692308</v>
      </c>
      <c r="Q65" s="159"/>
    </row>
    <row r="66" spans="1:18" ht="6" customHeight="1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 ht="15.75">
      <c r="A67" s="11" t="s">
        <v>32</v>
      </c>
      <c r="B67" s="15"/>
    </row>
    <row r="68" spans="1:18">
      <c r="A68" s="6" t="s">
        <v>33</v>
      </c>
    </row>
    <row r="69" spans="1:18">
      <c r="B69" s="7" t="s">
        <v>30</v>
      </c>
      <c r="C69" s="8">
        <f>'Survey Template'!C14</f>
        <v>448.73</v>
      </c>
      <c r="D69" s="8">
        <f>'Survey Template'!D14</f>
        <v>403.51</v>
      </c>
      <c r="E69" s="8">
        <f>'Survey Template'!E14</f>
        <v>334.13</v>
      </c>
      <c r="F69" s="8">
        <f>'Survey Template'!F14</f>
        <v>347.91</v>
      </c>
      <c r="G69" s="451">
        <f>'Survey Template'!G14</f>
        <v>347.91</v>
      </c>
      <c r="H69" s="451">
        <f>'Survey Template'!H14</f>
        <v>347.91</v>
      </c>
      <c r="I69" s="8">
        <f>'Survey Template'!I14</f>
        <v>303.70999999999998</v>
      </c>
      <c r="J69" s="8">
        <f>'Survey Template'!J14</f>
        <v>274.51</v>
      </c>
      <c r="K69" s="8">
        <f>'Survey Template'!K14</f>
        <v>288.16000000000003</v>
      </c>
      <c r="L69" s="8">
        <f>'Survey Template'!L14</f>
        <v>351.31</v>
      </c>
      <c r="M69" s="8">
        <f>'Survey Template'!M14</f>
        <v>401.28</v>
      </c>
      <c r="N69" s="8">
        <f>'Survey Template'!N14</f>
        <v>269.08</v>
      </c>
      <c r="O69" s="8"/>
      <c r="P69" s="8">
        <f t="array" ref="P69">AVERAGE(IF(C69:O69&lt;&gt;0,C69:O69,""))</f>
        <v>343.17916666666662</v>
      </c>
      <c r="Q69" s="159">
        <f>SUMPRODUCT(C69:N69,$C$219:$N$219)/SUM($C$219:$N$219)</f>
        <v>401.28</v>
      </c>
    </row>
    <row r="70" spans="1:18" ht="13.5" thickBot="1">
      <c r="B70" s="7" t="s">
        <v>25</v>
      </c>
      <c r="C70" s="9">
        <f>'Survey Template'!C29</f>
        <v>22.43</v>
      </c>
      <c r="D70" s="9">
        <f>'Survey Template'!D29</f>
        <v>20.170000000000002</v>
      </c>
      <c r="E70" s="9">
        <f>'Survey Template'!E29</f>
        <v>16.7</v>
      </c>
      <c r="F70" s="9">
        <f>'Survey Template'!F29</f>
        <v>17.39</v>
      </c>
      <c r="G70" s="452">
        <f>'Survey Template'!G29</f>
        <v>17.39</v>
      </c>
      <c r="H70" s="452">
        <f>'Survey Template'!H29</f>
        <v>17.39</v>
      </c>
      <c r="I70" s="9">
        <f>'Survey Template'!I29</f>
        <v>15.18</v>
      </c>
      <c r="J70" s="9">
        <f>'Survey Template'!J29</f>
        <v>13.72</v>
      </c>
      <c r="K70" s="9">
        <f>'Survey Template'!K29</f>
        <v>14.4</v>
      </c>
      <c r="L70" s="9">
        <f>'Survey Template'!L29</f>
        <v>17.559999999999999</v>
      </c>
      <c r="M70" s="9">
        <f>'Survey Template'!M29</f>
        <v>20.059999999999999</v>
      </c>
      <c r="N70" s="9">
        <f>'Survey Template'!N29</f>
        <v>14.52</v>
      </c>
      <c r="O70" s="9"/>
      <c r="P70" s="8">
        <f t="array" ref="P70">AVERAGE(IF(C70:O70&lt;&gt;0,C70:O70,""))</f>
        <v>17.242500000000003</v>
      </c>
      <c r="Q70" s="159">
        <f>SUMPRODUCT(C70:N70,$C$219:$N$219)/SUM($C$219:$N$219)</f>
        <v>20.059999999999999</v>
      </c>
    </row>
    <row r="71" spans="1:18">
      <c r="B71" s="5" t="s">
        <v>17</v>
      </c>
      <c r="C71" s="8">
        <f>SUM(C69:C70)</f>
        <v>471.16</v>
      </c>
      <c r="D71" s="8">
        <f t="shared" ref="D71:M71" si="16">SUM(D69:D70)</f>
        <v>423.68</v>
      </c>
      <c r="E71" s="8">
        <f t="shared" si="16"/>
        <v>350.83</v>
      </c>
      <c r="F71" s="8">
        <f t="shared" si="16"/>
        <v>365.3</v>
      </c>
      <c r="G71" s="451">
        <f t="shared" ref="G71:H71" si="17">SUM(G69:G70)</f>
        <v>365.3</v>
      </c>
      <c r="H71" s="451">
        <f t="shared" si="17"/>
        <v>365.3</v>
      </c>
      <c r="I71" s="8">
        <f t="shared" si="16"/>
        <v>318.89</v>
      </c>
      <c r="J71" s="8">
        <f t="shared" si="16"/>
        <v>288.23</v>
      </c>
      <c r="K71" s="8">
        <f t="shared" si="16"/>
        <v>302.56</v>
      </c>
      <c r="L71" s="8">
        <f t="shared" si="16"/>
        <v>368.87</v>
      </c>
      <c r="M71" s="8">
        <f t="shared" si="16"/>
        <v>421.34</v>
      </c>
      <c r="N71" s="8">
        <f>SUM(N69:N70)</f>
        <v>283.59999999999997</v>
      </c>
      <c r="O71" s="8"/>
      <c r="P71" s="8">
        <f t="array" ref="P71">AVERAGE(IF(C71:O71&lt;&gt;0,C71:O71,""))</f>
        <v>360.42166666666668</v>
      </c>
      <c r="Q71" s="159">
        <f>SUMPRODUCT(C71:N71,$C$219:$N$219)/SUM($C$219:$N$219)</f>
        <v>421.34</v>
      </c>
    </row>
    <row r="72" spans="1:18" ht="6" customHeight="1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34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B74" s="7" t="s">
        <v>35</v>
      </c>
      <c r="C74" s="8">
        <f>24*(C12+C15+C45+C71)+2*(C27)</f>
        <v>12589.440000000002</v>
      </c>
      <c r="D74" s="8">
        <f t="shared" ref="D74:N74" si="18">24*(D12+D15+D45+D71)+2*(D27)</f>
        <v>11504.8</v>
      </c>
      <c r="E74" s="8">
        <f t="shared" si="18"/>
        <v>9866.0799999999981</v>
      </c>
      <c r="F74" s="8">
        <f t="shared" si="18"/>
        <v>10414.400000000001</v>
      </c>
      <c r="G74" s="451">
        <f t="shared" ref="G74:H74" si="19">24*(G12+G15+G45+G71)+2*(G27)</f>
        <v>10188.400000000001</v>
      </c>
      <c r="H74" s="451">
        <f t="shared" si="19"/>
        <v>10039.6</v>
      </c>
      <c r="I74" s="8">
        <f t="shared" si="18"/>
        <v>9029.48</v>
      </c>
      <c r="J74" s="8">
        <f t="shared" si="18"/>
        <v>8473.68</v>
      </c>
      <c r="K74" s="8">
        <f t="shared" si="18"/>
        <v>8816.4000000000015</v>
      </c>
      <c r="L74" s="8">
        <f t="shared" si="18"/>
        <v>10496.1</v>
      </c>
      <c r="M74" s="8">
        <f t="shared" si="18"/>
        <v>11593.439999999999</v>
      </c>
      <c r="N74" s="8">
        <f t="shared" si="18"/>
        <v>8409.5999999999985</v>
      </c>
      <c r="O74" s="8"/>
      <c r="P74" s="8">
        <f t="array" ref="P74">AVERAGE(IF(C74:O74&lt;&gt;0,C74:O74,""))</f>
        <v>10118.451666666668</v>
      </c>
      <c r="Q74" s="159">
        <f>SUMPRODUCT(C74:N74,$C$219:$N$219)/SUM($C$219:$N$219)</f>
        <v>11593.439999999999</v>
      </c>
    </row>
    <row r="75" spans="1:18">
      <c r="B75" s="7" t="s">
        <v>28</v>
      </c>
      <c r="C75" s="8">
        <f>+C74/24</f>
        <v>524.56000000000006</v>
      </c>
      <c r="D75" s="8">
        <f>+D74/24</f>
        <v>479.36666666666662</v>
      </c>
      <c r="E75" s="8">
        <f t="shared" ref="E75:N75" si="20">+E74/24</f>
        <v>411.08666666666659</v>
      </c>
      <c r="F75" s="8">
        <f t="shared" si="20"/>
        <v>433.93333333333339</v>
      </c>
      <c r="G75" s="451">
        <f t="shared" ref="G75:H75" si="21">+G74/24</f>
        <v>424.51666666666671</v>
      </c>
      <c r="H75" s="451">
        <f t="shared" si="21"/>
        <v>418.31666666666666</v>
      </c>
      <c r="I75" s="8">
        <f t="shared" si="20"/>
        <v>376.2283333333333</v>
      </c>
      <c r="J75" s="8">
        <f t="shared" si="20"/>
        <v>353.07</v>
      </c>
      <c r="K75" s="8">
        <f t="shared" si="20"/>
        <v>367.35000000000008</v>
      </c>
      <c r="L75" s="8">
        <f t="shared" si="20"/>
        <v>437.33750000000003</v>
      </c>
      <c r="M75" s="8">
        <f t="shared" si="20"/>
        <v>483.05999999999995</v>
      </c>
      <c r="N75" s="8">
        <f t="shared" si="20"/>
        <v>350.39999999999992</v>
      </c>
      <c r="O75" s="8"/>
      <c r="P75" s="8">
        <f t="array" ref="P75">AVERAGE(IF(C75:O75&lt;&gt;0,C75:O75,""))</f>
        <v>421.6021527777778</v>
      </c>
      <c r="Q75" s="159">
        <f>SUMPRODUCT(C75:N75,$C$219:$N$219)/SUM($C$219:$N$219)</f>
        <v>483.05999999999995</v>
      </c>
    </row>
    <row r="76" spans="1:18">
      <c r="B76" s="13"/>
    </row>
    <row r="77" spans="1:18">
      <c r="A77" s="6" t="s">
        <v>36</v>
      </c>
    </row>
    <row r="78" spans="1:18">
      <c r="B78" s="7" t="s">
        <v>83</v>
      </c>
      <c r="C78" s="8">
        <f>'Survey Template'!C60</f>
        <v>1138.94</v>
      </c>
      <c r="D78" s="8">
        <f>'Survey Template'!D60</f>
        <v>1004.85</v>
      </c>
      <c r="E78" s="8">
        <f>'Survey Template'!E60</f>
        <v>921.15</v>
      </c>
      <c r="F78" s="8">
        <f>'Survey Template'!F60</f>
        <v>752.22</v>
      </c>
      <c r="G78" s="451">
        <f>'Survey Template'!G60</f>
        <v>752.22</v>
      </c>
      <c r="H78" s="451">
        <f>'Survey Template'!H60</f>
        <v>752.22</v>
      </c>
      <c r="I78" s="8">
        <f>'Survey Template'!I60</f>
        <v>927.51</v>
      </c>
      <c r="J78" s="8">
        <f>'Survey Template'!J60</f>
        <v>902.74</v>
      </c>
      <c r="K78" s="8">
        <f>'Survey Template'!K60</f>
        <v>1073.31</v>
      </c>
      <c r="L78" s="8">
        <f>'Survey Template'!L60</f>
        <v>831.39</v>
      </c>
      <c r="M78" s="8">
        <f>'Survey Template'!M60</f>
        <v>932.61</v>
      </c>
      <c r="N78" s="8">
        <f>'Survey Template'!N60</f>
        <v>1173.73</v>
      </c>
      <c r="O78" s="8"/>
      <c r="P78" s="8">
        <f t="array" ref="P78">AVERAGE(IF(C78:O78&lt;&gt;0,C78:O78,""))</f>
        <v>930.24083333333328</v>
      </c>
      <c r="R78" s="8"/>
    </row>
    <row r="79" spans="1:18" ht="13.5" thickBot="1">
      <c r="B79" s="7" t="s">
        <v>25</v>
      </c>
      <c r="C79" s="9">
        <f>'Survey Template'!C76</f>
        <v>56.94</v>
      </c>
      <c r="D79" s="9">
        <f>'Survey Template'!D76</f>
        <v>50.230000000000004</v>
      </c>
      <c r="E79" s="9">
        <f>'Survey Template'!E76</f>
        <v>46.05</v>
      </c>
      <c r="F79" s="9">
        <f>'Survey Template'!F76</f>
        <v>37.6</v>
      </c>
      <c r="G79" s="452">
        <f>'Survey Template'!G76</f>
        <v>37.6</v>
      </c>
      <c r="H79" s="452">
        <f>'Survey Template'!H76</f>
        <v>37.6</v>
      </c>
      <c r="I79" s="9">
        <f>'Survey Template'!I76</f>
        <v>46.37</v>
      </c>
      <c r="J79" s="9">
        <f>'Survey Template'!J76</f>
        <v>45.13</v>
      </c>
      <c r="K79" s="9">
        <f>'Survey Template'!K76</f>
        <v>53.65</v>
      </c>
      <c r="L79" s="9">
        <f>'Survey Template'!L76</f>
        <v>41.56</v>
      </c>
      <c r="M79" s="9">
        <f>'Survey Template'!M76</f>
        <v>46.63</v>
      </c>
      <c r="N79" s="9">
        <f>'Survey Template'!N76</f>
        <v>58.67</v>
      </c>
      <c r="O79" s="9"/>
      <c r="P79" s="8">
        <f t="array" ref="P79">AVERAGE(IF(C79:O79&lt;&gt;0,C79:O79,""))</f>
        <v>46.502499999999998</v>
      </c>
    </row>
    <row r="80" spans="1:18">
      <c r="B80" s="5" t="s">
        <v>17</v>
      </c>
      <c r="C80" s="8">
        <f>SUM(C78:C79)</f>
        <v>1195.8800000000001</v>
      </c>
      <c r="D80" s="8">
        <f>SUM(D78:D79)</f>
        <v>1055.08</v>
      </c>
      <c r="E80" s="8">
        <f t="shared" ref="E80:N80" si="22">SUM(E78:E79)</f>
        <v>967.19999999999993</v>
      </c>
      <c r="F80" s="8">
        <f t="shared" si="22"/>
        <v>789.82</v>
      </c>
      <c r="G80" s="451">
        <f t="shared" ref="G80:H80" si="23">SUM(G78:G79)</f>
        <v>789.82</v>
      </c>
      <c r="H80" s="451">
        <f t="shared" si="23"/>
        <v>789.82</v>
      </c>
      <c r="I80" s="8">
        <f t="shared" si="22"/>
        <v>973.88</v>
      </c>
      <c r="J80" s="8">
        <f t="shared" si="22"/>
        <v>947.87</v>
      </c>
      <c r="K80" s="8">
        <f t="shared" si="22"/>
        <v>1126.96</v>
      </c>
      <c r="L80" s="8">
        <f t="shared" si="22"/>
        <v>872.95</v>
      </c>
      <c r="M80" s="8">
        <f t="shared" si="22"/>
        <v>979.24</v>
      </c>
      <c r="N80" s="8">
        <f t="shared" si="22"/>
        <v>1232.4000000000001</v>
      </c>
      <c r="O80" s="8"/>
      <c r="P80" s="8">
        <f t="array" ref="P80">AVERAGE(IF(C80:O80&lt;&gt;0,C80:O80,""))</f>
        <v>976.74333333333334</v>
      </c>
    </row>
    <row r="81" spans="1:18">
      <c r="C81" s="8"/>
      <c r="D81" s="8"/>
      <c r="E81" s="8"/>
      <c r="F81" s="8"/>
      <c r="G81" s="451"/>
      <c r="H81" s="451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37</v>
      </c>
      <c r="C82" s="8"/>
      <c r="D82" s="8"/>
      <c r="E82" s="8"/>
      <c r="F82" s="8"/>
      <c r="G82" s="451"/>
      <c r="H82" s="451"/>
      <c r="I82" s="8"/>
      <c r="J82" s="8"/>
      <c r="K82" s="8"/>
      <c r="L82" s="8"/>
      <c r="M82" s="8"/>
      <c r="N82" s="8"/>
      <c r="O82" s="8"/>
      <c r="P82" s="8"/>
    </row>
    <row r="83" spans="1:18">
      <c r="B83" s="7" t="s">
        <v>35</v>
      </c>
      <c r="C83" s="8">
        <f>24*(C12+C16+C45+C80)+2*C27</f>
        <v>29982.720000000005</v>
      </c>
      <c r="D83" s="8">
        <f t="shared" ref="D83:N83" si="24">24*(D12+D16+D45+D80)+2*D27</f>
        <v>26658.399999999998</v>
      </c>
      <c r="E83" s="8">
        <f t="shared" si="24"/>
        <v>24658.959999999999</v>
      </c>
      <c r="F83" s="8">
        <f t="shared" si="24"/>
        <v>20602.880000000005</v>
      </c>
      <c r="G83" s="451">
        <f t="shared" ref="G83:H83" si="25">24*(G12+G16+G45+G80)+2*G27</f>
        <v>20376.88</v>
      </c>
      <c r="H83" s="451">
        <f t="shared" si="25"/>
        <v>20228.080000000002</v>
      </c>
      <c r="I83" s="8">
        <f t="shared" si="24"/>
        <v>24749.239999999998</v>
      </c>
      <c r="J83" s="8">
        <f t="shared" si="24"/>
        <v>24305.040000000001</v>
      </c>
      <c r="K83" s="8">
        <f t="shared" si="24"/>
        <v>28602</v>
      </c>
      <c r="L83" s="8">
        <f t="shared" si="24"/>
        <v>22594.02</v>
      </c>
      <c r="M83" s="8">
        <f t="shared" si="24"/>
        <v>24983.040000000001</v>
      </c>
      <c r="N83" s="8">
        <f t="shared" si="24"/>
        <v>31180.800000000003</v>
      </c>
      <c r="O83" s="8"/>
      <c r="P83" s="8">
        <f t="array" ref="P83">AVERAGE(IF(C83:O83&lt;&gt;0,C83:O83,""))</f>
        <v>24910.171666666665</v>
      </c>
    </row>
    <row r="84" spans="1:18">
      <c r="B84" s="7" t="s">
        <v>28</v>
      </c>
      <c r="C84" s="8">
        <f>+C83/24</f>
        <v>1249.2800000000002</v>
      </c>
      <c r="D84" s="8">
        <f t="shared" ref="D84:N84" si="26">+D83/24</f>
        <v>1110.7666666666667</v>
      </c>
      <c r="E84" s="8">
        <f t="shared" si="26"/>
        <v>1027.4566666666667</v>
      </c>
      <c r="F84" s="8">
        <f t="shared" si="26"/>
        <v>858.45333333333349</v>
      </c>
      <c r="G84" s="451">
        <f t="shared" ref="G84:H84" si="27">+G83/24</f>
        <v>849.03666666666675</v>
      </c>
      <c r="H84" s="451">
        <f t="shared" si="27"/>
        <v>842.8366666666667</v>
      </c>
      <c r="I84" s="8">
        <f t="shared" si="26"/>
        <v>1031.2183333333332</v>
      </c>
      <c r="J84" s="8">
        <f t="shared" si="26"/>
        <v>1012.71</v>
      </c>
      <c r="K84" s="8">
        <f t="shared" si="26"/>
        <v>1191.75</v>
      </c>
      <c r="L84" s="8">
        <f t="shared" si="26"/>
        <v>941.41750000000002</v>
      </c>
      <c r="M84" s="8">
        <f t="shared" si="26"/>
        <v>1040.96</v>
      </c>
      <c r="N84" s="8">
        <f t="shared" si="26"/>
        <v>1299.2</v>
      </c>
      <c r="O84" s="8"/>
      <c r="P84" s="8">
        <f t="array" ref="P84">AVERAGE(IF(C84:O84&lt;&gt;0,C84:O84,""))</f>
        <v>1037.9238194444445</v>
      </c>
    </row>
    <row r="85" spans="1:18" ht="15.75">
      <c r="A85" s="11" t="s">
        <v>38</v>
      </c>
      <c r="B85" s="15"/>
    </row>
    <row r="86" spans="1:18">
      <c r="A86" s="6" t="s">
        <v>39</v>
      </c>
    </row>
    <row r="87" spans="1:18">
      <c r="B87" s="7" t="s">
        <v>30</v>
      </c>
      <c r="C87" s="8">
        <f>'Survey Template'!C15</f>
        <v>630.41</v>
      </c>
      <c r="D87" s="8">
        <f>'Survey Template'!D15</f>
        <v>573.67999999999995</v>
      </c>
      <c r="E87" s="8">
        <f>'Survey Template'!E15</f>
        <v>379.76</v>
      </c>
      <c r="F87" s="8">
        <f>'Survey Template'!F15</f>
        <v>0</v>
      </c>
      <c r="G87" s="8"/>
      <c r="H87" s="8"/>
      <c r="I87" s="8">
        <f>'Survey Template'!I15</f>
        <v>0</v>
      </c>
      <c r="J87" s="8">
        <f>'Survey Template'!J15</f>
        <v>0</v>
      </c>
      <c r="K87" s="8">
        <f>'Survey Template'!K15</f>
        <v>0</v>
      </c>
      <c r="L87" s="8">
        <f>'Survey Template'!L15</f>
        <v>508.97</v>
      </c>
      <c r="M87" s="8">
        <f>'Survey Template'!M15</f>
        <v>0</v>
      </c>
      <c r="N87" s="8">
        <f>'Survey Template'!N15</f>
        <v>0</v>
      </c>
      <c r="O87" s="8">
        <f>'Survey Template'!O15</f>
        <v>0</v>
      </c>
      <c r="P87" s="8">
        <f t="array" ref="P87">AVERAGE(IF(C87:O87&lt;&gt;0,C87:O87,""))</f>
        <v>523.20499999999993</v>
      </c>
      <c r="R87" s="8"/>
    </row>
    <row r="88" spans="1:18" ht="13.5" thickBot="1">
      <c r="B88" s="7" t="s">
        <v>25</v>
      </c>
      <c r="C88" s="9">
        <f>'Survey Template'!C30</f>
        <v>31.52</v>
      </c>
      <c r="D88" s="9">
        <f>'Survey Template'!D30</f>
        <v>28.68</v>
      </c>
      <c r="E88" s="9">
        <f>'Survey Template'!E30</f>
        <v>18.98</v>
      </c>
      <c r="F88" s="9">
        <f>'Survey Template'!F30</f>
        <v>0</v>
      </c>
      <c r="G88" s="9"/>
      <c r="H88" s="9"/>
      <c r="I88" s="9">
        <f>'Survey Template'!I30</f>
        <v>0</v>
      </c>
      <c r="J88" s="9">
        <f>'Survey Template'!J30</f>
        <v>0</v>
      </c>
      <c r="K88" s="9">
        <f>'Survey Template'!K30</f>
        <v>0</v>
      </c>
      <c r="L88" s="9">
        <f>'Survey Template'!L30</f>
        <v>25.44</v>
      </c>
      <c r="M88" s="9">
        <f>'Survey Template'!M30</f>
        <v>0</v>
      </c>
      <c r="N88" s="9">
        <f>'Survey Template'!N30</f>
        <v>0</v>
      </c>
      <c r="O88" s="9">
        <f>'Survey Template'!O30</f>
        <v>0</v>
      </c>
      <c r="P88" s="8">
        <f t="array" ref="P88">AVERAGE(IF(C88:O88&lt;&gt;0,C88:O88,""))</f>
        <v>26.155000000000001</v>
      </c>
    </row>
    <row r="89" spans="1:18">
      <c r="B89" s="5" t="s">
        <v>17</v>
      </c>
      <c r="C89" s="8">
        <f>SUM(C87:C88)</f>
        <v>661.93</v>
      </c>
      <c r="D89" s="8">
        <f>SUM(D87:D88)</f>
        <v>602.3599999999999</v>
      </c>
      <c r="E89" s="8">
        <f>SUM(E87:E88)</f>
        <v>398.74</v>
      </c>
      <c r="F89" s="8"/>
      <c r="G89" s="8"/>
      <c r="H89" s="8"/>
      <c r="I89" s="8"/>
      <c r="J89" s="8"/>
      <c r="K89" s="8"/>
      <c r="L89" s="8">
        <f>SUM(L87:L88)</f>
        <v>534.41000000000008</v>
      </c>
      <c r="M89" s="8"/>
      <c r="N89" s="8"/>
      <c r="O89" s="8"/>
      <c r="P89" s="8">
        <f t="array" ref="P89">AVERAGE(IF(C89:O89&lt;&gt;0,C89:O89,""))</f>
        <v>549.36</v>
      </c>
    </row>
    <row r="90" spans="1:18" ht="4.5" customHeight="1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8">
      <c r="A91" s="6" t="s">
        <v>40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B92" s="7" t="s">
        <v>35</v>
      </c>
      <c r="C92" s="8">
        <f>24*(C12+C17+C45+C89)+2*(C27)</f>
        <v>17136.96</v>
      </c>
      <c r="D92" s="8">
        <f>24*(D12+D17+D45+D89)+2*(D27)</f>
        <v>15793.119999999997</v>
      </c>
      <c r="E92" s="8">
        <f>24*(E12+E17+E45+E89)+2*(E27)</f>
        <v>11070.64</v>
      </c>
      <c r="F92" s="8"/>
      <c r="G92" s="8"/>
      <c r="H92" s="8"/>
      <c r="I92" s="8"/>
      <c r="J92" s="8"/>
      <c r="K92" s="8"/>
      <c r="L92" s="8">
        <f>24*(L12+L17+L45+L89)+2*(L27)</f>
        <v>14658.180000000002</v>
      </c>
      <c r="M92" s="8"/>
      <c r="N92" s="8"/>
      <c r="O92" s="8"/>
      <c r="P92" s="8">
        <f t="array" ref="P92">AVERAGE(IF(C92:O92&lt;&gt;0,C92:O92,""))</f>
        <v>14664.724999999999</v>
      </c>
    </row>
    <row r="93" spans="1:18">
      <c r="B93" s="7" t="s">
        <v>28</v>
      </c>
      <c r="C93" s="8">
        <f>+C92/24</f>
        <v>714.04</v>
      </c>
      <c r="D93" s="8">
        <f>+D92/24</f>
        <v>658.04666666666651</v>
      </c>
      <c r="E93" s="8">
        <f>+E92/24</f>
        <v>461.27666666666664</v>
      </c>
      <c r="F93" s="8"/>
      <c r="G93" s="8"/>
      <c r="H93" s="8"/>
      <c r="I93" s="8"/>
      <c r="J93" s="8"/>
      <c r="K93" s="8"/>
      <c r="L93" s="8">
        <f>+L92/24</f>
        <v>610.75750000000005</v>
      </c>
      <c r="M93" s="8"/>
      <c r="N93" s="8"/>
      <c r="O93" s="8"/>
      <c r="P93" s="8">
        <f t="array" ref="P93">AVERAGE(IF(C93:O93&lt;&gt;0,C93:O93,""))</f>
        <v>611.03020833333335</v>
      </c>
    </row>
    <row r="94" spans="1:18">
      <c r="B94" s="13"/>
      <c r="P94" s="8"/>
    </row>
    <row r="95" spans="1:18">
      <c r="A95" s="6" t="s">
        <v>41</v>
      </c>
    </row>
    <row r="96" spans="1:18">
      <c r="B96" s="7" t="s">
        <v>83</v>
      </c>
      <c r="C96" s="8">
        <f>'Survey Template'!C61</f>
        <v>1245.17</v>
      </c>
      <c r="D96" s="8">
        <f>'Survey Template'!D61</f>
        <v>1208.99</v>
      </c>
      <c r="E96" s="8">
        <f>'Survey Template'!E61</f>
        <v>991.22</v>
      </c>
      <c r="F96" s="8">
        <f>'Survey Template'!F61</f>
        <v>0</v>
      </c>
      <c r="G96" s="8"/>
      <c r="H96" s="8"/>
      <c r="I96" s="8">
        <f>'Survey Template'!I61</f>
        <v>0</v>
      </c>
      <c r="J96" s="8">
        <f>'Survey Template'!J61</f>
        <v>0</v>
      </c>
      <c r="K96" s="8">
        <f>'Survey Template'!K61</f>
        <v>0</v>
      </c>
      <c r="L96" s="8">
        <f>'Survey Template'!L61</f>
        <v>946.58</v>
      </c>
      <c r="M96" s="8">
        <f>'Survey Template'!M61</f>
        <v>0</v>
      </c>
      <c r="N96" s="8">
        <f>'Survey Template'!N61</f>
        <v>0</v>
      </c>
      <c r="O96" s="8">
        <v>0</v>
      </c>
      <c r="P96" s="8">
        <f t="array" ref="P96">AVERAGE(IF(C96:O96&lt;&gt;0,C96:O96,""))</f>
        <v>1097.99</v>
      </c>
    </row>
    <row r="97" spans="1:16" ht="13.5" thickBot="1">
      <c r="B97" s="7" t="s">
        <v>25</v>
      </c>
      <c r="C97" s="9">
        <f>'Survey Template'!C77</f>
        <v>62.25</v>
      </c>
      <c r="D97" s="9">
        <f>'Survey Template'!D77</f>
        <v>60.44</v>
      </c>
      <c r="E97" s="9">
        <f>'Survey Template'!E77</f>
        <v>49.55</v>
      </c>
      <c r="F97" s="9">
        <f>'Survey Template'!F77</f>
        <v>0</v>
      </c>
      <c r="G97" s="9"/>
      <c r="H97" s="9"/>
      <c r="I97" s="9">
        <f>'Survey Template'!I77</f>
        <v>0</v>
      </c>
      <c r="J97" s="9">
        <f>'Survey Template'!J77</f>
        <v>0</v>
      </c>
      <c r="K97" s="9">
        <f>'Survey Template'!K77</f>
        <v>0</v>
      </c>
      <c r="L97" s="9">
        <f>'Survey Template'!L77</f>
        <v>47.32</v>
      </c>
      <c r="M97" s="9">
        <f>'Survey Template'!M77</f>
        <v>0</v>
      </c>
      <c r="N97" s="9">
        <f>'Survey Template'!N77</f>
        <v>0</v>
      </c>
      <c r="O97" s="9">
        <v>0</v>
      </c>
      <c r="P97" s="8">
        <f t="array" ref="P97">AVERAGE(IF(C97:O97&lt;&gt;0,C97:O97,""))</f>
        <v>54.89</v>
      </c>
    </row>
    <row r="98" spans="1:16">
      <c r="B98" s="5" t="s">
        <v>17</v>
      </c>
      <c r="C98" s="8">
        <f>SUM(C96:C97)</f>
        <v>1307.42</v>
      </c>
      <c r="D98" s="8">
        <f>SUM(D96:D97)</f>
        <v>1269.43</v>
      </c>
      <c r="E98" s="8">
        <f>SUM(E96:E97)</f>
        <v>1040.77</v>
      </c>
      <c r="F98" s="8">
        <f t="shared" ref="F98:L98" si="28">SUM(F96:F97)</f>
        <v>0</v>
      </c>
      <c r="G98" s="8"/>
      <c r="H98" s="8"/>
      <c r="I98" s="8">
        <f t="shared" si="28"/>
        <v>0</v>
      </c>
      <c r="J98" s="8">
        <f t="shared" si="28"/>
        <v>0</v>
      </c>
      <c r="K98" s="8">
        <f t="shared" si="28"/>
        <v>0</v>
      </c>
      <c r="L98" s="8">
        <f t="shared" si="28"/>
        <v>993.90000000000009</v>
      </c>
      <c r="M98" s="8"/>
      <c r="N98" s="8"/>
      <c r="O98" s="8"/>
      <c r="P98" s="8">
        <f t="array" ref="P98">AVERAGE(IF(C98:O98&lt;&gt;0,C98:O98,""))</f>
        <v>1152.8800000000001</v>
      </c>
    </row>
    <row r="99" spans="1:16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>
      <c r="A100" s="6" t="s">
        <v>42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6">
      <c r="B101" s="7" t="s">
        <v>35</v>
      </c>
      <c r="C101" s="8">
        <f>24*(C12+C17+C45+C98)+2*C27</f>
        <v>32628.720000000001</v>
      </c>
      <c r="D101" s="8">
        <f>24*(D12+D17+D45+D98)+2*D27</f>
        <v>31802.800000000003</v>
      </c>
      <c r="E101" s="8">
        <f>24*(E12+E17+E45+E98)+2*E27</f>
        <v>26479.359999999997</v>
      </c>
      <c r="F101" s="8"/>
      <c r="G101" s="8"/>
      <c r="H101" s="8"/>
      <c r="I101" s="8"/>
      <c r="J101" s="8"/>
      <c r="K101" s="8"/>
      <c r="L101" s="8">
        <f>24*(L12+L17+L45+L98)+2*L27</f>
        <v>25685.940000000002</v>
      </c>
      <c r="M101" s="8"/>
      <c r="N101" s="8"/>
      <c r="O101" s="8"/>
      <c r="P101" s="8">
        <f t="array" ref="P101">AVERAGE(IF(C101:O101&lt;&gt;0,C101:O101,""))</f>
        <v>29149.205000000002</v>
      </c>
    </row>
    <row r="102" spans="1:16">
      <c r="B102" s="7" t="s">
        <v>28</v>
      </c>
      <c r="C102" s="8">
        <f>+C101/24</f>
        <v>1359.53</v>
      </c>
      <c r="D102" s="8">
        <f t="shared" ref="D102:L102" si="29">+D101/24</f>
        <v>1325.1166666666668</v>
      </c>
      <c r="E102" s="8">
        <f t="shared" si="29"/>
        <v>1103.3066666666666</v>
      </c>
      <c r="F102" s="8">
        <f t="shared" si="29"/>
        <v>0</v>
      </c>
      <c r="G102" s="8"/>
      <c r="H102" s="8"/>
      <c r="I102" s="8"/>
      <c r="J102" s="8"/>
      <c r="K102" s="8">
        <f t="shared" si="29"/>
        <v>0</v>
      </c>
      <c r="L102" s="8">
        <f t="shared" si="29"/>
        <v>1070.2475000000002</v>
      </c>
      <c r="M102" s="8"/>
      <c r="N102" s="8"/>
      <c r="O102" s="8"/>
      <c r="P102" s="8">
        <f t="array" ref="P102">AVERAGE(IF(C102:O102&lt;&gt;0,C102:O102,""))</f>
        <v>1214.5502083333333</v>
      </c>
    </row>
    <row r="103" spans="1:16">
      <c r="B103" s="13"/>
      <c r="I103" s="8"/>
      <c r="P103" s="8"/>
    </row>
    <row r="104" spans="1:16" ht="15.75">
      <c r="A104" s="11" t="s">
        <v>43</v>
      </c>
      <c r="B104" s="15"/>
      <c r="J104" s="8"/>
    </row>
    <row r="105" spans="1:16">
      <c r="A105" s="6" t="s">
        <v>44</v>
      </c>
    </row>
    <row r="106" spans="1:16">
      <c r="B106" s="7" t="s">
        <v>30</v>
      </c>
      <c r="C106" s="8">
        <f>'Survey Template'!C16</f>
        <v>31790</v>
      </c>
      <c r="D106" s="8">
        <f>'Survey Template'!D16</f>
        <v>19943.16</v>
      </c>
      <c r="E106" s="8">
        <f>'Survey Template'!E16</f>
        <v>0</v>
      </c>
      <c r="F106" s="8">
        <f>'Survey Template'!F16</f>
        <v>29174.65</v>
      </c>
      <c r="G106" s="8"/>
      <c r="H106" s="8"/>
      <c r="I106" s="8">
        <f>'Survey Template'!I16</f>
        <v>25725</v>
      </c>
      <c r="J106" s="8">
        <f>'Survey Template'!J16</f>
        <v>0</v>
      </c>
      <c r="K106" s="8">
        <f>'Survey Template'!K16</f>
        <v>22915.599999999999</v>
      </c>
      <c r="L106" s="8">
        <f>'Survey Template'!L16</f>
        <v>31938.37</v>
      </c>
      <c r="M106" s="8">
        <f>'Survey Template'!M16</f>
        <v>0</v>
      </c>
      <c r="N106" s="8">
        <f>'Survey Template'!N16</f>
        <v>0</v>
      </c>
      <c r="O106" s="8">
        <f>'Survey Template'!O16</f>
        <v>0</v>
      </c>
      <c r="P106" s="8">
        <f t="array" ref="P106">AVERAGE(IF(C106:O106&lt;&gt;0,C106:O106,""))</f>
        <v>26914.463333333333</v>
      </c>
    </row>
    <row r="107" spans="1:16" ht="13.5" thickBot="1">
      <c r="B107" s="7" t="s">
        <v>25</v>
      </c>
      <c r="C107" s="9">
        <f>'Survey Template'!C31</f>
        <v>1589.5</v>
      </c>
      <c r="D107" s="9">
        <f>'Survey Template'!D31</f>
        <v>997.15</v>
      </c>
      <c r="E107" s="9">
        <f>'Survey Template'!E31</f>
        <v>0</v>
      </c>
      <c r="F107" s="9">
        <f>'Survey Template'!F31</f>
        <v>1458.73</v>
      </c>
      <c r="G107" s="9"/>
      <c r="H107" s="9"/>
      <c r="I107" s="9">
        <f>'Survey Template'!I31</f>
        <v>607.20000000000005</v>
      </c>
      <c r="J107" s="9">
        <f>'Survey Template'!J31</f>
        <v>0</v>
      </c>
      <c r="K107" s="9">
        <f>'Survey Template'!K31</f>
        <v>1145.5999999999999</v>
      </c>
      <c r="L107" s="9">
        <f>'Survey Template'!L31</f>
        <v>1596.91</v>
      </c>
      <c r="M107" s="9">
        <f>'Survey Template'!M31</f>
        <v>0</v>
      </c>
      <c r="N107" s="9">
        <f>'Survey Template'!N31</f>
        <v>0</v>
      </c>
      <c r="O107" s="9">
        <f>'Survey Template'!O31</f>
        <v>0</v>
      </c>
      <c r="P107" s="8">
        <f t="array" ref="P107">AVERAGE(IF(C107:O107&lt;&gt;0,C107:O107,""))</f>
        <v>1232.5150000000001</v>
      </c>
    </row>
    <row r="108" spans="1:16">
      <c r="B108" s="5" t="s">
        <v>17</v>
      </c>
      <c r="C108" s="8">
        <f>SUM(C106:C107)</f>
        <v>33379.5</v>
      </c>
      <c r="D108" s="8">
        <f>SUM(D106:D107)</f>
        <v>20940.310000000001</v>
      </c>
      <c r="E108" s="8"/>
      <c r="F108" s="8">
        <f>SUM(F106:F107)</f>
        <v>30633.38</v>
      </c>
      <c r="G108" s="8"/>
      <c r="H108" s="8"/>
      <c r="I108" s="8">
        <f>SUM(I106:I107)</f>
        <v>26332.2</v>
      </c>
      <c r="J108" s="8"/>
      <c r="K108" s="8">
        <f>SUM(K106:K107)</f>
        <v>24061.199999999997</v>
      </c>
      <c r="L108" s="8">
        <f>SUM(L106:L107)</f>
        <v>33535.279999999999</v>
      </c>
      <c r="M108" s="8"/>
      <c r="N108" s="8"/>
      <c r="O108" s="8"/>
      <c r="P108" s="8">
        <f t="array" ref="P108">AVERAGE(IF(C108:O108&lt;&gt;0,C108:O108,""))</f>
        <v>28146.978333333333</v>
      </c>
    </row>
    <row r="109" spans="1:16" ht="6" customHeight="1"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6">
      <c r="A110" s="6" t="s">
        <v>45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6">
      <c r="B111" s="7" t="s">
        <v>46</v>
      </c>
      <c r="C111" s="8">
        <f>C108+C32+C30+40*C45+2*C27</f>
        <v>35412.300000000003</v>
      </c>
      <c r="D111" s="8">
        <f>D108+D32+D30+40*D45+2*D27</f>
        <v>22944.07</v>
      </c>
      <c r="E111" s="8"/>
      <c r="F111" s="8">
        <f>F108+F30+F32+40*(F45)+2*F27</f>
        <v>33835.310000000005</v>
      </c>
      <c r="G111" s="8"/>
      <c r="H111" s="8"/>
      <c r="I111" s="8">
        <f>I108+I30+I32+40*(I45)+2*I27</f>
        <v>28502.640000000003</v>
      </c>
      <c r="J111" s="8"/>
      <c r="K111" s="8">
        <f>K108+K32+K30+40*(K45)+2*K27</f>
        <v>26283.199999999997</v>
      </c>
      <c r="L111" s="8">
        <f>L108+L32+L30+50*(L45)*1+2*L27</f>
        <v>37282.950000000004</v>
      </c>
      <c r="M111" s="8"/>
      <c r="N111" s="8"/>
      <c r="O111" s="8"/>
      <c r="P111" s="8">
        <f t="array" ref="P111">AVERAGE(IF(C111:O111&lt;&gt;0,C111:O111,""))</f>
        <v>30710.078333333338</v>
      </c>
    </row>
    <row r="112" spans="1:16"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6">
      <c r="A113" s="6" t="s">
        <v>47</v>
      </c>
    </row>
    <row r="114" spans="1:16">
      <c r="B114" s="7" t="s">
        <v>83</v>
      </c>
      <c r="C114" s="8">
        <f>'Survey Template'!C62</f>
        <v>59637.86</v>
      </c>
      <c r="D114" s="8">
        <f>'Survey Template'!D62</f>
        <v>52849.06</v>
      </c>
      <c r="E114" s="8">
        <f>'Survey Template'!E62</f>
        <v>0</v>
      </c>
      <c r="F114" s="8">
        <f>'Survey Template'!F62</f>
        <v>49355.29</v>
      </c>
      <c r="G114" s="8"/>
      <c r="H114" s="8"/>
      <c r="I114" s="8">
        <f>'Survey Template'!I62</f>
        <v>57225</v>
      </c>
      <c r="J114" s="8">
        <f>'Survey Template'!J62</f>
        <v>0</v>
      </c>
      <c r="K114" s="8">
        <f>'Survey Template'!K62</f>
        <v>49597.2</v>
      </c>
      <c r="L114" s="8">
        <f>'Survey Template'!L62</f>
        <v>61938.37</v>
      </c>
      <c r="M114" s="8">
        <f>'Survey Template'!M62</f>
        <v>0</v>
      </c>
      <c r="N114" s="8">
        <f>'Survey Template'!N62</f>
        <v>0</v>
      </c>
      <c r="O114" s="8">
        <v>0</v>
      </c>
      <c r="P114" s="8">
        <f t="array" ref="P114">AVERAGE(IF(C114:O114&lt;&gt;0,C114:O114,""))</f>
        <v>55100.463333333326</v>
      </c>
    </row>
    <row r="115" spans="1:16" ht="13.5" thickBot="1">
      <c r="B115" s="7" t="s">
        <v>25</v>
      </c>
      <c r="C115" s="9">
        <f>'Survey Template'!C78</f>
        <v>2981.88</v>
      </c>
      <c r="D115" s="9">
        <f>'Survey Template'!D78</f>
        <v>2642.44</v>
      </c>
      <c r="E115" s="9">
        <f>'Survey Template'!E78</f>
        <v>0</v>
      </c>
      <c r="F115" s="9">
        <f>'Survey Template'!F78</f>
        <v>2467.75</v>
      </c>
      <c r="G115" s="9"/>
      <c r="H115" s="9"/>
      <c r="I115" s="9">
        <f>'Survey Template'!I78</f>
        <v>1854.8</v>
      </c>
      <c r="J115" s="9">
        <f>'Survey Template'!J78</f>
        <v>0</v>
      </c>
      <c r="K115" s="9">
        <f>'Survey Template'!K78</f>
        <v>2479.6</v>
      </c>
      <c r="L115" s="9">
        <f>'Survey Template'!L78</f>
        <v>3096.91</v>
      </c>
      <c r="M115" s="9">
        <v>0</v>
      </c>
      <c r="N115" s="9">
        <v>0</v>
      </c>
      <c r="O115" s="9">
        <v>0</v>
      </c>
      <c r="P115" s="8">
        <f t="array" ref="P115">AVERAGE(IF(C115:O115&lt;&gt;0,C115:O115,""))</f>
        <v>2587.23</v>
      </c>
    </row>
    <row r="116" spans="1:16">
      <c r="B116" s="5" t="s">
        <v>17</v>
      </c>
      <c r="C116" s="8">
        <f>SUM(C114:C115)</f>
        <v>62619.74</v>
      </c>
      <c r="D116" s="8">
        <f t="shared" ref="D116:L116" si="30">SUM(D114:D115)</f>
        <v>55491.5</v>
      </c>
      <c r="E116" s="8">
        <f t="shared" si="30"/>
        <v>0</v>
      </c>
      <c r="F116" s="8">
        <f t="shared" si="30"/>
        <v>51823.040000000001</v>
      </c>
      <c r="G116" s="8"/>
      <c r="H116" s="8"/>
      <c r="I116" s="8">
        <f t="shared" si="30"/>
        <v>59079.8</v>
      </c>
      <c r="J116" s="8">
        <f t="shared" si="30"/>
        <v>0</v>
      </c>
      <c r="K116" s="8">
        <f t="shared" si="30"/>
        <v>52076.799999999996</v>
      </c>
      <c r="L116" s="8">
        <f t="shared" si="30"/>
        <v>65035.28</v>
      </c>
      <c r="M116" s="8"/>
      <c r="N116" s="8"/>
      <c r="O116" s="8"/>
      <c r="P116" s="8">
        <f t="array" ref="P116">AVERAGE(IF(C116:O116&lt;&gt;0,C116:O116,""))</f>
        <v>57687.693333333336</v>
      </c>
    </row>
    <row r="117" spans="1:16"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6">
      <c r="A118" s="6" t="s">
        <v>48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6">
      <c r="B119" s="7" t="s">
        <v>46</v>
      </c>
      <c r="C119" s="8">
        <f>C116+C32+C31+40*(C45)+2*C27</f>
        <v>64652.54</v>
      </c>
      <c r="D119" s="8">
        <f>D116+D32+D31+40*(D45)+2*D27</f>
        <v>57495.26</v>
      </c>
      <c r="E119" s="8"/>
      <c r="F119" s="8">
        <f>F116+F32+F31+40*(F45)+2*F27</f>
        <v>55024.97</v>
      </c>
      <c r="G119" s="8"/>
      <c r="H119" s="8"/>
      <c r="I119" s="8">
        <f>I116+I32+I31+32*(I45)+2*I27</f>
        <v>61196.160000000003</v>
      </c>
      <c r="J119" s="8"/>
      <c r="K119" s="8">
        <f>K116+K32+K31+40*(K45)+2*K27</f>
        <v>54298.799999999996</v>
      </c>
      <c r="L119" s="8">
        <f>L116+L32+L31+50*(L45)+2*L27</f>
        <v>68782.95</v>
      </c>
      <c r="M119" s="8"/>
      <c r="N119" s="8"/>
      <c r="O119" s="8"/>
      <c r="P119" s="8">
        <f t="array" ref="P119">AVERAGE(IF(C119:O119&lt;&gt;0,C119:O119,""))</f>
        <v>60241.780000000006</v>
      </c>
    </row>
    <row r="120" spans="1:16">
      <c r="B120" s="13"/>
      <c r="C120" s="48"/>
    </row>
    <row r="121" spans="1:16" ht="15.75">
      <c r="A121" s="11" t="s">
        <v>49</v>
      </c>
      <c r="B121" s="15"/>
      <c r="C121" s="3"/>
    </row>
    <row r="122" spans="1:16">
      <c r="A122" s="6" t="s">
        <v>50</v>
      </c>
    </row>
    <row r="123" spans="1:16">
      <c r="B123" s="7" t="s">
        <v>30</v>
      </c>
      <c r="C123" s="8">
        <f>'Survey Template'!C18</f>
        <v>24826.12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>
        <f t="array" ref="P123">AVERAGE(IF(C123:O123&lt;&gt;0,C123:O123,""))</f>
        <v>24826.12</v>
      </c>
    </row>
    <row r="124" spans="1:16" ht="13.5" thickBot="1">
      <c r="B124" s="7" t="s">
        <v>25</v>
      </c>
      <c r="C124" s="9">
        <f>'Survey Template'!C33</f>
        <v>1241.3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8">
        <f t="array" ref="P124">AVERAGE(IF(C124:O124&lt;&gt;0,C124:O124,""))</f>
        <v>1241.3</v>
      </c>
    </row>
    <row r="125" spans="1:16">
      <c r="B125" s="5" t="s">
        <v>17</v>
      </c>
      <c r="C125" s="8">
        <f>SUM(C123:C124)</f>
        <v>26067.42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>
        <f t="array" ref="P125">AVERAGE(IF(C125:O125&lt;&gt;0,C125:O125,""))</f>
        <v>26067.42</v>
      </c>
    </row>
    <row r="126" spans="1:16" ht="6" customHeight="1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6">
      <c r="A127" s="6" t="s">
        <v>51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6">
      <c r="B128" s="7" t="s">
        <v>46</v>
      </c>
      <c r="C128" s="8">
        <f>C125+C32+C30+40*(C45)+2*C27</f>
        <v>28100.22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>
        <f t="array" ref="P128">AVERAGE(IF(C128:O128&lt;&gt;0,C128:O128,""))</f>
        <v>28100.22</v>
      </c>
    </row>
    <row r="129" spans="1:16" ht="9" customHeight="1">
      <c r="B129" s="7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6">
      <c r="A130" s="6" t="s">
        <v>52</v>
      </c>
    </row>
    <row r="131" spans="1:16">
      <c r="B131" s="7" t="s">
        <v>83</v>
      </c>
      <c r="C131" s="8">
        <f>'Survey Template'!C64</f>
        <v>44802.52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>
        <f t="array" ref="P131">AVERAGE(IF(C131:O131&lt;&gt;0,C131:O131,""))</f>
        <v>44802.52</v>
      </c>
    </row>
    <row r="132" spans="1:16" ht="13.5" thickBot="1">
      <c r="B132" s="7" t="s">
        <v>25</v>
      </c>
      <c r="C132" s="9">
        <f>'Survey Template'!C80</f>
        <v>2240.1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8">
        <f t="array" ref="P132">AVERAGE(IF(C132:O132&lt;&gt;0,C132:O132,""))</f>
        <v>2240.1</v>
      </c>
    </row>
    <row r="133" spans="1:16">
      <c r="B133" s="5" t="s">
        <v>17</v>
      </c>
      <c r="C133" s="8">
        <f>SUM(C131:C132)</f>
        <v>47042.619999999995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>
        <f t="array" ref="P133">AVERAGE(IF(C133:O133&lt;&gt;0,C133:O133,""))</f>
        <v>47042.619999999995</v>
      </c>
    </row>
    <row r="134" spans="1:16"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6">
      <c r="A135" s="6" t="s">
        <v>53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6">
      <c r="B136" s="7" t="s">
        <v>46</v>
      </c>
      <c r="C136" s="8">
        <f>C133+C32+C31+40*(C45)+2*C27</f>
        <v>49075.42</v>
      </c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>
        <f t="array" ref="P136">AVERAGE(IF(C136:O136&lt;&gt;0,C136:O136,""))</f>
        <v>49075.42</v>
      </c>
    </row>
    <row r="137" spans="1:16" ht="3.75" customHeight="1">
      <c r="B137" s="7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6" ht="15.75">
      <c r="A138" s="11" t="s">
        <v>54</v>
      </c>
      <c r="B138" s="15"/>
      <c r="C138" s="3"/>
    </row>
    <row r="139" spans="1:16">
      <c r="A139" s="6" t="s">
        <v>55</v>
      </c>
    </row>
    <row r="140" spans="1:16">
      <c r="B140" s="7" t="s">
        <v>30</v>
      </c>
      <c r="C140" s="8">
        <f>'Survey Template'!C21</f>
        <v>36469.440000000002</v>
      </c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>
        <f t="array" ref="P140">AVERAGE(IF(C140:O140&lt;&gt;0,C140:O140,""))</f>
        <v>36469.440000000002</v>
      </c>
    </row>
    <row r="141" spans="1:16" ht="13.5" thickBot="1">
      <c r="B141" s="7" t="s">
        <v>25</v>
      </c>
      <c r="C141" s="9">
        <f>'Survey Template'!C36</f>
        <v>1823.46</v>
      </c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8">
        <f t="array" ref="P141">AVERAGE(IF(C141:O141&lt;&gt;0,C141:O141,""))</f>
        <v>1823.46</v>
      </c>
    </row>
    <row r="142" spans="1:16">
      <c r="B142" s="5" t="s">
        <v>17</v>
      </c>
      <c r="C142" s="8">
        <f>SUM(C140:C141)</f>
        <v>38292.9</v>
      </c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>
        <f t="array" ref="P142">AVERAGE(IF(C142:O142&lt;&gt;0,C142:O142,""))</f>
        <v>38292.9</v>
      </c>
    </row>
    <row r="143" spans="1:16" ht="6" customHeight="1"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>
      <c r="A144" s="6" t="s">
        <v>56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>
      <c r="B145" s="7" t="s">
        <v>46</v>
      </c>
      <c r="C145" s="8">
        <f>C142+C32+C30+40*(C45)+2*C27</f>
        <v>40325.700000000004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>
        <f t="array" ref="P145">AVERAGE(IF(C145:O145&lt;&gt;0,C145:O145,""))</f>
        <v>40325.700000000004</v>
      </c>
    </row>
    <row r="146" spans="1:16">
      <c r="B146" s="7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1:16">
      <c r="A147" s="6" t="s">
        <v>57</v>
      </c>
    </row>
    <row r="148" spans="1:16">
      <c r="B148" s="7" t="s">
        <v>83</v>
      </c>
      <c r="C148" s="8">
        <f>'Survey Template'!C67</f>
        <v>61689.22</v>
      </c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>
        <f t="array" ref="P148">AVERAGE(IF(C148:O148&lt;&gt;0,C148:O148,""))</f>
        <v>61689.22</v>
      </c>
    </row>
    <row r="149" spans="1:16" ht="13.5" thickBot="1">
      <c r="B149" s="7" t="s">
        <v>25</v>
      </c>
      <c r="C149" s="9">
        <f>'Survey Template'!C83</f>
        <v>3084.44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8">
        <f t="array" ref="P149">AVERAGE(IF(C149:O149&lt;&gt;0,C149:O149,""))</f>
        <v>3084.44</v>
      </c>
    </row>
    <row r="150" spans="1:16">
      <c r="B150" s="5" t="s">
        <v>17</v>
      </c>
      <c r="C150" s="8">
        <f>SUM(C148:C149)</f>
        <v>64773.66</v>
      </c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>
        <f t="array" ref="P150">AVERAGE(IF(C150:O150&lt;&gt;0,C150:O150,""))</f>
        <v>64773.66</v>
      </c>
    </row>
    <row r="151" spans="1:16"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>
      <c r="A152" s="6" t="s">
        <v>58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6">
      <c r="B153" s="7" t="s">
        <v>46</v>
      </c>
      <c r="C153" s="8">
        <f>C150+C32+C31+40*(C45)+2*C27</f>
        <v>66806.459999999992</v>
      </c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>
        <f t="array" ref="P153">AVERAGE(IF(C153:O153&lt;&gt;0,C153:O153,""))</f>
        <v>66806.459999999992</v>
      </c>
    </row>
    <row r="154" spans="1:16" ht="4.5" customHeight="1">
      <c r="B154" s="13"/>
    </row>
    <row r="155" spans="1:16" ht="15.75">
      <c r="A155" s="11" t="s">
        <v>114</v>
      </c>
      <c r="B155" s="15"/>
      <c r="C155" s="3"/>
    </row>
    <row r="156" spans="1:16">
      <c r="A156" s="6" t="s">
        <v>115</v>
      </c>
    </row>
    <row r="157" spans="1:16">
      <c r="B157" s="7" t="s">
        <v>30</v>
      </c>
      <c r="C157" s="8">
        <f>'Survey Template'!C19</f>
        <v>19844.740000000002</v>
      </c>
      <c r="D157" s="8"/>
      <c r="E157" s="8"/>
      <c r="F157" s="8">
        <f>'Survey Template'!F19</f>
        <v>16610</v>
      </c>
      <c r="G157" s="8"/>
      <c r="H157" s="8"/>
      <c r="I157" s="8"/>
      <c r="J157" s="8"/>
      <c r="K157" s="8"/>
      <c r="L157" s="8"/>
      <c r="M157" s="8"/>
      <c r="N157" s="8"/>
      <c r="O157" s="8"/>
      <c r="P157" s="8">
        <f t="array" ref="P157">AVERAGE(IF(C157:O157&lt;&gt;0,C157:O157,""))</f>
        <v>18227.370000000003</v>
      </c>
    </row>
    <row r="158" spans="1:16" ht="13.5" thickBot="1">
      <c r="B158" s="7" t="s">
        <v>25</v>
      </c>
      <c r="C158" s="9">
        <f>'Survey Template'!C34</f>
        <v>992.22</v>
      </c>
      <c r="D158" s="9"/>
      <c r="E158" s="9"/>
      <c r="F158" s="9">
        <f>'Survey Template'!F34</f>
        <v>830.5</v>
      </c>
      <c r="G158" s="9"/>
      <c r="H158" s="9"/>
      <c r="I158" s="9"/>
      <c r="J158" s="9"/>
      <c r="K158" s="9"/>
      <c r="L158" s="9"/>
      <c r="M158" s="9"/>
      <c r="N158" s="9"/>
      <c r="O158" s="9"/>
      <c r="P158" s="8">
        <f t="array" ref="P158">AVERAGE(IF(C158:O158&lt;&gt;0,C158:O158,""))</f>
        <v>911.36</v>
      </c>
    </row>
    <row r="159" spans="1:16">
      <c r="B159" s="5" t="s">
        <v>17</v>
      </c>
      <c r="C159" s="8">
        <f>SUM(C157:C158)</f>
        <v>20836.960000000003</v>
      </c>
      <c r="D159" s="8"/>
      <c r="E159" s="8"/>
      <c r="F159" s="8">
        <f>SUM(F157:F158)</f>
        <v>17440.5</v>
      </c>
      <c r="G159" s="8"/>
      <c r="H159" s="8"/>
      <c r="I159" s="8"/>
      <c r="J159" s="8"/>
      <c r="K159" s="8"/>
      <c r="L159" s="8"/>
      <c r="M159" s="8"/>
      <c r="N159" s="8"/>
      <c r="O159" s="8"/>
      <c r="P159" s="8">
        <f t="array" ref="P159">AVERAGE(IF(C159:O159&lt;&gt;0,C159:O159,""))</f>
        <v>19138.730000000003</v>
      </c>
    </row>
    <row r="160" spans="1:16"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6">
      <c r="A161" s="6" t="s">
        <v>116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6">
      <c r="B162" s="7" t="s">
        <v>46</v>
      </c>
      <c r="C162" s="8">
        <f>C159+C33+C36+36*(C45)+2*C27</f>
        <v>22681.960000000003</v>
      </c>
      <c r="D162" s="8"/>
      <c r="E162" s="8">
        <f>E74</f>
        <v>9866.0799999999981</v>
      </c>
      <c r="F162" s="8">
        <f>F159+F33+F36+40*(F45)+2*F27</f>
        <v>20642.43</v>
      </c>
      <c r="G162" s="8"/>
      <c r="H162" s="8"/>
      <c r="I162" s="8"/>
      <c r="J162" s="8"/>
      <c r="K162" s="8"/>
      <c r="L162" s="8"/>
      <c r="M162" s="8"/>
      <c r="N162" s="8"/>
      <c r="O162" s="8"/>
      <c r="P162" s="8">
        <f t="array" ref="P162">AVERAGE(IF(C162:O162&lt;&gt;0,C162:O162,""))</f>
        <v>17730.156666666666</v>
      </c>
    </row>
    <row r="163" spans="1:16" s="79" customFormat="1" hidden="1">
      <c r="B163" s="146" t="s">
        <v>112</v>
      </c>
      <c r="C163" s="145"/>
      <c r="P163" s="147"/>
    </row>
    <row r="164" spans="1:16">
      <c r="B164" s="13"/>
    </row>
    <row r="165" spans="1:16">
      <c r="A165" s="6" t="s">
        <v>171</v>
      </c>
    </row>
    <row r="166" spans="1:16">
      <c r="B166" s="7" t="s">
        <v>83</v>
      </c>
      <c r="C166" s="8">
        <f>'Survey Template'!C65</f>
        <v>41886.14</v>
      </c>
      <c r="D166" s="8"/>
      <c r="E166" s="8"/>
      <c r="F166" s="8">
        <f>'Survey Template'!F65</f>
        <v>33510</v>
      </c>
      <c r="G166" s="8"/>
      <c r="H166" s="8"/>
      <c r="I166" s="8"/>
      <c r="J166" s="8"/>
      <c r="K166" s="8"/>
      <c r="L166" s="8"/>
      <c r="M166" s="8"/>
      <c r="N166" s="8"/>
      <c r="O166" s="8"/>
      <c r="P166" s="8">
        <f t="array" ref="P166">AVERAGE(IF(C166:O166&lt;&gt;0,C166:O166,""))</f>
        <v>37698.07</v>
      </c>
    </row>
    <row r="167" spans="1:16" ht="13.5" thickBot="1">
      <c r="B167" s="7" t="s">
        <v>25</v>
      </c>
      <c r="C167" s="9">
        <f>'Survey Template'!C81</f>
        <v>2094.2799999999997</v>
      </c>
      <c r="D167" s="9"/>
      <c r="E167" s="9"/>
      <c r="F167" s="9">
        <f>'Survey Template'!F81</f>
        <v>1675.5</v>
      </c>
      <c r="G167" s="9"/>
      <c r="H167" s="9"/>
      <c r="I167" s="9"/>
      <c r="J167" s="9"/>
      <c r="K167" s="9"/>
      <c r="L167" s="9"/>
      <c r="M167" s="9"/>
      <c r="N167" s="9"/>
      <c r="O167" s="9"/>
      <c r="P167" s="8">
        <f t="array" ref="P167">AVERAGE(IF(C167:O167&lt;&gt;0,C167:O167,""))</f>
        <v>1884.8899999999999</v>
      </c>
    </row>
    <row r="168" spans="1:16">
      <c r="B168" s="5" t="s">
        <v>17</v>
      </c>
      <c r="C168" s="8">
        <f>SUM(C166:C167)</f>
        <v>43980.42</v>
      </c>
      <c r="D168" s="8"/>
      <c r="E168" s="8"/>
      <c r="F168" s="8">
        <f>SUM(F166:F167)</f>
        <v>35185.5</v>
      </c>
      <c r="G168" s="8"/>
      <c r="H168" s="8"/>
      <c r="I168" s="8"/>
      <c r="J168" s="8"/>
      <c r="K168" s="8"/>
      <c r="L168" s="8"/>
      <c r="M168" s="8"/>
      <c r="N168" s="8"/>
      <c r="O168" s="8"/>
      <c r="P168" s="8">
        <f t="array" ref="P168">AVERAGE(IF(C168:O168&lt;&gt;0,C168:O168,""))</f>
        <v>39582.959999999999</v>
      </c>
    </row>
    <row r="169" spans="1:16"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6">
      <c r="A170" s="6" t="s">
        <v>170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6">
      <c r="B171" s="7" t="s">
        <v>46</v>
      </c>
      <c r="C171" s="8">
        <f>C168+C32+C36+36*(C45)+2*C27</f>
        <v>45825.42</v>
      </c>
      <c r="D171" s="8"/>
      <c r="E171" s="8">
        <f>E83</f>
        <v>24658.959999999999</v>
      </c>
      <c r="F171" s="8">
        <f>F168+F33+F36+40*(F45)</f>
        <v>38313.43</v>
      </c>
      <c r="G171" s="8"/>
      <c r="H171" s="8"/>
      <c r="I171" s="8"/>
      <c r="J171" s="8"/>
      <c r="K171" s="8"/>
      <c r="L171" s="8"/>
      <c r="M171" s="8"/>
      <c r="N171" s="8"/>
      <c r="O171" s="8"/>
      <c r="P171" s="8">
        <f t="array" ref="P171">AVERAGE(IF(C171:O171&lt;&gt;0,C171:O171,""))</f>
        <v>36265.936666666668</v>
      </c>
    </row>
    <row r="172" spans="1:16" ht="5.0999999999999996" customHeight="1">
      <c r="B172" s="13"/>
    </row>
    <row r="173" spans="1:16" ht="15.75">
      <c r="A173" s="11" t="s">
        <v>117</v>
      </c>
      <c r="B173" s="15"/>
      <c r="C173" s="3"/>
    </row>
    <row r="174" spans="1:16">
      <c r="A174" s="6" t="s">
        <v>262</v>
      </c>
    </row>
    <row r="175" spans="1:16">
      <c r="B175" s="7" t="s">
        <v>30</v>
      </c>
      <c r="C175" s="8">
        <f>'Survey Template'!C20</f>
        <v>19522.3</v>
      </c>
      <c r="D175" s="8"/>
      <c r="E175" s="8"/>
      <c r="F175" s="8">
        <f>'Survey Template'!F20</f>
        <v>17721.86</v>
      </c>
      <c r="G175" s="8"/>
      <c r="H175" s="8"/>
      <c r="I175" s="8"/>
      <c r="J175" s="8"/>
      <c r="K175" s="8">
        <f>'Survey Template'!K20</f>
        <v>19780</v>
      </c>
      <c r="L175" s="8"/>
      <c r="M175" s="8"/>
      <c r="N175" s="8"/>
      <c r="O175" s="8"/>
      <c r="P175" s="8">
        <f t="array" ref="P175">AVERAGE(IF(C175:O175&lt;&gt;0,C175:O175,""))</f>
        <v>19008.053333333333</v>
      </c>
    </row>
    <row r="176" spans="1:16" ht="13.5" thickBot="1">
      <c r="B176" s="7" t="s">
        <v>25</v>
      </c>
      <c r="C176" s="9">
        <f>'Survey Template'!C35</f>
        <v>976.1</v>
      </c>
      <c r="D176" s="9"/>
      <c r="E176" s="9"/>
      <c r="F176" s="9">
        <f>'Survey Template'!F35</f>
        <v>886.09</v>
      </c>
      <c r="G176" s="9"/>
      <c r="H176" s="9"/>
      <c r="I176" s="9"/>
      <c r="J176" s="9"/>
      <c r="K176" s="9">
        <f>'Survey Template'!K35</f>
        <v>988.8</v>
      </c>
      <c r="L176" s="9"/>
      <c r="M176" s="9"/>
      <c r="N176" s="9"/>
      <c r="O176" s="9"/>
      <c r="P176" s="8">
        <f t="array" ref="P176">AVERAGE(IF(C176:O176&lt;&gt;0,C176:O176,""))</f>
        <v>950.32999999999993</v>
      </c>
    </row>
    <row r="177" spans="1:16">
      <c r="B177" s="5" t="s">
        <v>17</v>
      </c>
      <c r="C177" s="8">
        <f>SUM(C175:C176)</f>
        <v>20498.399999999998</v>
      </c>
      <c r="D177" s="8"/>
      <c r="E177" s="8"/>
      <c r="F177" s="8">
        <f>SUM(F175:F176)</f>
        <v>18607.95</v>
      </c>
      <c r="G177" s="8"/>
      <c r="H177" s="8"/>
      <c r="I177" s="8"/>
      <c r="J177" s="8"/>
      <c r="K177" s="8">
        <f>SUM(K175:K176)</f>
        <v>20768.8</v>
      </c>
      <c r="L177" s="8"/>
      <c r="M177" s="8"/>
      <c r="N177" s="8"/>
      <c r="O177" s="8"/>
      <c r="P177" s="8">
        <f t="array" ref="P177">AVERAGE(IF(C177:O177&lt;&gt;0,C177:O177,""))</f>
        <v>19958.383333333331</v>
      </c>
    </row>
    <row r="178" spans="1:16"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6">
      <c r="A179" s="6" t="s">
        <v>118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6">
      <c r="B180" s="7" t="s">
        <v>46</v>
      </c>
      <c r="C180" s="8">
        <f>C177+C39+40*(C19+C45)+2*C27</f>
        <v>22491</v>
      </c>
      <c r="D180" s="8"/>
      <c r="E180" s="8"/>
      <c r="F180" s="8">
        <f>F177+F39+F34+40*(F45)</f>
        <v>21163.24</v>
      </c>
      <c r="G180" s="8"/>
      <c r="H180" s="8"/>
      <c r="I180" s="8"/>
      <c r="J180" s="8"/>
      <c r="K180" s="8">
        <f>K177+K32+K39+40*(K19+K45)</f>
        <v>22028</v>
      </c>
      <c r="L180" s="8"/>
      <c r="M180" s="8"/>
      <c r="N180" s="8"/>
      <c r="O180" s="8"/>
      <c r="P180" s="8">
        <f t="array" ref="P180">AVERAGE(IF(C180:O180&lt;&gt;0,C180:O180,""))</f>
        <v>21894.080000000002</v>
      </c>
    </row>
    <row r="181" spans="1:16">
      <c r="B181" s="7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6">
      <c r="A182" s="6" t="s">
        <v>176</v>
      </c>
    </row>
    <row r="183" spans="1:16">
      <c r="B183" s="7" t="s">
        <v>83</v>
      </c>
      <c r="C183" s="8">
        <f>'Survey Template'!C66</f>
        <v>28322.3</v>
      </c>
      <c r="D183" s="8">
        <f>'Survey Template'!D66</f>
        <v>0</v>
      </c>
      <c r="E183" s="8">
        <f>'Survey Template'!E66</f>
        <v>0</v>
      </c>
      <c r="F183" s="8">
        <f>'Survey Template'!F66</f>
        <v>24525.03</v>
      </c>
      <c r="G183" s="8"/>
      <c r="H183" s="8"/>
      <c r="I183" s="8">
        <f>'Survey Template'!I66</f>
        <v>0</v>
      </c>
      <c r="J183" s="8">
        <f>'Survey Template'!J66</f>
        <v>0</v>
      </c>
      <c r="K183" s="8">
        <f>'Survey Template'!K66</f>
        <v>51186</v>
      </c>
      <c r="L183" s="8">
        <f>'Survey Template'!L66</f>
        <v>0</v>
      </c>
      <c r="M183" s="8">
        <f>'Survey Template'!M66</f>
        <v>0</v>
      </c>
      <c r="N183" s="8">
        <f>'Survey Template'!N66</f>
        <v>0</v>
      </c>
      <c r="O183" s="8"/>
      <c r="P183" s="8">
        <f t="array" ref="P183">AVERAGE(IF(C183:O183&lt;&gt;0,C183:O183,""))</f>
        <v>34677.776666666665</v>
      </c>
    </row>
    <row r="184" spans="1:16" ht="13.5" thickBot="1">
      <c r="B184" s="7" t="s">
        <v>25</v>
      </c>
      <c r="C184" s="9">
        <f>'Survey Template'!C82</f>
        <v>1416.1</v>
      </c>
      <c r="D184" s="9">
        <f>'Survey Template'!D82</f>
        <v>0</v>
      </c>
      <c r="E184" s="9">
        <f>'Survey Template'!E82</f>
        <v>0</v>
      </c>
      <c r="F184" s="9">
        <f>'Survey Template'!F82</f>
        <v>1226.24</v>
      </c>
      <c r="G184" s="9"/>
      <c r="H184" s="9"/>
      <c r="I184" s="9">
        <f>'Survey Template'!I82</f>
        <v>0</v>
      </c>
      <c r="J184" s="9">
        <f>'Survey Template'!J82</f>
        <v>0</v>
      </c>
      <c r="K184" s="9">
        <f>'Survey Template'!K82</f>
        <v>2558.8000000000002</v>
      </c>
      <c r="L184" s="9">
        <f>'Survey Template'!L82</f>
        <v>0</v>
      </c>
      <c r="M184" s="9">
        <f>'Survey Template'!M82</f>
        <v>0</v>
      </c>
      <c r="N184" s="9">
        <f>'Survey Template'!N82</f>
        <v>0</v>
      </c>
      <c r="O184" s="9"/>
      <c r="P184" s="8">
        <f t="array" ref="P184">AVERAGE(IF(C184:O184&lt;&gt;0,C184:O184,""))</f>
        <v>1733.7133333333334</v>
      </c>
    </row>
    <row r="185" spans="1:16">
      <c r="B185" s="5" t="s">
        <v>17</v>
      </c>
      <c r="C185" s="8">
        <f>SUM(C183:C184)</f>
        <v>29738.399999999998</v>
      </c>
      <c r="D185" s="8"/>
      <c r="E185" s="8"/>
      <c r="F185" s="8">
        <f>SUM(F183:F184)</f>
        <v>25751.27</v>
      </c>
      <c r="G185" s="8"/>
      <c r="H185" s="8"/>
      <c r="I185" s="8"/>
      <c r="J185" s="8"/>
      <c r="K185" s="8">
        <f>SUM(K183:K184)</f>
        <v>53744.800000000003</v>
      </c>
      <c r="L185" s="8"/>
      <c r="M185" s="8"/>
      <c r="N185" s="8"/>
      <c r="O185" s="8"/>
      <c r="P185" s="8">
        <f t="array" ref="P185">AVERAGE(IF(C185:O185&lt;&gt;0,C185:O185,""))</f>
        <v>36411.49</v>
      </c>
    </row>
    <row r="186" spans="1:16"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6">
      <c r="A187" s="6" t="s">
        <v>172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6">
      <c r="B188" s="7" t="s">
        <v>46</v>
      </c>
      <c r="C188" s="8">
        <f>C185+C34+C40+40*(C19+C45)</f>
        <v>31731</v>
      </c>
      <c r="D188" s="8"/>
      <c r="E188" s="8"/>
      <c r="F188" s="8">
        <f>F185+F34+F40+40*(F45)+2*F27</f>
        <v>28380.560000000001</v>
      </c>
      <c r="G188" s="8"/>
      <c r="H188" s="8"/>
      <c r="I188" s="8"/>
      <c r="J188" s="8"/>
      <c r="K188" s="8">
        <f>K185+40*(K19+K45)+2*K27</f>
        <v>55004</v>
      </c>
      <c r="L188" s="8"/>
      <c r="M188" s="8"/>
      <c r="N188" s="8"/>
      <c r="O188" s="8"/>
      <c r="P188" s="8">
        <f t="array" ref="P188">AVERAGE(IF(C188:O188&lt;&gt;0,C188:O188,""))</f>
        <v>38371.853333333333</v>
      </c>
    </row>
    <row r="189" spans="1:16">
      <c r="B189" s="7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6" ht="15.75">
      <c r="A190" s="11" t="s">
        <v>123</v>
      </c>
      <c r="B190" s="15"/>
      <c r="C190" s="3"/>
    </row>
    <row r="191" spans="1:16">
      <c r="A191" s="6" t="s">
        <v>263</v>
      </c>
    </row>
    <row r="192" spans="1:16">
      <c r="B192" s="7" t="s">
        <v>30</v>
      </c>
      <c r="C192" s="8">
        <f>'Survey Template'!C22</f>
        <v>13201.82</v>
      </c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>
        <f t="array" ref="P192">AVERAGE(IF(C192:O192&lt;&gt;0,C192:O192,""))</f>
        <v>13201.82</v>
      </c>
    </row>
    <row r="193" spans="1:16" ht="13.5" thickBot="1">
      <c r="B193" s="7" t="s">
        <v>25</v>
      </c>
      <c r="C193" s="9">
        <f>'Survey Template'!C37</f>
        <v>660.08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8">
        <f t="array" ref="P193">AVERAGE(IF(C193:O193&lt;&gt;0,C193:O193,""))</f>
        <v>660.08</v>
      </c>
    </row>
    <row r="194" spans="1:16">
      <c r="B194" s="5" t="s">
        <v>17</v>
      </c>
      <c r="C194" s="8">
        <f>SUM(C192:C193)</f>
        <v>13861.9</v>
      </c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>
        <f t="array" ref="P194">AVERAGE(IF(C194:O194&lt;&gt;0,C194:O194,""))</f>
        <v>13861.9</v>
      </c>
    </row>
    <row r="195" spans="1:16" ht="6" customHeight="1"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6">
      <c r="A196" s="6" t="s">
        <v>131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>
      <c r="B197" s="7" t="s">
        <v>46</v>
      </c>
      <c r="C197" s="8">
        <f>C194+C32+C42+42*(C45)</f>
        <v>15144.6</v>
      </c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>
        <f t="array" ref="P197">AVERAGE(IF(C197:O197&lt;&gt;0,C197:O197,""))</f>
        <v>15144.6</v>
      </c>
    </row>
    <row r="198" spans="1:16">
      <c r="B198" s="7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6">
      <c r="A199" s="6" t="s">
        <v>264</v>
      </c>
    </row>
    <row r="200" spans="1:16">
      <c r="B200" s="7" t="s">
        <v>83</v>
      </c>
      <c r="C200" s="8">
        <f>'Survey Template'!C68</f>
        <v>29767.06</v>
      </c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>
        <f t="array" ref="P200">AVERAGE(IF(C200:O200&lt;&gt;0,C200:O200,""))</f>
        <v>29767.06</v>
      </c>
    </row>
    <row r="201" spans="1:16" ht="13.5" thickBot="1">
      <c r="B201" s="7" t="s">
        <v>25</v>
      </c>
      <c r="C201" s="9">
        <f>'Survey Template'!C84</f>
        <v>1488.3400000000001</v>
      </c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8">
        <f t="array" ref="P201">AVERAGE(IF(C201:O201&lt;&gt;0,C201:O201,""))</f>
        <v>1488.3400000000001</v>
      </c>
    </row>
    <row r="202" spans="1:16">
      <c r="B202" s="5" t="s">
        <v>17</v>
      </c>
      <c r="C202" s="8">
        <f>SUM(C200:C201)</f>
        <v>31255.4</v>
      </c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>
        <f t="array" ref="P202">AVERAGE(IF(C202:O202&lt;&gt;0,C202:O202,""))</f>
        <v>31255.4</v>
      </c>
    </row>
    <row r="203" spans="1:16"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>
      <c r="A204" s="6" t="s">
        <v>175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1:16">
      <c r="B205" s="7" t="s">
        <v>46</v>
      </c>
      <c r="C205" s="8">
        <f>C202+C42+C32+42*(C45)</f>
        <v>32538.1</v>
      </c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>
        <f t="array" ref="P205">AVERAGE(IF(C205:O205&lt;&gt;0,C205:O205,""))</f>
        <v>32538.1</v>
      </c>
    </row>
    <row r="206" spans="1:16" ht="7.5" customHeight="1"/>
    <row r="207" spans="1:16" ht="15.75">
      <c r="A207" s="11" t="s">
        <v>121</v>
      </c>
      <c r="B207" s="15"/>
      <c r="C207" s="3"/>
    </row>
    <row r="208" spans="1:16">
      <c r="A208" s="6" t="s">
        <v>265</v>
      </c>
    </row>
    <row r="209" spans="1:16">
      <c r="B209" s="7" t="s">
        <v>30</v>
      </c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>
        <f>'Survey Template'!M17</f>
        <v>13713.28</v>
      </c>
      <c r="N209" s="8"/>
      <c r="O209" s="8"/>
      <c r="P209" s="8">
        <f t="array" ref="P209">AVERAGE(IF(C209:O209&lt;&gt;0,C209:O209,""))</f>
        <v>13713.28</v>
      </c>
    </row>
    <row r="210" spans="1:16" ht="13.5" thickBot="1">
      <c r="B210" s="7" t="s">
        <v>25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>
        <f>'Survey Template'!M32</f>
        <v>685.44</v>
      </c>
      <c r="N210" s="9"/>
      <c r="O210" s="9"/>
      <c r="P210" s="8">
        <f t="array" ref="P210">AVERAGE(IF(C210:O210&lt;&gt;0,C210:O210,""))</f>
        <v>685.44</v>
      </c>
    </row>
    <row r="211" spans="1:16">
      <c r="B211" s="5" t="s">
        <v>17</v>
      </c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>
        <f>SUM(M209:M210)</f>
        <v>14398.720000000001</v>
      </c>
      <c r="N211" s="8"/>
      <c r="O211" s="8"/>
      <c r="P211" s="8">
        <f t="array" ref="P211">AVERAGE(IF(C211:O211&lt;&gt;0,C211:O211,""))</f>
        <v>14398.720000000001</v>
      </c>
    </row>
    <row r="212" spans="1:16" ht="4.5" customHeight="1"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6">
      <c r="A213" s="6" t="s">
        <v>128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6">
      <c r="B214" s="7" t="s">
        <v>46</v>
      </c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>
        <f>+M211+32*(M12+M18+M45)+2*M27</f>
        <v>16373.76</v>
      </c>
      <c r="N214" s="8"/>
      <c r="O214" s="8"/>
      <c r="P214" s="8">
        <f t="array" ref="P214">AVERAGE(IF(C214:O214&lt;&gt;0,C214:O214,""))</f>
        <v>16373.76</v>
      </c>
    </row>
    <row r="215" spans="1:16" ht="6.75" customHeight="1">
      <c r="B215" s="13"/>
    </row>
    <row r="216" spans="1:16">
      <c r="A216" s="6" t="s">
        <v>173</v>
      </c>
    </row>
    <row r="217" spans="1:16">
      <c r="B217" s="7" t="s">
        <v>83</v>
      </c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>
        <f>'Survey Template'!M63</f>
        <v>32535.68</v>
      </c>
      <c r="N217" s="8"/>
      <c r="O217" s="8"/>
      <c r="P217" s="8">
        <f t="array" ref="P217">AVERAGE(IF(C217:O217&lt;&gt;0,C217:O217,""))</f>
        <v>32535.68</v>
      </c>
    </row>
    <row r="218" spans="1:16" ht="13.5" thickBot="1">
      <c r="B218" s="7" t="s">
        <v>25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>
        <f>'Survey Template'!M79</f>
        <v>1626.56</v>
      </c>
      <c r="N218" s="9"/>
      <c r="O218" s="9"/>
      <c r="P218" s="8">
        <f t="array" ref="P218">AVERAGE(IF(C218:O218&lt;&gt;0,C218:O218,""))</f>
        <v>1626.56</v>
      </c>
    </row>
    <row r="219" spans="1:16">
      <c r="B219" s="5" t="s">
        <v>17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>
        <f>SUM(M217:M218)</f>
        <v>34162.239999999998</v>
      </c>
      <c r="N219" s="8"/>
      <c r="O219" s="8"/>
      <c r="P219" s="8">
        <f t="array" ref="P219">AVERAGE(IF(C219:O219&lt;&gt;0,C219:O219,""))</f>
        <v>34162.239999999998</v>
      </c>
    </row>
    <row r="220" spans="1:16">
      <c r="A220" s="6" t="s">
        <v>174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6">
      <c r="B221" s="7" t="s">
        <v>46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>
        <f>+M219+32*(M12+M18+M45)+2*M27</f>
        <v>36137.279999999999</v>
      </c>
      <c r="N221" s="8"/>
      <c r="O221" s="8"/>
      <c r="P221" s="8">
        <f t="array" ref="P221">AVERAGE(IF(C221:O221&lt;&gt;0,C221:O221,""))</f>
        <v>36137.279999999999</v>
      </c>
    </row>
    <row r="222" spans="1:16" ht="13.5">
      <c r="A222" s="140" t="s">
        <v>266</v>
      </c>
    </row>
    <row r="223" spans="1:16" ht="13.5">
      <c r="A223" s="140" t="s">
        <v>268</v>
      </c>
    </row>
    <row r="224" spans="1:16" ht="13.5">
      <c r="A224" s="140"/>
    </row>
  </sheetData>
  <phoneticPr fontId="0" type="noConversion"/>
  <printOptions horizontalCentered="1"/>
  <pageMargins left="0.25" right="0.25" top="0.5" bottom="0.5" header="0.25" footer="0.25"/>
  <pageSetup scale="49" fitToHeight="0" orientation="landscape" r:id="rId1"/>
  <headerFooter alignWithMargins="0">
    <oddFooter>&amp;ROffice of Planning and Institutional Research, &amp;F, &amp;D
Page &amp;P of &amp;N</oddFooter>
  </headerFooter>
  <rowBreaks count="2" manualBreakCount="2">
    <brk id="76" max="13" man="1"/>
    <brk id="153" max="13" man="1"/>
  </rowBreaks>
  <colBreaks count="1" manualBreakCount="1">
    <brk id="16" max="226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71"/>
  <sheetViews>
    <sheetView zoomScaleNormal="100" zoomScaleSheetLayoutView="80" workbookViewId="0">
      <pane xSplit="2" ySplit="9" topLeftCell="C41" activePane="bottomRight" state="frozen"/>
      <selection activeCell="G60" sqref="G60"/>
      <selection pane="topRight" activeCell="G60" sqref="G60"/>
      <selection pane="bottomLeft" activeCell="G60" sqref="G60"/>
      <selection pane="bottomRight" activeCell="C67" sqref="C67"/>
    </sheetView>
  </sheetViews>
  <sheetFormatPr defaultColWidth="9.140625" defaultRowHeight="13.5"/>
  <cols>
    <col min="1" max="1" width="3.42578125" style="94" customWidth="1"/>
    <col min="2" max="2" width="38.42578125" style="94" customWidth="1"/>
    <col min="3" max="3" width="11.7109375" style="94" customWidth="1"/>
    <col min="4" max="4" width="9.5703125" style="94" customWidth="1"/>
    <col min="5" max="5" width="7.42578125" style="94" bestFit="1" customWidth="1"/>
    <col min="6" max="6" width="9.5703125" style="94" bestFit="1" customWidth="1"/>
    <col min="7" max="8" width="9.5703125" style="363" customWidth="1"/>
    <col min="9" max="9" width="9.5703125" style="94" bestFit="1" customWidth="1"/>
    <col min="10" max="10" width="7.42578125" style="94" bestFit="1" customWidth="1"/>
    <col min="11" max="13" width="9.5703125" style="94" bestFit="1" customWidth="1"/>
    <col min="14" max="14" width="8.7109375" style="94" bestFit="1" customWidth="1"/>
    <col min="15" max="15" width="7.42578125" style="333" bestFit="1" customWidth="1"/>
    <col min="16" max="16" width="11.5703125" style="94" bestFit="1" customWidth="1"/>
    <col min="17" max="16384" width="9.140625" style="94"/>
  </cols>
  <sheetData>
    <row r="1" spans="1:16" ht="18.75">
      <c r="A1" s="216" t="s">
        <v>216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301"/>
    </row>
    <row r="2" spans="1:16" ht="15.75">
      <c r="A2" s="217" t="s">
        <v>165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302"/>
    </row>
    <row r="3" spans="1:16" ht="7.5" customHeight="1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302"/>
    </row>
    <row r="4" spans="1:16" ht="16.5">
      <c r="A4" s="456" t="s">
        <v>217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91"/>
      <c r="N4" s="92"/>
      <c r="O4" s="302"/>
    </row>
    <row r="5" spans="1:16" ht="15.75">
      <c r="A5" s="456" t="s">
        <v>218</v>
      </c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7"/>
      <c r="N5" s="457"/>
      <c r="O5" s="457"/>
    </row>
    <row r="6" spans="1:16" ht="16.5">
      <c r="A6" s="456" t="s">
        <v>215</v>
      </c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302"/>
    </row>
    <row r="7" spans="1:16" ht="16.5">
      <c r="A7" s="218" t="s">
        <v>270</v>
      </c>
      <c r="B7" s="219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91"/>
      <c r="N7" s="92"/>
      <c r="O7" s="302"/>
    </row>
    <row r="8" spans="1:16" s="96" customFormat="1" ht="15.75">
      <c r="A8" s="454" t="s">
        <v>271</v>
      </c>
      <c r="B8" s="455"/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5"/>
      <c r="O8" s="303"/>
    </row>
    <row r="9" spans="1:16" ht="15">
      <c r="C9" s="223" t="s">
        <v>0</v>
      </c>
      <c r="D9" s="223" t="s">
        <v>1</v>
      </c>
      <c r="E9" s="223" t="s">
        <v>2</v>
      </c>
      <c r="F9" s="223" t="s">
        <v>272</v>
      </c>
      <c r="G9" s="223" t="s">
        <v>284</v>
      </c>
      <c r="H9" s="223" t="s">
        <v>285</v>
      </c>
      <c r="I9" s="223" t="s">
        <v>4</v>
      </c>
      <c r="J9" s="223" t="s">
        <v>5</v>
      </c>
      <c r="K9" s="223" t="s">
        <v>6</v>
      </c>
      <c r="L9" s="223" t="s">
        <v>7</v>
      </c>
      <c r="M9" s="223" t="s">
        <v>8</v>
      </c>
      <c r="N9" s="223" t="s">
        <v>9</v>
      </c>
      <c r="O9" s="304" t="s">
        <v>10</v>
      </c>
      <c r="P9" s="99"/>
    </row>
    <row r="10" spans="1:16" ht="15">
      <c r="A10" s="100" t="s">
        <v>65</v>
      </c>
      <c r="C10" s="99"/>
      <c r="D10" s="99"/>
      <c r="E10" s="99"/>
      <c r="F10" s="250"/>
      <c r="G10" s="250"/>
      <c r="H10" s="250"/>
      <c r="I10" s="99"/>
      <c r="J10" s="99"/>
      <c r="K10" s="99"/>
      <c r="L10" s="99"/>
      <c r="M10" s="99"/>
      <c r="N10" s="99"/>
      <c r="O10" s="250"/>
      <c r="P10" s="99"/>
    </row>
    <row r="11" spans="1:16" ht="15.75" thickBot="1">
      <c r="B11" s="100" t="s">
        <v>30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250"/>
      <c r="P11" s="99"/>
    </row>
    <row r="12" spans="1:16" ht="15">
      <c r="B12" s="101" t="s">
        <v>148</v>
      </c>
      <c r="C12" s="207">
        <f>TRUNC(95.67*1.08,2)</f>
        <v>103.32</v>
      </c>
      <c r="D12" s="207">
        <f>TRUNC(95.67*1.08,2)</f>
        <v>103.32</v>
      </c>
      <c r="E12" s="199">
        <f t="shared" ref="E12:O12" si="0">TRUNC(95.67*1.08,2)</f>
        <v>103.32</v>
      </c>
      <c r="F12" s="199">
        <f t="shared" si="0"/>
        <v>103.32</v>
      </c>
      <c r="G12" s="417">
        <f t="shared" si="0"/>
        <v>103.32</v>
      </c>
      <c r="H12" s="417">
        <f t="shared" si="0"/>
        <v>103.32</v>
      </c>
      <c r="I12" s="199">
        <f t="shared" si="0"/>
        <v>103.32</v>
      </c>
      <c r="J12" s="199">
        <f t="shared" si="0"/>
        <v>103.32</v>
      </c>
      <c r="K12" s="199">
        <f t="shared" si="0"/>
        <v>103.32</v>
      </c>
      <c r="L12" s="200">
        <f t="shared" si="0"/>
        <v>103.32</v>
      </c>
      <c r="M12" s="199">
        <f t="shared" si="0"/>
        <v>103.32</v>
      </c>
      <c r="N12" s="199">
        <f t="shared" si="0"/>
        <v>103.32</v>
      </c>
      <c r="O12" s="305">
        <f t="shared" si="0"/>
        <v>103.32</v>
      </c>
    </row>
    <row r="13" spans="1:16" ht="15">
      <c r="B13" s="101" t="s">
        <v>157</v>
      </c>
      <c r="C13" s="204">
        <v>44.17</v>
      </c>
      <c r="D13" s="201">
        <v>49.59</v>
      </c>
      <c r="E13" s="201">
        <v>36.380000000000003</v>
      </c>
      <c r="F13" s="201">
        <v>46.88</v>
      </c>
      <c r="G13" s="440">
        <v>35.14</v>
      </c>
      <c r="H13" s="440">
        <v>35.14</v>
      </c>
      <c r="I13" s="201">
        <v>40.130000000000003</v>
      </c>
      <c r="J13" s="201">
        <v>38.880000000000003</v>
      </c>
      <c r="K13" s="201">
        <v>44.2</v>
      </c>
      <c r="L13" s="299">
        <v>52.29</v>
      </c>
      <c r="M13" s="201">
        <v>37.630000000000003</v>
      </c>
      <c r="N13" s="201">
        <v>36.380000000000003</v>
      </c>
      <c r="O13" s="306">
        <v>40.130000000000003</v>
      </c>
    </row>
    <row r="14" spans="1:16" ht="15">
      <c r="B14" s="101" t="s">
        <v>149</v>
      </c>
      <c r="C14" s="185">
        <v>448.73</v>
      </c>
      <c r="D14" s="263">
        <v>403.51</v>
      </c>
      <c r="E14" s="425">
        <v>334.13</v>
      </c>
      <c r="F14" s="251">
        <v>347.91</v>
      </c>
      <c r="G14" s="439">
        <v>347.91</v>
      </c>
      <c r="H14" s="439">
        <v>347.91</v>
      </c>
      <c r="I14" s="421">
        <v>303.70999999999998</v>
      </c>
      <c r="J14" s="249">
        <v>274.51</v>
      </c>
      <c r="K14" s="372">
        <v>288.16000000000003</v>
      </c>
      <c r="L14" s="395">
        <v>351.31</v>
      </c>
      <c r="M14" s="274">
        <v>401.28</v>
      </c>
      <c r="N14" s="192">
        <v>269.08</v>
      </c>
      <c r="O14" s="307"/>
    </row>
    <row r="15" spans="1:16" ht="15">
      <c r="B15" s="101" t="s">
        <v>150</v>
      </c>
      <c r="C15" s="185">
        <v>630.41</v>
      </c>
      <c r="D15" s="263">
        <v>573.67999999999995</v>
      </c>
      <c r="E15" s="425">
        <v>379.76</v>
      </c>
      <c r="F15" s="85"/>
      <c r="G15" s="437"/>
      <c r="H15" s="437"/>
      <c r="I15" s="420"/>
      <c r="J15" s="85"/>
      <c r="K15" s="370"/>
      <c r="L15" s="395">
        <v>508.97</v>
      </c>
      <c r="M15" s="85"/>
      <c r="N15" s="85"/>
      <c r="O15" s="307"/>
    </row>
    <row r="16" spans="1:16" ht="15">
      <c r="B16" s="101" t="s">
        <v>68</v>
      </c>
      <c r="C16" s="185">
        <v>31790</v>
      </c>
      <c r="D16" s="264">
        <v>19943.16</v>
      </c>
      <c r="E16" s="85"/>
      <c r="F16" s="252">
        <v>29174.65</v>
      </c>
      <c r="G16" s="437"/>
      <c r="H16" s="437"/>
      <c r="I16" s="416">
        <v>25725</v>
      </c>
      <c r="J16" s="85"/>
      <c r="K16" s="372">
        <v>22915.599999999999</v>
      </c>
      <c r="L16" s="395">
        <v>31938.37</v>
      </c>
      <c r="M16" s="85"/>
      <c r="N16" s="85"/>
      <c r="O16" s="307"/>
    </row>
    <row r="17" spans="2:15" ht="15">
      <c r="B17" s="101" t="s">
        <v>164</v>
      </c>
      <c r="C17" s="102"/>
      <c r="D17" s="247"/>
      <c r="E17" s="85"/>
      <c r="F17" s="85"/>
      <c r="G17" s="437"/>
      <c r="H17" s="437"/>
      <c r="I17" s="85"/>
      <c r="J17" s="85"/>
      <c r="K17" s="370"/>
      <c r="L17" s="85"/>
      <c r="M17" s="276">
        <v>13713.28</v>
      </c>
      <c r="N17" s="85"/>
      <c r="O17" s="307"/>
    </row>
    <row r="18" spans="2:15" ht="15">
      <c r="B18" s="101" t="s">
        <v>69</v>
      </c>
      <c r="C18" s="185">
        <v>24826.12</v>
      </c>
      <c r="D18" s="85"/>
      <c r="E18" s="85"/>
      <c r="F18" s="85"/>
      <c r="G18" s="437"/>
      <c r="H18" s="437"/>
      <c r="I18" s="85"/>
      <c r="J18" s="85"/>
      <c r="K18" s="370"/>
      <c r="L18" s="85"/>
      <c r="M18" s="85"/>
      <c r="N18" s="85"/>
      <c r="O18" s="307"/>
    </row>
    <row r="19" spans="2:15" ht="15">
      <c r="B19" s="101" t="s">
        <v>122</v>
      </c>
      <c r="C19" s="185">
        <v>19844.740000000002</v>
      </c>
      <c r="D19" s="89"/>
      <c r="E19" s="412"/>
      <c r="F19" s="253">
        <v>16610</v>
      </c>
      <c r="G19" s="438"/>
      <c r="H19" s="438"/>
      <c r="I19" s="89"/>
      <c r="J19" s="89"/>
      <c r="K19" s="371"/>
      <c r="L19" s="89"/>
      <c r="M19" s="89"/>
      <c r="N19" s="89"/>
      <c r="O19" s="308"/>
    </row>
    <row r="20" spans="2:15" ht="15">
      <c r="B20" s="101" t="s">
        <v>94</v>
      </c>
      <c r="C20" s="185">
        <v>19522.3</v>
      </c>
      <c r="D20" s="89"/>
      <c r="E20" s="430"/>
      <c r="F20" s="253">
        <v>17721.86</v>
      </c>
      <c r="G20" s="438"/>
      <c r="H20" s="438"/>
      <c r="I20" s="89"/>
      <c r="J20" s="89"/>
      <c r="K20" s="373">
        <v>19780</v>
      </c>
      <c r="L20" s="399"/>
      <c r="M20" s="399"/>
      <c r="N20" s="399"/>
      <c r="O20" s="308"/>
    </row>
    <row r="21" spans="2:15" ht="15">
      <c r="B21" s="101" t="s">
        <v>70</v>
      </c>
      <c r="C21" s="185">
        <v>36469.440000000002</v>
      </c>
      <c r="D21" s="85"/>
      <c r="E21" s="85"/>
      <c r="F21" s="85"/>
      <c r="G21" s="412"/>
      <c r="H21" s="412"/>
      <c r="I21" s="85"/>
      <c r="J21" s="85"/>
      <c r="K21" s="85"/>
      <c r="L21" s="85"/>
      <c r="M21" s="85"/>
      <c r="N21" s="85"/>
      <c r="O21" s="307"/>
    </row>
    <row r="22" spans="2:15" ht="15">
      <c r="B22" s="101" t="s">
        <v>141</v>
      </c>
      <c r="C22" s="281">
        <v>13201.82</v>
      </c>
      <c r="D22" s="283"/>
      <c r="E22" s="283"/>
      <c r="F22" s="283"/>
      <c r="G22" s="412"/>
      <c r="H22" s="412"/>
      <c r="I22" s="283"/>
      <c r="J22" s="283"/>
      <c r="K22" s="283"/>
      <c r="L22" s="283"/>
      <c r="M22" s="283"/>
      <c r="N22" s="283"/>
      <c r="O22" s="307"/>
    </row>
    <row r="23" spans="2:15" ht="15">
      <c r="B23" s="101" t="s">
        <v>153</v>
      </c>
      <c r="C23" s="281">
        <v>11551.56</v>
      </c>
      <c r="D23" s="283"/>
      <c r="E23" s="283"/>
      <c r="F23" s="283"/>
      <c r="G23" s="412"/>
      <c r="H23" s="412"/>
      <c r="I23" s="283"/>
      <c r="J23" s="283"/>
      <c r="K23" s="283"/>
      <c r="L23" s="283"/>
      <c r="M23" s="283"/>
      <c r="N23" s="283"/>
      <c r="O23" s="307"/>
    </row>
    <row r="24" spans="2:15" ht="15">
      <c r="B24" s="221" t="s">
        <v>220</v>
      </c>
      <c r="C24" s="222">
        <v>513.79999999999995</v>
      </c>
      <c r="D24" s="85"/>
      <c r="E24" s="85"/>
      <c r="F24" s="85"/>
      <c r="G24" s="412"/>
      <c r="H24" s="412"/>
      <c r="I24" s="85"/>
      <c r="J24" s="85"/>
      <c r="K24" s="85"/>
      <c r="L24" s="85"/>
      <c r="M24" s="85"/>
      <c r="N24" s="85"/>
      <c r="O24" s="307"/>
    </row>
    <row r="25" spans="2:15" ht="15.75" thickBot="1">
      <c r="B25" s="221" t="s">
        <v>219</v>
      </c>
      <c r="C25" s="186">
        <v>513.79999999999995</v>
      </c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309"/>
    </row>
    <row r="26" spans="2:15" s="285" customFormat="1" ht="15">
      <c r="B26" s="238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310"/>
    </row>
    <row r="27" spans="2:15" ht="15.75" thickBot="1">
      <c r="B27" s="100" t="s">
        <v>146</v>
      </c>
      <c r="D27" s="106"/>
    </row>
    <row r="28" spans="2:15" ht="15">
      <c r="B28" s="101" t="s">
        <v>91</v>
      </c>
      <c r="C28" s="203">
        <f t="shared" ref="C28:M28" si="1">TRUNC((C12)*5%,2)</f>
        <v>5.16</v>
      </c>
      <c r="D28" s="199">
        <f t="shared" si="1"/>
        <v>5.16</v>
      </c>
      <c r="E28" s="199">
        <f t="shared" si="1"/>
        <v>5.16</v>
      </c>
      <c r="F28" s="199">
        <f t="shared" si="1"/>
        <v>5.16</v>
      </c>
      <c r="G28" s="417">
        <f t="shared" si="1"/>
        <v>5.16</v>
      </c>
      <c r="H28" s="417">
        <f t="shared" si="1"/>
        <v>5.16</v>
      </c>
      <c r="I28" s="199">
        <f t="shared" si="1"/>
        <v>5.16</v>
      </c>
      <c r="J28" s="199">
        <f t="shared" si="1"/>
        <v>5.16</v>
      </c>
      <c r="K28" s="199">
        <f t="shared" si="1"/>
        <v>5.16</v>
      </c>
      <c r="L28" s="199">
        <f t="shared" si="1"/>
        <v>5.16</v>
      </c>
      <c r="M28" s="199">
        <f t="shared" si="1"/>
        <v>5.16</v>
      </c>
      <c r="N28" s="199">
        <v>5.15</v>
      </c>
      <c r="O28" s="332">
        <f>TRUNC((O12)*5%,2)</f>
        <v>5.16</v>
      </c>
    </row>
    <row r="29" spans="2:15" ht="15">
      <c r="B29" s="101" t="s">
        <v>66</v>
      </c>
      <c r="C29" s="185">
        <f>TRUNC((C14)*5%,2)</f>
        <v>22.43</v>
      </c>
      <c r="D29" s="265">
        <v>20.170000000000002</v>
      </c>
      <c r="E29" s="244">
        <f t="shared" ref="E29:M29" si="2">TRUNC((E14)*5%,2)</f>
        <v>16.7</v>
      </c>
      <c r="F29" s="254">
        <f t="shared" si="2"/>
        <v>17.39</v>
      </c>
      <c r="G29" s="439">
        <f t="shared" si="2"/>
        <v>17.39</v>
      </c>
      <c r="H29" s="439">
        <f t="shared" si="2"/>
        <v>17.39</v>
      </c>
      <c r="I29" s="294">
        <f t="shared" si="2"/>
        <v>15.18</v>
      </c>
      <c r="J29" s="192">
        <f t="shared" si="2"/>
        <v>13.72</v>
      </c>
      <c r="K29" s="246">
        <f t="shared" si="2"/>
        <v>14.4</v>
      </c>
      <c r="L29" s="396">
        <v>17.559999999999999</v>
      </c>
      <c r="M29" s="192">
        <f t="shared" si="2"/>
        <v>20.059999999999999</v>
      </c>
      <c r="N29" s="406">
        <v>14.52</v>
      </c>
      <c r="O29" s="307"/>
    </row>
    <row r="30" spans="2:15" ht="15">
      <c r="B30" s="101" t="s">
        <v>67</v>
      </c>
      <c r="C30" s="337">
        <v>31.52</v>
      </c>
      <c r="D30" s="265">
        <v>28.68</v>
      </c>
      <c r="E30" s="426">
        <v>18.98</v>
      </c>
      <c r="F30" s="85"/>
      <c r="G30" s="441"/>
      <c r="H30" s="441"/>
      <c r="I30" s="85"/>
      <c r="J30" s="85"/>
      <c r="K30" s="85"/>
      <c r="L30" s="396">
        <v>25.44</v>
      </c>
      <c r="M30" s="85"/>
      <c r="N30" s="85"/>
      <c r="O30" s="307"/>
    </row>
    <row r="31" spans="2:15" ht="15">
      <c r="B31" s="101" t="s">
        <v>68</v>
      </c>
      <c r="C31" s="337">
        <v>1589.5</v>
      </c>
      <c r="D31" s="266">
        <v>997.15</v>
      </c>
      <c r="E31" s="85"/>
      <c r="F31" s="255">
        <f>TRUNC((F16)*5%,2)</f>
        <v>1458.73</v>
      </c>
      <c r="G31" s="441"/>
      <c r="H31" s="441"/>
      <c r="I31" s="416">
        <v>607.20000000000005</v>
      </c>
      <c r="J31" s="85"/>
      <c r="K31" s="376">
        <v>1145.5999999999999</v>
      </c>
      <c r="L31" s="396">
        <v>1596.91</v>
      </c>
      <c r="M31" s="85"/>
      <c r="N31" s="85"/>
      <c r="O31" s="307"/>
    </row>
    <row r="32" spans="2:15" ht="15">
      <c r="B32" s="101" t="s">
        <v>164</v>
      </c>
      <c r="C32" s="335"/>
      <c r="D32" s="85"/>
      <c r="E32" s="85"/>
      <c r="F32" s="85"/>
      <c r="G32" s="441"/>
      <c r="H32" s="441"/>
      <c r="I32" s="85"/>
      <c r="J32" s="85"/>
      <c r="K32" s="374"/>
      <c r="L32" s="85"/>
      <c r="M32" s="282">
        <v>685.44</v>
      </c>
      <c r="N32" s="85"/>
      <c r="O32" s="307"/>
    </row>
    <row r="33" spans="2:15" ht="15">
      <c r="B33" s="101" t="s">
        <v>69</v>
      </c>
      <c r="C33" s="337">
        <v>1241.3</v>
      </c>
      <c r="D33" s="85"/>
      <c r="E33" s="85"/>
      <c r="F33" s="85"/>
      <c r="G33" s="441"/>
      <c r="H33" s="441"/>
      <c r="I33" s="85"/>
      <c r="J33" s="85"/>
      <c r="K33" s="374"/>
      <c r="L33" s="85"/>
      <c r="M33" s="85"/>
      <c r="N33" s="85"/>
      <c r="O33" s="307"/>
    </row>
    <row r="34" spans="2:15" ht="15">
      <c r="B34" s="101" t="s">
        <v>122</v>
      </c>
      <c r="C34" s="337">
        <v>992.22</v>
      </c>
      <c r="D34" s="89"/>
      <c r="E34" s="412"/>
      <c r="F34" s="256">
        <f>TRUNC((F19)*5%,2)</f>
        <v>830.5</v>
      </c>
      <c r="G34" s="442"/>
      <c r="H34" s="442"/>
      <c r="I34" s="89"/>
      <c r="J34" s="89"/>
      <c r="K34" s="375"/>
      <c r="L34" s="89"/>
      <c r="M34" s="89"/>
      <c r="N34" s="89"/>
      <c r="O34" s="308"/>
    </row>
    <row r="35" spans="2:15" ht="15">
      <c r="B35" s="101" t="s">
        <v>94</v>
      </c>
      <c r="C35" s="350">
        <v>976.1</v>
      </c>
      <c r="D35" s="404"/>
      <c r="E35" s="430"/>
      <c r="F35" s="430">
        <f>TRUNC((F20)*5%,2)</f>
        <v>886.09</v>
      </c>
      <c r="G35" s="442"/>
      <c r="H35" s="442"/>
      <c r="I35" s="404"/>
      <c r="J35" s="404"/>
      <c r="K35" s="393">
        <v>988.8</v>
      </c>
      <c r="L35" s="399"/>
      <c r="M35" s="399"/>
      <c r="N35" s="399"/>
      <c r="O35" s="308"/>
    </row>
    <row r="36" spans="2:15" ht="15">
      <c r="B36" s="101" t="s">
        <v>70</v>
      </c>
      <c r="C36" s="337">
        <v>1823.46</v>
      </c>
      <c r="D36" s="85"/>
      <c r="E36" s="85"/>
      <c r="F36" s="85"/>
      <c r="G36" s="412"/>
      <c r="H36" s="412"/>
      <c r="I36" s="85"/>
      <c r="J36" s="85"/>
      <c r="K36" s="85"/>
      <c r="L36" s="404"/>
      <c r="M36" s="404"/>
      <c r="N36" s="404"/>
      <c r="O36" s="307"/>
    </row>
    <row r="37" spans="2:15" ht="15">
      <c r="B37" s="101" t="s">
        <v>154</v>
      </c>
      <c r="C37" s="337">
        <v>660.08</v>
      </c>
      <c r="D37" s="283"/>
      <c r="E37" s="283"/>
      <c r="F37" s="283"/>
      <c r="G37" s="412"/>
      <c r="H37" s="412"/>
      <c r="I37" s="283"/>
      <c r="J37" s="283"/>
      <c r="K37" s="283"/>
      <c r="L37" s="283"/>
      <c r="M37" s="283"/>
      <c r="N37" s="283"/>
      <c r="O37" s="307"/>
    </row>
    <row r="38" spans="2:15" ht="15">
      <c r="B38" s="101" t="s">
        <v>155</v>
      </c>
      <c r="C38" s="337">
        <v>577.56000000000006</v>
      </c>
      <c r="D38" s="283"/>
      <c r="E38" s="283"/>
      <c r="F38" s="283"/>
      <c r="G38" s="412"/>
      <c r="H38" s="412"/>
      <c r="I38" s="283"/>
      <c r="J38" s="283"/>
      <c r="K38" s="283"/>
      <c r="L38" s="283"/>
      <c r="M38" s="283"/>
      <c r="N38" s="283"/>
      <c r="O38" s="307"/>
    </row>
    <row r="39" spans="2:15" ht="15">
      <c r="B39" s="221" t="s">
        <v>220</v>
      </c>
      <c r="C39" s="337">
        <v>25.69</v>
      </c>
      <c r="D39" s="283"/>
      <c r="E39" s="283"/>
      <c r="F39" s="283"/>
      <c r="G39" s="412"/>
      <c r="H39" s="412"/>
      <c r="I39" s="283"/>
      <c r="J39" s="283"/>
      <c r="K39" s="283"/>
      <c r="L39" s="283"/>
      <c r="M39" s="283"/>
      <c r="N39" s="283"/>
      <c r="O39" s="307"/>
    </row>
    <row r="40" spans="2:15" ht="15.75" thickBot="1">
      <c r="B40" s="221" t="s">
        <v>219</v>
      </c>
      <c r="C40" s="338">
        <v>25.69</v>
      </c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309"/>
    </row>
    <row r="41" spans="2:15" s="285" customFormat="1" ht="6.6" customHeight="1">
      <c r="B41" s="238"/>
      <c r="C41" s="243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331"/>
    </row>
    <row r="42" spans="2:15" ht="15.75" thickBot="1">
      <c r="B42" s="400" t="s">
        <v>281</v>
      </c>
    </row>
    <row r="43" spans="2:15" ht="15">
      <c r="B43" s="101" t="s">
        <v>91</v>
      </c>
      <c r="C43" s="202">
        <v>6.76</v>
      </c>
      <c r="D43" s="208">
        <v>4.76</v>
      </c>
      <c r="E43" s="208">
        <v>6.76</v>
      </c>
      <c r="F43" s="208">
        <v>6.76</v>
      </c>
      <c r="G43" s="445">
        <v>6.76</v>
      </c>
      <c r="H43" s="445">
        <v>6.76</v>
      </c>
      <c r="I43" s="208">
        <v>6.76</v>
      </c>
      <c r="J43" s="208">
        <v>6.76</v>
      </c>
      <c r="K43" s="208">
        <v>6.76</v>
      </c>
      <c r="L43" s="208">
        <v>6.76</v>
      </c>
      <c r="M43" s="208">
        <v>6.76</v>
      </c>
      <c r="N43" s="208">
        <v>6.76</v>
      </c>
      <c r="O43" s="330">
        <v>6.14</v>
      </c>
    </row>
    <row r="44" spans="2:15" ht="15">
      <c r="B44" s="101" t="s">
        <v>66</v>
      </c>
      <c r="C44" s="211">
        <v>6.76</v>
      </c>
      <c r="D44" s="212">
        <v>4.76</v>
      </c>
      <c r="E44" s="212">
        <v>6.76</v>
      </c>
      <c r="F44" s="212">
        <v>6.76</v>
      </c>
      <c r="G44" s="445">
        <v>6.76</v>
      </c>
      <c r="H44" s="445">
        <v>6.76</v>
      </c>
      <c r="I44" s="212">
        <v>6.76</v>
      </c>
      <c r="J44" s="212">
        <v>6.76</v>
      </c>
      <c r="K44" s="212">
        <v>6.76</v>
      </c>
      <c r="L44" s="212">
        <v>6.76</v>
      </c>
      <c r="M44" s="212">
        <v>6.76</v>
      </c>
      <c r="N44" s="212">
        <v>6.76</v>
      </c>
      <c r="O44" s="307"/>
    </row>
    <row r="45" spans="2:15" ht="15">
      <c r="B45" s="101" t="s">
        <v>67</v>
      </c>
      <c r="C45" s="211">
        <v>6.76</v>
      </c>
      <c r="D45" s="212">
        <v>4.76</v>
      </c>
      <c r="E45" s="212">
        <v>6.76</v>
      </c>
      <c r="F45" s="85"/>
      <c r="G45" s="443"/>
      <c r="H45" s="443"/>
      <c r="I45" s="85"/>
      <c r="J45" s="85"/>
      <c r="K45" s="85"/>
      <c r="L45" s="212">
        <v>6.76</v>
      </c>
      <c r="M45" s="85"/>
      <c r="N45" s="85"/>
      <c r="O45" s="307"/>
    </row>
    <row r="46" spans="2:15" ht="15">
      <c r="B46" s="291" t="s">
        <v>237</v>
      </c>
      <c r="C46" s="340">
        <v>270.39999999999998</v>
      </c>
      <c r="D46" s="189">
        <v>190.4</v>
      </c>
      <c r="E46" s="85"/>
      <c r="F46" s="212">
        <v>216.32</v>
      </c>
      <c r="G46" s="443"/>
      <c r="H46" s="443"/>
      <c r="I46" s="293">
        <v>270.39999999999998</v>
      </c>
      <c r="J46" s="85"/>
      <c r="K46" s="189">
        <v>190.4</v>
      </c>
      <c r="L46" s="189">
        <v>338</v>
      </c>
      <c r="M46" s="85"/>
      <c r="N46" s="85"/>
      <c r="O46" s="307"/>
    </row>
    <row r="47" spans="2:15" ht="15">
      <c r="B47" s="101" t="s">
        <v>164</v>
      </c>
      <c r="C47" s="339"/>
      <c r="D47" s="85"/>
      <c r="E47" s="85"/>
      <c r="F47" s="85"/>
      <c r="G47" s="443"/>
      <c r="H47" s="443"/>
      <c r="I47" s="85"/>
      <c r="J47" s="85"/>
      <c r="K47" s="85"/>
      <c r="L47" s="85"/>
      <c r="M47" s="192">
        <f>216.32/32</f>
        <v>6.76</v>
      </c>
      <c r="N47" s="85"/>
      <c r="O47" s="307"/>
    </row>
    <row r="48" spans="2:15" ht="15">
      <c r="B48" s="291" t="s">
        <v>236</v>
      </c>
      <c r="C48" s="340">
        <v>270.39999999999998</v>
      </c>
      <c r="D48" s="85"/>
      <c r="E48" s="85"/>
      <c r="F48" s="85"/>
      <c r="G48" s="443"/>
      <c r="H48" s="443"/>
      <c r="I48" s="85"/>
      <c r="J48" s="85"/>
      <c r="K48" s="85"/>
      <c r="L48" s="85"/>
      <c r="M48" s="85"/>
      <c r="N48" s="85"/>
      <c r="O48" s="307"/>
    </row>
    <row r="49" spans="1:15" ht="15">
      <c r="B49" s="291" t="s">
        <v>238</v>
      </c>
      <c r="C49" s="340">
        <v>243.36</v>
      </c>
      <c r="D49" s="89"/>
      <c r="E49" s="412"/>
      <c r="F49" s="212">
        <v>216.32</v>
      </c>
      <c r="G49" s="444"/>
      <c r="H49" s="444"/>
      <c r="I49" s="89"/>
      <c r="J49" s="89"/>
      <c r="K49" s="89"/>
      <c r="L49" s="89"/>
      <c r="M49" s="89"/>
      <c r="N49" s="89"/>
      <c r="O49" s="308"/>
    </row>
    <row r="50" spans="1:15" ht="15">
      <c r="B50" s="101" t="s">
        <v>94</v>
      </c>
      <c r="C50" s="350">
        <v>263.64</v>
      </c>
      <c r="D50" s="404"/>
      <c r="E50" s="430"/>
      <c r="F50" s="430">
        <v>216.32</v>
      </c>
      <c r="G50" s="444"/>
      <c r="H50" s="444"/>
      <c r="I50" s="404"/>
      <c r="J50" s="404"/>
      <c r="K50" s="393">
        <v>270.39999999999998</v>
      </c>
      <c r="L50" s="399"/>
      <c r="M50" s="399"/>
      <c r="N50" s="399"/>
      <c r="O50" s="308"/>
    </row>
    <row r="51" spans="1:15" ht="15">
      <c r="B51" s="101" t="s">
        <v>70</v>
      </c>
      <c r="C51" s="340">
        <v>270.39999999999998</v>
      </c>
      <c r="D51" s="89"/>
      <c r="E51" s="89"/>
      <c r="F51" s="89"/>
      <c r="G51" s="404"/>
      <c r="H51" s="404"/>
      <c r="I51" s="89"/>
      <c r="J51" s="89"/>
      <c r="K51" s="89"/>
      <c r="L51" s="89"/>
      <c r="M51" s="89"/>
      <c r="N51" s="89"/>
      <c r="O51" s="308"/>
    </row>
    <row r="52" spans="1:15" ht="15">
      <c r="B52" s="101" t="s">
        <v>154</v>
      </c>
      <c r="C52" s="340">
        <v>162.24</v>
      </c>
      <c r="D52" s="89"/>
      <c r="E52" s="89"/>
      <c r="F52" s="89"/>
      <c r="G52" s="404"/>
      <c r="H52" s="404"/>
      <c r="I52" s="89"/>
      <c r="J52" s="89"/>
      <c r="K52" s="89"/>
      <c r="L52" s="89"/>
      <c r="M52" s="89"/>
      <c r="N52" s="89"/>
      <c r="O52" s="308"/>
    </row>
    <row r="53" spans="1:15" ht="15">
      <c r="B53" s="101" t="s">
        <v>155</v>
      </c>
      <c r="C53" s="340">
        <v>141.96</v>
      </c>
      <c r="D53" s="334"/>
      <c r="E53" s="334"/>
      <c r="F53" s="334"/>
      <c r="G53" s="404"/>
      <c r="H53" s="404"/>
      <c r="I53" s="334"/>
      <c r="J53" s="334"/>
      <c r="K53" s="334"/>
      <c r="L53" s="334"/>
      <c r="M53" s="334"/>
      <c r="N53" s="334"/>
      <c r="O53" s="308"/>
    </row>
    <row r="54" spans="1:15" ht="15">
      <c r="B54" s="225" t="s">
        <v>222</v>
      </c>
      <c r="C54" s="340">
        <v>6.76</v>
      </c>
      <c r="D54" s="224"/>
      <c r="E54" s="224"/>
      <c r="F54" s="224"/>
      <c r="G54" s="237"/>
      <c r="H54" s="237"/>
      <c r="I54" s="224"/>
      <c r="J54" s="224"/>
      <c r="K54" s="224"/>
      <c r="L54" s="224"/>
      <c r="M54" s="224"/>
      <c r="N54" s="224"/>
      <c r="O54" s="329"/>
    </row>
    <row r="55" spans="1:15" ht="15.75" thickBot="1">
      <c r="B55" s="225" t="s">
        <v>221</v>
      </c>
      <c r="C55" s="341">
        <v>6.76</v>
      </c>
      <c r="D55" s="336"/>
      <c r="E55" s="336"/>
      <c r="F55" s="336"/>
      <c r="G55" s="388"/>
      <c r="H55" s="388"/>
      <c r="I55" s="336"/>
      <c r="J55" s="336"/>
      <c r="K55" s="336"/>
      <c r="L55" s="336"/>
      <c r="M55" s="336"/>
      <c r="N55" s="336"/>
      <c r="O55" s="328"/>
    </row>
    <row r="56" spans="1:15" ht="8.25" customHeight="1">
      <c r="B56" s="101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327"/>
    </row>
    <row r="57" spans="1:15" ht="16.5" thickBot="1">
      <c r="A57" s="184" t="s">
        <v>203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250"/>
    </row>
    <row r="58" spans="1:15" ht="15">
      <c r="B58" s="121" t="s">
        <v>212</v>
      </c>
      <c r="C58" s="202">
        <v>810.53</v>
      </c>
      <c r="D58" s="289">
        <v>584.79999999999995</v>
      </c>
      <c r="E58" s="289">
        <v>482.39</v>
      </c>
      <c r="F58" s="289">
        <v>418.32</v>
      </c>
      <c r="G58" s="447">
        <v>418.32</v>
      </c>
      <c r="H58" s="447">
        <v>418.32</v>
      </c>
      <c r="I58" s="424">
        <v>597.18000000000006</v>
      </c>
      <c r="J58" s="289">
        <v>512.26</v>
      </c>
      <c r="K58" s="382">
        <v>614.38</v>
      </c>
      <c r="L58" s="300">
        <v>496.94</v>
      </c>
      <c r="M58" s="289">
        <v>562.34</v>
      </c>
      <c r="N58" s="408">
        <v>707.90000000000009</v>
      </c>
      <c r="O58" s="305">
        <v>712.55</v>
      </c>
    </row>
    <row r="59" spans="1:15" ht="15">
      <c r="B59" s="101" t="s">
        <v>157</v>
      </c>
      <c r="C59" s="206">
        <v>44.17</v>
      </c>
      <c r="D59" s="206">
        <v>49.59</v>
      </c>
      <c r="E59" s="206">
        <v>36.380000000000003</v>
      </c>
      <c r="F59" s="206">
        <v>46.88</v>
      </c>
      <c r="G59" s="448">
        <v>35.14</v>
      </c>
      <c r="H59" s="448">
        <v>35.14</v>
      </c>
      <c r="I59" s="206">
        <v>40.130000000000003</v>
      </c>
      <c r="J59" s="206">
        <v>38.880000000000003</v>
      </c>
      <c r="K59" s="383">
        <v>44.2</v>
      </c>
      <c r="L59" s="206">
        <v>52.29</v>
      </c>
      <c r="M59" s="206">
        <v>37.630000000000003</v>
      </c>
      <c r="N59" s="409">
        <v>36.380000000000003</v>
      </c>
      <c r="O59" s="326">
        <v>40.130000000000003</v>
      </c>
    </row>
    <row r="60" spans="1:15" ht="15">
      <c r="B60" s="101" t="s">
        <v>213</v>
      </c>
      <c r="C60" s="343">
        <v>1138.94</v>
      </c>
      <c r="D60" s="267">
        <v>1004.85</v>
      </c>
      <c r="E60" s="427">
        <v>921.15</v>
      </c>
      <c r="F60" s="257">
        <v>752.22</v>
      </c>
      <c r="G60" s="446">
        <v>752.22</v>
      </c>
      <c r="H60" s="446">
        <v>752.22</v>
      </c>
      <c r="I60" s="416">
        <v>927.51</v>
      </c>
      <c r="J60" s="192">
        <v>902.74</v>
      </c>
      <c r="K60" s="380">
        <v>1073.31</v>
      </c>
      <c r="L60" s="398">
        <v>831.39</v>
      </c>
      <c r="M60" s="192">
        <v>932.61</v>
      </c>
      <c r="N60" s="407">
        <v>1173.73</v>
      </c>
      <c r="O60" s="307"/>
    </row>
    <row r="61" spans="1:15" ht="15">
      <c r="B61" s="101" t="s">
        <v>214</v>
      </c>
      <c r="C61" s="344">
        <v>1245.17</v>
      </c>
      <c r="D61" s="268">
        <v>1208.99</v>
      </c>
      <c r="E61" s="428">
        <v>991.22</v>
      </c>
      <c r="F61" s="176"/>
      <c r="G61" s="413"/>
      <c r="H61" s="413"/>
      <c r="I61" s="413"/>
      <c r="J61" s="176"/>
      <c r="K61" s="379"/>
      <c r="L61" s="397">
        <v>946.58</v>
      </c>
      <c r="M61" s="176"/>
      <c r="N61" s="176"/>
      <c r="O61" s="307"/>
    </row>
    <row r="62" spans="1:15" ht="15">
      <c r="B62" s="101" t="s">
        <v>204</v>
      </c>
      <c r="C62" s="344">
        <v>59637.86</v>
      </c>
      <c r="D62" s="269">
        <v>52849.06</v>
      </c>
      <c r="E62" s="85"/>
      <c r="F62" s="258">
        <v>49355.29</v>
      </c>
      <c r="G62" s="413"/>
      <c r="H62" s="413"/>
      <c r="I62" s="422">
        <v>57225</v>
      </c>
      <c r="J62" s="85"/>
      <c r="K62" s="381">
        <v>49597.2</v>
      </c>
      <c r="L62" s="397">
        <v>61938.37</v>
      </c>
      <c r="M62" s="85"/>
      <c r="N62" s="85"/>
      <c r="O62" s="307"/>
    </row>
    <row r="63" spans="1:15" ht="15">
      <c r="B63" s="101" t="s">
        <v>205</v>
      </c>
      <c r="C63" s="342"/>
      <c r="D63" s="85"/>
      <c r="E63" s="85"/>
      <c r="F63" s="85"/>
      <c r="G63" s="412"/>
      <c r="H63" s="412"/>
      <c r="I63" s="85"/>
      <c r="J63" s="85"/>
      <c r="K63" s="377"/>
      <c r="L63" s="85"/>
      <c r="M63" s="193">
        <v>32535.68</v>
      </c>
      <c r="N63" s="85"/>
      <c r="O63" s="307"/>
    </row>
    <row r="64" spans="1:15" ht="15">
      <c r="B64" s="101" t="s">
        <v>206</v>
      </c>
      <c r="C64" s="344">
        <v>44802.52</v>
      </c>
      <c r="D64" s="85"/>
      <c r="E64" s="85"/>
      <c r="F64" s="85"/>
      <c r="G64" s="412"/>
      <c r="H64" s="412"/>
      <c r="I64" s="85"/>
      <c r="J64" s="85"/>
      <c r="K64" s="377"/>
      <c r="L64" s="85"/>
      <c r="M64" s="85"/>
      <c r="N64" s="85"/>
      <c r="O64" s="307"/>
    </row>
    <row r="65" spans="1:15" ht="15">
      <c r="B65" s="101" t="s">
        <v>207</v>
      </c>
      <c r="C65" s="344">
        <v>41886.14</v>
      </c>
      <c r="D65" s="89"/>
      <c r="E65" s="412"/>
      <c r="F65" s="259">
        <v>33510</v>
      </c>
      <c r="G65" s="412"/>
      <c r="H65" s="412"/>
      <c r="I65" s="89"/>
      <c r="J65" s="89"/>
      <c r="K65" s="378"/>
      <c r="L65" s="89"/>
      <c r="M65" s="89"/>
      <c r="N65" s="89"/>
      <c r="O65" s="308"/>
    </row>
    <row r="66" spans="1:15" ht="15">
      <c r="B66" s="101" t="s">
        <v>208</v>
      </c>
      <c r="C66" s="350">
        <v>28322.3</v>
      </c>
      <c r="D66" s="404"/>
      <c r="E66" s="430"/>
      <c r="F66" s="430">
        <v>24525.03</v>
      </c>
      <c r="G66" s="412"/>
      <c r="H66" s="412"/>
      <c r="I66" s="404"/>
      <c r="J66" s="404"/>
      <c r="K66" s="393">
        <v>51186</v>
      </c>
      <c r="L66" s="399"/>
      <c r="M66" s="399"/>
      <c r="N66" s="399"/>
      <c r="O66" s="308"/>
    </row>
    <row r="67" spans="1:15" ht="15">
      <c r="B67" s="101" t="s">
        <v>209</v>
      </c>
      <c r="C67" s="344">
        <v>61689.22</v>
      </c>
      <c r="D67" s="89"/>
      <c r="E67" s="89"/>
      <c r="F67" s="89"/>
      <c r="G67" s="404"/>
      <c r="H67" s="404"/>
      <c r="I67" s="89"/>
      <c r="J67" s="89"/>
      <c r="K67" s="89"/>
      <c r="L67" s="89"/>
      <c r="M67" s="89"/>
      <c r="N67" s="89"/>
      <c r="O67" s="308"/>
    </row>
    <row r="68" spans="1:15" ht="15">
      <c r="B68" s="101" t="s">
        <v>210</v>
      </c>
      <c r="C68" s="344">
        <v>29767.06</v>
      </c>
      <c r="D68" s="89"/>
      <c r="E68" s="89"/>
      <c r="F68" s="89"/>
      <c r="G68" s="404"/>
      <c r="H68" s="404"/>
      <c r="I68" s="89"/>
      <c r="J68" s="89"/>
      <c r="K68" s="89"/>
      <c r="L68" s="89"/>
      <c r="M68" s="89"/>
      <c r="N68" s="89"/>
      <c r="O68" s="308"/>
    </row>
    <row r="69" spans="1:15" ht="15">
      <c r="B69" s="101" t="s">
        <v>211</v>
      </c>
      <c r="C69" s="344">
        <v>26046.12</v>
      </c>
      <c r="D69" s="277"/>
      <c r="E69" s="277"/>
      <c r="F69" s="277"/>
      <c r="G69" s="404"/>
      <c r="H69" s="404"/>
      <c r="I69" s="277"/>
      <c r="J69" s="277"/>
      <c r="K69" s="277"/>
      <c r="L69" s="277"/>
      <c r="M69" s="284"/>
      <c r="N69" s="277"/>
      <c r="O69" s="308"/>
    </row>
    <row r="70" spans="1:15" ht="15">
      <c r="A70" s="226"/>
      <c r="B70" s="228" t="s">
        <v>224</v>
      </c>
      <c r="C70" s="344">
        <v>1307.54</v>
      </c>
      <c r="D70" s="227"/>
      <c r="E70" s="227"/>
      <c r="F70" s="227"/>
      <c r="G70" s="237"/>
      <c r="H70" s="237"/>
      <c r="I70" s="227"/>
      <c r="J70" s="227"/>
      <c r="K70" s="227"/>
      <c r="L70" s="227"/>
      <c r="M70" s="227"/>
      <c r="N70" s="227"/>
      <c r="O70" s="329"/>
    </row>
    <row r="71" spans="1:15" ht="15.75" thickBot="1">
      <c r="A71" s="226"/>
      <c r="B71" s="228" t="s">
        <v>223</v>
      </c>
      <c r="C71" s="345">
        <v>1204.01</v>
      </c>
      <c r="D71" s="227"/>
      <c r="E71" s="227"/>
      <c r="F71" s="227"/>
      <c r="G71" s="237"/>
      <c r="H71" s="237"/>
      <c r="I71" s="227"/>
      <c r="J71" s="227"/>
      <c r="K71" s="227"/>
      <c r="L71" s="227"/>
      <c r="M71" s="227"/>
      <c r="N71" s="227"/>
      <c r="O71" s="329"/>
    </row>
    <row r="72" spans="1:15" s="278" customFormat="1" ht="15.75" thickBot="1">
      <c r="B72" s="279" t="s">
        <v>227</v>
      </c>
      <c r="C72" s="280"/>
      <c r="D72" s="280"/>
      <c r="E72" s="280"/>
      <c r="F72" s="280"/>
      <c r="G72" s="388"/>
      <c r="H72" s="388"/>
      <c r="I72" s="280"/>
      <c r="J72" s="280"/>
      <c r="K72" s="280"/>
      <c r="L72" s="280"/>
      <c r="M72" s="235">
        <f>348.94+156.06</f>
        <v>505</v>
      </c>
      <c r="N72" s="280"/>
      <c r="O72" s="328"/>
    </row>
    <row r="74" spans="1:15" ht="15.75" thickBot="1">
      <c r="A74" s="100" t="s">
        <v>146</v>
      </c>
    </row>
    <row r="75" spans="1:15" ht="15">
      <c r="B75" s="101" t="s">
        <v>91</v>
      </c>
      <c r="C75" s="203">
        <f>TRUNC((C58)*5%,2)</f>
        <v>40.520000000000003</v>
      </c>
      <c r="D75" s="199">
        <f>TRUNC((D58)*5%,2)-0.01</f>
        <v>29.229999999999997</v>
      </c>
      <c r="E75" s="199">
        <f t="shared" ref="E75:O75" si="3">TRUNC((E58)*5%,2)</f>
        <v>24.11</v>
      </c>
      <c r="F75" s="199">
        <f t="shared" si="3"/>
        <v>20.91</v>
      </c>
      <c r="G75" s="417">
        <f t="shared" si="3"/>
        <v>20.91</v>
      </c>
      <c r="H75" s="417">
        <f t="shared" si="3"/>
        <v>20.91</v>
      </c>
      <c r="I75" s="199">
        <f t="shared" si="3"/>
        <v>29.85</v>
      </c>
      <c r="J75" s="199">
        <f t="shared" si="3"/>
        <v>25.61</v>
      </c>
      <c r="K75" s="199">
        <f t="shared" si="3"/>
        <v>30.71</v>
      </c>
      <c r="L75" s="200">
        <f t="shared" si="3"/>
        <v>24.84</v>
      </c>
      <c r="M75" s="289">
        <f t="shared" si="3"/>
        <v>28.11</v>
      </c>
      <c r="N75" s="411">
        <v>35.36</v>
      </c>
      <c r="O75" s="305">
        <f t="shared" si="3"/>
        <v>35.619999999999997</v>
      </c>
    </row>
    <row r="76" spans="1:15" ht="15">
      <c r="B76" s="101" t="s">
        <v>66</v>
      </c>
      <c r="C76" s="281">
        <f>TRUNC((C60)*5%,2)</f>
        <v>56.94</v>
      </c>
      <c r="D76" s="270">
        <f>TRUNC((D60)*5%,2)-0.01</f>
        <v>50.230000000000004</v>
      </c>
      <c r="E76" s="245">
        <f t="shared" ref="E76:O76" si="4">TRUNC((E60)*5%,2)</f>
        <v>46.05</v>
      </c>
      <c r="F76" s="294">
        <f>TRUNC((F60)*5%,2)-0.01</f>
        <v>37.6</v>
      </c>
      <c r="G76" s="416">
        <f t="shared" ref="G76:H76" si="5">TRUNC((G60)*5%,2)-0.01</f>
        <v>37.6</v>
      </c>
      <c r="H76" s="416">
        <f t="shared" si="5"/>
        <v>37.6</v>
      </c>
      <c r="I76" s="192">
        <f t="shared" si="4"/>
        <v>46.37</v>
      </c>
      <c r="J76" s="192">
        <f t="shared" si="4"/>
        <v>45.13</v>
      </c>
      <c r="K76" s="248">
        <f>TRUNC((K60)*5%,2)-0.01</f>
        <v>53.65</v>
      </c>
      <c r="L76" s="399">
        <v>41.56</v>
      </c>
      <c r="M76" s="192">
        <f t="shared" si="4"/>
        <v>46.63</v>
      </c>
      <c r="N76" s="410">
        <v>58.67</v>
      </c>
      <c r="O76" s="325">
        <f t="shared" si="4"/>
        <v>0</v>
      </c>
    </row>
    <row r="77" spans="1:15" ht="15">
      <c r="B77" s="101" t="s">
        <v>67</v>
      </c>
      <c r="C77" s="347">
        <v>62.25</v>
      </c>
      <c r="D77" s="270">
        <v>60.44</v>
      </c>
      <c r="E77" s="429">
        <v>49.55</v>
      </c>
      <c r="F77" s="85"/>
      <c r="G77" s="412"/>
      <c r="H77" s="412"/>
      <c r="I77" s="85"/>
      <c r="J77" s="85"/>
      <c r="K77" s="85"/>
      <c r="L77" s="399">
        <v>47.32</v>
      </c>
      <c r="M77" s="85"/>
      <c r="N77" s="85"/>
      <c r="O77" s="307"/>
    </row>
    <row r="78" spans="1:15" ht="15">
      <c r="B78" s="101" t="s">
        <v>68</v>
      </c>
      <c r="C78" s="347">
        <v>2981.88</v>
      </c>
      <c r="D78" s="271">
        <v>2642.44</v>
      </c>
      <c r="E78" s="85"/>
      <c r="F78" s="272">
        <f>2467.76*0+2467.75</f>
        <v>2467.75</v>
      </c>
      <c r="G78" s="412"/>
      <c r="H78" s="412"/>
      <c r="I78" s="423">
        <v>1854.8</v>
      </c>
      <c r="J78" s="85"/>
      <c r="K78" s="385">
        <v>2479.6</v>
      </c>
      <c r="L78" s="399">
        <v>3096.91</v>
      </c>
      <c r="M78" s="85"/>
      <c r="N78" s="85"/>
      <c r="O78" s="307"/>
    </row>
    <row r="79" spans="1:15" ht="15">
      <c r="B79" s="101" t="s">
        <v>164</v>
      </c>
      <c r="C79" s="346"/>
      <c r="D79" s="85"/>
      <c r="E79" s="85"/>
      <c r="F79" s="85"/>
      <c r="G79" s="412"/>
      <c r="H79" s="412"/>
      <c r="I79" s="85"/>
      <c r="J79" s="85"/>
      <c r="K79" s="384"/>
      <c r="L79" s="85"/>
      <c r="M79" s="192">
        <v>1626.56</v>
      </c>
      <c r="N79" s="85"/>
      <c r="O79" s="307"/>
    </row>
    <row r="80" spans="1:15" ht="15">
      <c r="B80" s="101" t="s">
        <v>69</v>
      </c>
      <c r="C80" s="347">
        <v>2240.1</v>
      </c>
      <c r="D80" s="85"/>
      <c r="E80" s="85"/>
      <c r="F80" s="85"/>
      <c r="G80" s="412"/>
      <c r="H80" s="412"/>
      <c r="I80" s="85"/>
      <c r="J80" s="85"/>
      <c r="K80" s="384"/>
      <c r="L80" s="85"/>
      <c r="M80" s="85"/>
      <c r="N80" s="85"/>
      <c r="O80" s="307"/>
    </row>
    <row r="81" spans="1:15" ht="15">
      <c r="B81" s="101" t="s">
        <v>122</v>
      </c>
      <c r="C81" s="347">
        <v>2094.2799999999997</v>
      </c>
      <c r="D81" s="85"/>
      <c r="E81" s="283"/>
      <c r="F81" s="260">
        <f>TRUNC((F65)*5%,2)</f>
        <v>1675.5</v>
      </c>
      <c r="G81" s="412"/>
      <c r="H81" s="412"/>
      <c r="I81" s="85"/>
      <c r="J81" s="85"/>
      <c r="K81" s="384"/>
      <c r="L81" s="85"/>
      <c r="M81" s="85"/>
      <c r="N81" s="85"/>
      <c r="O81" s="307"/>
    </row>
    <row r="82" spans="1:15" ht="15">
      <c r="B82" s="101" t="s">
        <v>94</v>
      </c>
      <c r="C82" s="350">
        <v>1416.1</v>
      </c>
      <c r="D82" s="404"/>
      <c r="E82" s="430"/>
      <c r="F82" s="430">
        <f>TRUNC((F66)*5%,2)-0.01</f>
        <v>1226.24</v>
      </c>
      <c r="G82" s="412"/>
      <c r="H82" s="412"/>
      <c r="I82" s="404"/>
      <c r="J82" s="404"/>
      <c r="K82" s="393">
        <v>2558.8000000000002</v>
      </c>
      <c r="L82" s="399"/>
      <c r="M82" s="399"/>
      <c r="N82" s="399"/>
      <c r="O82" s="307"/>
    </row>
    <row r="83" spans="1:15" ht="15">
      <c r="B83" s="101" t="s">
        <v>70</v>
      </c>
      <c r="C83" s="347">
        <v>3084.44</v>
      </c>
      <c r="D83" s="85"/>
      <c r="E83" s="85"/>
      <c r="F83" s="85"/>
      <c r="G83" s="412"/>
      <c r="H83" s="412"/>
      <c r="I83" s="85"/>
      <c r="J83" s="85"/>
      <c r="K83" s="85"/>
      <c r="L83" s="85"/>
      <c r="M83" s="85"/>
      <c r="N83" s="85"/>
      <c r="O83" s="307"/>
    </row>
    <row r="84" spans="1:15" ht="15">
      <c r="B84" s="101" t="s">
        <v>154</v>
      </c>
      <c r="C84" s="347">
        <v>1488.3400000000001</v>
      </c>
      <c r="D84" s="89"/>
      <c r="E84" s="89"/>
      <c r="F84" s="85"/>
      <c r="G84" s="404"/>
      <c r="H84" s="404"/>
      <c r="I84" s="89"/>
      <c r="J84" s="89"/>
      <c r="K84" s="89"/>
      <c r="L84" s="89"/>
      <c r="M84" s="89"/>
      <c r="N84" s="89"/>
      <c r="O84" s="308"/>
    </row>
    <row r="85" spans="1:15" ht="15">
      <c r="B85" s="101" t="s">
        <v>155</v>
      </c>
      <c r="C85" s="347">
        <v>1302.28</v>
      </c>
      <c r="D85" s="284"/>
      <c r="E85" s="284"/>
      <c r="F85" s="284"/>
      <c r="G85" s="404"/>
      <c r="H85" s="404"/>
      <c r="I85" s="284"/>
      <c r="J85" s="284"/>
      <c r="K85" s="284"/>
      <c r="L85" s="284"/>
      <c r="M85" s="284"/>
      <c r="N85" s="284"/>
      <c r="O85" s="308"/>
    </row>
    <row r="86" spans="1:15" ht="15">
      <c r="A86" s="229"/>
      <c r="B86" s="231" t="s">
        <v>222</v>
      </c>
      <c r="C86" s="347">
        <v>65.37</v>
      </c>
      <c r="D86" s="230"/>
      <c r="E86" s="230"/>
      <c r="F86" s="230"/>
      <c r="G86" s="237"/>
      <c r="H86" s="237"/>
      <c r="I86" s="230"/>
      <c r="J86" s="230"/>
      <c r="K86" s="230"/>
      <c r="L86" s="230"/>
      <c r="M86" s="230"/>
      <c r="N86" s="230"/>
      <c r="O86" s="329"/>
    </row>
    <row r="87" spans="1:15" ht="15.75" thickBot="1">
      <c r="A87" s="229"/>
      <c r="B87" s="231" t="s">
        <v>221</v>
      </c>
      <c r="C87" s="348">
        <v>60.2</v>
      </c>
      <c r="D87" s="230"/>
      <c r="E87" s="230"/>
      <c r="F87" s="230"/>
      <c r="G87" s="237"/>
      <c r="H87" s="237"/>
      <c r="I87" s="230"/>
      <c r="J87" s="230"/>
      <c r="K87" s="230"/>
      <c r="L87" s="230"/>
      <c r="M87" s="230"/>
      <c r="N87" s="230"/>
      <c r="O87" s="329"/>
    </row>
    <row r="88" spans="1:15" s="285" customFormat="1" ht="15.75" thickBot="1">
      <c r="B88" s="279" t="s">
        <v>228</v>
      </c>
      <c r="C88" s="287"/>
      <c r="D88" s="287"/>
      <c r="E88" s="287"/>
      <c r="F88" s="287"/>
      <c r="G88" s="388"/>
      <c r="H88" s="388"/>
      <c r="I88" s="287"/>
      <c r="J88" s="287"/>
      <c r="K88" s="287"/>
      <c r="L88" s="287"/>
      <c r="M88" s="235">
        <v>25.25</v>
      </c>
      <c r="N88" s="287"/>
      <c r="O88" s="328"/>
    </row>
    <row r="89" spans="1:15" ht="6.75" customHeight="1">
      <c r="A89" s="95"/>
      <c r="B89" s="98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303"/>
    </row>
    <row r="90" spans="1:15" ht="15.75" thickBot="1">
      <c r="A90" s="400" t="s">
        <v>274</v>
      </c>
    </row>
    <row r="91" spans="1:15" ht="15">
      <c r="B91" s="101" t="s">
        <v>91</v>
      </c>
      <c r="C91" s="202">
        <v>6.76</v>
      </c>
      <c r="D91" s="208">
        <v>4.76</v>
      </c>
      <c r="E91" s="208">
        <v>6.76</v>
      </c>
      <c r="F91" s="208">
        <v>6.76</v>
      </c>
      <c r="G91" s="208">
        <v>6.76</v>
      </c>
      <c r="H91" s="208">
        <v>6.76</v>
      </c>
      <c r="I91" s="208">
        <v>6.76</v>
      </c>
      <c r="J91" s="208">
        <v>6.76</v>
      </c>
      <c r="K91" s="208">
        <v>6.76</v>
      </c>
      <c r="L91" s="208">
        <v>6.76</v>
      </c>
      <c r="M91" s="208">
        <v>6.76</v>
      </c>
      <c r="N91" s="208">
        <v>6.76</v>
      </c>
      <c r="O91" s="330">
        <v>6.14</v>
      </c>
    </row>
    <row r="92" spans="1:15" ht="15">
      <c r="B92" s="101" t="s">
        <v>66</v>
      </c>
      <c r="C92" s="211">
        <v>6.76</v>
      </c>
      <c r="D92" s="212">
        <v>4.76</v>
      </c>
      <c r="E92" s="212">
        <v>6.76</v>
      </c>
      <c r="F92" s="212">
        <v>6.76</v>
      </c>
      <c r="G92" s="419">
        <v>6.76</v>
      </c>
      <c r="H92" s="419">
        <v>6.76</v>
      </c>
      <c r="I92" s="212">
        <v>6.76</v>
      </c>
      <c r="J92" s="212">
        <v>6.76</v>
      </c>
      <c r="K92" s="212">
        <v>6.76</v>
      </c>
      <c r="L92" s="212">
        <v>6.76</v>
      </c>
      <c r="M92" s="212">
        <v>6.76</v>
      </c>
      <c r="N92" s="212">
        <v>6.76</v>
      </c>
      <c r="O92" s="307"/>
    </row>
    <row r="93" spans="1:15" ht="15">
      <c r="B93" s="101" t="s">
        <v>67</v>
      </c>
      <c r="C93" s="352">
        <v>6.76</v>
      </c>
      <c r="D93" s="111">
        <v>4.76</v>
      </c>
      <c r="E93" s="419">
        <v>6.76</v>
      </c>
      <c r="F93" s="85"/>
      <c r="G93" s="412"/>
      <c r="H93" s="412"/>
      <c r="I93" s="85"/>
      <c r="J93" s="85"/>
      <c r="K93" s="85"/>
      <c r="L93" s="419">
        <v>6.76</v>
      </c>
      <c r="M93" s="85"/>
      <c r="N93" s="85"/>
      <c r="O93" s="307"/>
    </row>
    <row r="94" spans="1:15" ht="15">
      <c r="A94" s="177"/>
      <c r="B94" s="291" t="s">
        <v>240</v>
      </c>
      <c r="C94" s="350">
        <v>270.39999999999998</v>
      </c>
      <c r="D94" s="189">
        <v>190.4</v>
      </c>
      <c r="E94" s="85"/>
      <c r="F94" s="212">
        <v>216.32</v>
      </c>
      <c r="G94" s="412"/>
      <c r="H94" s="412"/>
      <c r="I94" s="415">
        <v>270.39999999999998</v>
      </c>
      <c r="J94" s="85"/>
      <c r="K94" s="192">
        <v>190.4</v>
      </c>
      <c r="L94" s="192">
        <v>338</v>
      </c>
      <c r="M94" s="85"/>
      <c r="N94" s="85"/>
      <c r="O94" s="307"/>
    </row>
    <row r="95" spans="1:15" ht="15">
      <c r="B95" s="291" t="s">
        <v>241</v>
      </c>
      <c r="C95" s="349"/>
      <c r="D95" s="85"/>
      <c r="E95" s="85"/>
      <c r="F95" s="261"/>
      <c r="G95" s="412"/>
      <c r="H95" s="412"/>
      <c r="I95" s="85"/>
      <c r="J95" s="85"/>
      <c r="K95" s="85"/>
      <c r="L95" s="85"/>
      <c r="M95" s="419">
        <f>6.76</f>
        <v>6.76</v>
      </c>
      <c r="N95" s="85"/>
      <c r="O95" s="307"/>
    </row>
    <row r="96" spans="1:15" ht="15">
      <c r="A96" s="177"/>
      <c r="B96" s="291" t="s">
        <v>242</v>
      </c>
      <c r="C96" s="350">
        <v>270.39999999999998</v>
      </c>
      <c r="D96" s="85"/>
      <c r="E96" s="85"/>
      <c r="F96" s="261"/>
      <c r="G96" s="412"/>
      <c r="H96" s="412"/>
      <c r="I96" s="85"/>
      <c r="J96" s="85"/>
      <c r="K96" s="85"/>
      <c r="L96" s="85"/>
      <c r="M96" s="85"/>
      <c r="N96" s="85"/>
      <c r="O96" s="307"/>
    </row>
    <row r="97" spans="1:16" ht="15">
      <c r="A97" s="177"/>
      <c r="B97" s="291" t="s">
        <v>243</v>
      </c>
      <c r="C97" s="350">
        <v>243.36</v>
      </c>
      <c r="D97" s="89"/>
      <c r="E97" s="412"/>
      <c r="F97" s="212">
        <v>216.32</v>
      </c>
      <c r="G97" s="412"/>
      <c r="H97" s="412"/>
      <c r="I97" s="89"/>
      <c r="J97" s="89"/>
      <c r="K97" s="89"/>
      <c r="L97" s="89"/>
      <c r="M97" s="89"/>
      <c r="N97" s="89"/>
      <c r="O97" s="308"/>
    </row>
    <row r="98" spans="1:16" ht="15">
      <c r="A98" s="177"/>
      <c r="B98" s="291" t="s">
        <v>244</v>
      </c>
      <c r="C98" s="350">
        <v>263.64</v>
      </c>
      <c r="D98" s="404"/>
      <c r="E98" s="430"/>
      <c r="F98" s="430">
        <v>216.32</v>
      </c>
      <c r="G98" s="412"/>
      <c r="H98" s="412"/>
      <c r="I98" s="404"/>
      <c r="J98" s="404"/>
      <c r="K98" s="393">
        <v>270.39999999999998</v>
      </c>
      <c r="L98" s="399"/>
      <c r="M98" s="399"/>
      <c r="N98" s="399"/>
      <c r="O98" s="308"/>
    </row>
    <row r="99" spans="1:16" ht="15">
      <c r="A99" s="177"/>
      <c r="B99" s="291" t="s">
        <v>245</v>
      </c>
      <c r="C99" s="350">
        <v>270.39999999999998</v>
      </c>
      <c r="D99" s="89"/>
      <c r="E99" s="89"/>
      <c r="F99" s="89"/>
      <c r="G99" s="404"/>
      <c r="H99" s="404"/>
      <c r="I99" s="89"/>
      <c r="J99" s="89"/>
      <c r="K99" s="89"/>
      <c r="L99" s="89"/>
      <c r="M99" s="89"/>
      <c r="N99" s="89"/>
      <c r="O99" s="308"/>
    </row>
    <row r="100" spans="1:16" ht="15">
      <c r="A100" s="177"/>
      <c r="B100" s="291" t="s">
        <v>246</v>
      </c>
      <c r="C100" s="350">
        <v>162.24</v>
      </c>
      <c r="D100" s="89"/>
      <c r="E100" s="89"/>
      <c r="F100" s="89"/>
      <c r="G100" s="404"/>
      <c r="H100" s="404"/>
      <c r="I100" s="89"/>
      <c r="J100" s="89"/>
      <c r="K100" s="89"/>
      <c r="L100" s="89"/>
      <c r="M100" s="89"/>
      <c r="N100" s="89"/>
      <c r="O100" s="308"/>
    </row>
    <row r="101" spans="1:16" ht="15">
      <c r="A101" s="177"/>
      <c r="B101" s="291" t="s">
        <v>239</v>
      </c>
      <c r="C101" s="350">
        <v>141.96</v>
      </c>
      <c r="D101" s="284"/>
      <c r="E101" s="284"/>
      <c r="F101" s="284"/>
      <c r="G101" s="404"/>
      <c r="H101" s="404"/>
      <c r="I101" s="284"/>
      <c r="J101" s="284"/>
      <c r="K101" s="284"/>
      <c r="L101" s="284"/>
      <c r="M101" s="284"/>
      <c r="N101" s="284"/>
      <c r="O101" s="308"/>
    </row>
    <row r="102" spans="1:16" ht="15">
      <c r="A102" s="232"/>
      <c r="B102" s="234" t="s">
        <v>222</v>
      </c>
      <c r="C102" s="350">
        <v>6.76</v>
      </c>
      <c r="D102" s="233"/>
      <c r="E102" s="233"/>
      <c r="F102" s="233"/>
      <c r="G102" s="237"/>
      <c r="H102" s="237"/>
      <c r="I102" s="233"/>
      <c r="J102" s="233"/>
      <c r="K102" s="233"/>
      <c r="L102" s="233"/>
      <c r="M102" s="233"/>
      <c r="N102" s="233"/>
      <c r="O102" s="329"/>
    </row>
    <row r="103" spans="1:16" ht="15.75" thickBot="1">
      <c r="A103" s="232"/>
      <c r="B103" s="234" t="s">
        <v>221</v>
      </c>
      <c r="C103" s="351">
        <v>6.76</v>
      </c>
      <c r="D103" s="233"/>
      <c r="E103" s="233"/>
      <c r="F103" s="233"/>
      <c r="G103" s="237"/>
      <c r="H103" s="237"/>
      <c r="I103" s="233"/>
      <c r="J103" s="233"/>
      <c r="K103" s="233"/>
      <c r="L103" s="233"/>
      <c r="M103" s="233"/>
      <c r="N103" s="233"/>
      <c r="O103" s="329"/>
    </row>
    <row r="104" spans="1:16" s="285" customFormat="1" ht="15.75" thickBot="1">
      <c r="B104" s="279" t="s">
        <v>228</v>
      </c>
      <c r="C104" s="287"/>
      <c r="D104" s="287"/>
      <c r="E104" s="287"/>
      <c r="F104" s="287"/>
      <c r="G104" s="388"/>
      <c r="H104" s="388"/>
      <c r="I104" s="287"/>
      <c r="J104" s="287"/>
      <c r="K104" s="287"/>
      <c r="L104" s="287"/>
      <c r="M104" s="235">
        <v>6.76</v>
      </c>
      <c r="N104" s="287"/>
      <c r="O104" s="328"/>
    </row>
    <row r="105" spans="1:16" ht="15">
      <c r="A105" s="100" t="s">
        <v>72</v>
      </c>
      <c r="D105" s="190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324"/>
      <c r="P105" s="112"/>
    </row>
    <row r="106" spans="1:16" ht="15.75" thickBot="1">
      <c r="A106" s="100" t="s">
        <v>73</v>
      </c>
      <c r="D106" s="182"/>
    </row>
    <row r="107" spans="1:16" ht="15">
      <c r="B107" s="101" t="s">
        <v>74</v>
      </c>
      <c r="C107" s="358">
        <v>16.059999999999999</v>
      </c>
      <c r="D107" s="199">
        <v>12.24</v>
      </c>
      <c r="E107" s="199">
        <v>10.5</v>
      </c>
      <c r="F107" s="199">
        <v>11.71</v>
      </c>
      <c r="G107" s="417">
        <v>25.05</v>
      </c>
      <c r="H107" s="417">
        <v>20.190000000000001</v>
      </c>
      <c r="I107" s="199">
        <v>12.32</v>
      </c>
      <c r="J107" s="199">
        <v>13.3</v>
      </c>
      <c r="K107" s="391">
        <v>10.79</v>
      </c>
      <c r="L107" s="199">
        <v>12.87</v>
      </c>
      <c r="M107" s="199">
        <v>14.47</v>
      </c>
      <c r="N107" s="199">
        <v>11.24</v>
      </c>
      <c r="O107" s="305">
        <v>16.649999999999999</v>
      </c>
    </row>
    <row r="108" spans="1:16" ht="15.75" thickBot="1">
      <c r="B108" s="101" t="s">
        <v>199</v>
      </c>
      <c r="C108" s="354"/>
      <c r="D108" s="104"/>
      <c r="E108" s="104"/>
      <c r="F108" s="209">
        <v>7</v>
      </c>
      <c r="G108" s="388"/>
      <c r="H108" s="388"/>
      <c r="I108" s="104"/>
      <c r="J108" s="104"/>
      <c r="K108" s="388"/>
      <c r="L108" s="104"/>
      <c r="M108" s="104"/>
      <c r="N108" s="104"/>
      <c r="O108" s="323"/>
    </row>
    <row r="109" spans="1:16" ht="15.75" thickBot="1">
      <c r="A109" s="100" t="s">
        <v>76</v>
      </c>
      <c r="C109" s="355"/>
      <c r="D109" s="191"/>
      <c r="E109" s="191"/>
      <c r="F109" s="120"/>
      <c r="G109" s="389"/>
      <c r="H109" s="389"/>
      <c r="I109" s="120"/>
      <c r="J109" s="120"/>
      <c r="K109" s="389"/>
      <c r="L109" s="120"/>
      <c r="M109" s="120"/>
      <c r="N109" s="120"/>
      <c r="O109" s="322"/>
    </row>
    <row r="110" spans="1:16" ht="15">
      <c r="B110" s="101" t="s">
        <v>74</v>
      </c>
      <c r="C110" s="356">
        <v>1.9</v>
      </c>
      <c r="D110" s="199">
        <v>7.54</v>
      </c>
      <c r="E110" s="199">
        <f>12.62+1.35</f>
        <v>13.969999999999999</v>
      </c>
      <c r="F110" s="199">
        <v>14.46</v>
      </c>
      <c r="G110" s="417">
        <v>2.4500000000000002</v>
      </c>
      <c r="H110" s="417">
        <v>4.2300000000000004</v>
      </c>
      <c r="I110" s="199">
        <v>17.27</v>
      </c>
      <c r="J110" s="199">
        <v>19.39</v>
      </c>
      <c r="K110" s="391">
        <v>13.44</v>
      </c>
      <c r="L110" s="199">
        <v>14.1</v>
      </c>
      <c r="M110" s="199">
        <v>14.33</v>
      </c>
      <c r="N110" s="417">
        <v>12.79</v>
      </c>
      <c r="O110" s="305">
        <f>4.97*0+6.28</f>
        <v>6.28</v>
      </c>
    </row>
    <row r="111" spans="1:16" ht="21.6" customHeight="1">
      <c r="B111" s="121" t="s">
        <v>99</v>
      </c>
      <c r="C111" s="353"/>
      <c r="D111" s="85"/>
      <c r="E111" s="85"/>
      <c r="F111" s="85"/>
      <c r="G111" s="404"/>
      <c r="H111" s="404"/>
      <c r="I111" s="89"/>
      <c r="J111" s="89"/>
      <c r="K111" s="387"/>
      <c r="L111" s="206">
        <v>2</v>
      </c>
      <c r="M111" s="206">
        <v>2</v>
      </c>
      <c r="N111" s="418">
        <v>4</v>
      </c>
      <c r="O111" s="307"/>
    </row>
    <row r="112" spans="1:16" ht="15">
      <c r="B112" s="101" t="s">
        <v>100</v>
      </c>
      <c r="C112" s="357">
        <v>1.9</v>
      </c>
      <c r="D112" s="206">
        <f>SUM(D110:D111)</f>
        <v>7.54</v>
      </c>
      <c r="E112" s="206">
        <f t="shared" ref="E112:L112" si="6">SUM(E110:E111)</f>
        <v>13.969999999999999</v>
      </c>
      <c r="F112" s="206">
        <f t="shared" si="6"/>
        <v>14.46</v>
      </c>
      <c r="G112" s="418">
        <v>2.4500000000000002</v>
      </c>
      <c r="H112" s="418">
        <v>4.2300000000000004</v>
      </c>
      <c r="I112" s="206">
        <f t="shared" si="6"/>
        <v>17.27</v>
      </c>
      <c r="J112" s="206">
        <f t="shared" si="6"/>
        <v>19.39</v>
      </c>
      <c r="K112" s="392">
        <v>13.44</v>
      </c>
      <c r="L112" s="206">
        <f t="shared" si="6"/>
        <v>16.100000000000001</v>
      </c>
      <c r="M112" s="206">
        <v>16.329999999999998</v>
      </c>
      <c r="N112" s="418">
        <v>16.79</v>
      </c>
      <c r="O112" s="326">
        <f>SUM(O110:O111)</f>
        <v>6.28</v>
      </c>
    </row>
    <row r="113" spans="1:15" ht="15.75" thickBot="1">
      <c r="B113" s="101" t="s">
        <v>199</v>
      </c>
      <c r="C113" s="354"/>
      <c r="D113" s="104"/>
      <c r="E113" s="104"/>
      <c r="F113" s="209">
        <v>10</v>
      </c>
      <c r="G113" s="209">
        <v>5</v>
      </c>
      <c r="H113" s="209">
        <v>5</v>
      </c>
      <c r="I113" s="104"/>
      <c r="J113" s="104"/>
      <c r="K113" s="388"/>
      <c r="L113" s="209">
        <v>10</v>
      </c>
      <c r="M113" s="104"/>
      <c r="N113" s="104"/>
      <c r="O113" s="328"/>
    </row>
    <row r="114" spans="1:15" ht="15.75" thickBot="1">
      <c r="A114" s="100" t="s">
        <v>77</v>
      </c>
      <c r="C114" s="355"/>
      <c r="D114" s="191"/>
      <c r="E114" s="191"/>
      <c r="F114" s="120"/>
      <c r="G114" s="389"/>
      <c r="H114" s="389"/>
      <c r="I114" s="120"/>
      <c r="J114" s="120"/>
      <c r="K114" s="389"/>
      <c r="L114" s="120"/>
      <c r="M114" s="120"/>
      <c r="N114" s="120"/>
      <c r="O114" s="322"/>
    </row>
    <row r="115" spans="1:15" ht="15">
      <c r="B115" s="101" t="s">
        <v>74</v>
      </c>
      <c r="C115" s="356">
        <v>13.82</v>
      </c>
      <c r="D115" s="199">
        <v>13.42</v>
      </c>
      <c r="E115" s="417">
        <v>6.91</v>
      </c>
      <c r="F115" s="199">
        <v>9.73</v>
      </c>
      <c r="G115" s="417">
        <v>3.9</v>
      </c>
      <c r="H115" s="417">
        <v>4.03</v>
      </c>
      <c r="I115" s="199">
        <f>8.97*0+9.42</f>
        <v>9.42</v>
      </c>
      <c r="J115" s="199">
        <v>7.23</v>
      </c>
      <c r="K115" s="391">
        <v>10.3</v>
      </c>
      <c r="L115" s="215"/>
      <c r="M115" s="199">
        <v>9.76</v>
      </c>
      <c r="N115" s="199">
        <v>8.7899999999999991</v>
      </c>
      <c r="O115" s="305">
        <v>4.58</v>
      </c>
    </row>
    <row r="116" spans="1:15" ht="15.75" thickBot="1">
      <c r="B116" s="101" t="s">
        <v>199</v>
      </c>
      <c r="C116" s="354"/>
      <c r="D116" s="104"/>
      <c r="E116" s="209">
        <f>59*0+0</f>
        <v>0</v>
      </c>
      <c r="F116" s="104"/>
      <c r="G116" s="388"/>
      <c r="H116" s="388"/>
      <c r="I116" s="104"/>
      <c r="J116" s="104"/>
      <c r="K116" s="388"/>
      <c r="L116" s="209">
        <v>83.19</v>
      </c>
      <c r="M116" s="104"/>
      <c r="N116" s="104"/>
      <c r="O116" s="328"/>
    </row>
    <row r="117" spans="1:15" ht="15.75" thickBot="1">
      <c r="A117" s="100" t="s">
        <v>78</v>
      </c>
      <c r="C117" s="355"/>
      <c r="D117" s="191"/>
      <c r="E117" s="120"/>
      <c r="F117" s="120"/>
      <c r="G117" s="389"/>
      <c r="H117" s="389"/>
      <c r="I117" s="120"/>
      <c r="J117" s="120"/>
      <c r="K117" s="389"/>
      <c r="L117" s="120"/>
      <c r="M117" s="120"/>
      <c r="N117" s="120"/>
      <c r="O117" s="322"/>
    </row>
    <row r="118" spans="1:15" ht="15.75" thickBot="1">
      <c r="B118" s="101" t="s">
        <v>74</v>
      </c>
      <c r="C118" s="356">
        <v>8.41</v>
      </c>
      <c r="D118" s="205">
        <v>8.9</v>
      </c>
      <c r="E118" s="130"/>
      <c r="F118" s="199">
        <v>3</v>
      </c>
      <c r="G118" s="417">
        <v>2.25</v>
      </c>
      <c r="H118" s="215"/>
      <c r="I118" s="215"/>
      <c r="J118" s="199">
        <v>8</v>
      </c>
      <c r="K118" s="391">
        <v>9.1</v>
      </c>
      <c r="L118" s="215"/>
      <c r="M118" s="199">
        <v>4.08</v>
      </c>
      <c r="N118" s="199">
        <v>8.6999999999999993</v>
      </c>
      <c r="O118" s="215"/>
    </row>
    <row r="119" spans="1:15" ht="15.75" thickBot="1">
      <c r="B119" s="101" t="s">
        <v>199</v>
      </c>
      <c r="C119" s="104"/>
      <c r="D119" s="104"/>
      <c r="E119" s="210">
        <v>65</v>
      </c>
      <c r="F119" s="104"/>
      <c r="G119" s="160"/>
      <c r="H119" s="160"/>
      <c r="I119" s="210">
        <f>64.9*0+76.9</f>
        <v>76.900000000000006</v>
      </c>
      <c r="J119" s="104"/>
      <c r="K119" s="104"/>
      <c r="L119" s="210">
        <v>88.94</v>
      </c>
      <c r="M119" s="104"/>
      <c r="N119" s="104"/>
      <c r="O119" s="328"/>
    </row>
    <row r="120" spans="1:15" ht="15.75" thickBot="1">
      <c r="B120" s="101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321"/>
    </row>
    <row r="121" spans="1:15" ht="15.75" thickBot="1">
      <c r="A121" s="100" t="s">
        <v>197</v>
      </c>
      <c r="C121" s="16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320"/>
    </row>
    <row r="122" spans="1:15" ht="15">
      <c r="B122" s="291" t="s">
        <v>229</v>
      </c>
      <c r="C122" s="102"/>
      <c r="D122" s="85"/>
      <c r="E122" s="85"/>
      <c r="F122" s="206">
        <v>1</v>
      </c>
      <c r="G122" s="418">
        <v>1</v>
      </c>
      <c r="H122" s="412"/>
      <c r="I122" s="85"/>
      <c r="J122" s="289">
        <v>0.75</v>
      </c>
      <c r="K122" s="85"/>
      <c r="L122" s="85"/>
      <c r="M122" s="85"/>
      <c r="N122" s="85"/>
      <c r="O122" s="326">
        <v>1</v>
      </c>
    </row>
    <row r="123" spans="1:15" ht="15">
      <c r="B123" s="101" t="s">
        <v>198</v>
      </c>
      <c r="C123" s="102"/>
      <c r="D123" s="85"/>
      <c r="E123" s="85"/>
      <c r="F123" s="85"/>
      <c r="G123" s="412"/>
      <c r="H123" s="412"/>
      <c r="I123" s="85"/>
      <c r="J123" s="85"/>
      <c r="K123" s="85"/>
      <c r="L123" s="85"/>
      <c r="M123" s="206">
        <v>5.16</v>
      </c>
      <c r="N123" s="85"/>
      <c r="O123" s="307"/>
    </row>
    <row r="124" spans="1:15" ht="15">
      <c r="B124" s="101" t="s">
        <v>202</v>
      </c>
      <c r="C124" s="102"/>
      <c r="D124" s="85"/>
      <c r="E124" s="85"/>
      <c r="F124" s="85"/>
      <c r="G124" s="412"/>
      <c r="H124" s="412"/>
      <c r="I124" s="85"/>
      <c r="J124" s="85"/>
      <c r="K124" s="85"/>
      <c r="L124" s="85"/>
      <c r="M124" s="85"/>
      <c r="N124" s="85"/>
      <c r="O124" s="307"/>
    </row>
    <row r="125" spans="1:15" ht="15">
      <c r="B125" s="101" t="s">
        <v>152</v>
      </c>
      <c r="C125" s="102"/>
      <c r="D125" s="85"/>
      <c r="E125" s="85"/>
      <c r="F125" s="85"/>
      <c r="G125" s="412"/>
      <c r="H125" s="412"/>
      <c r="I125" s="85"/>
      <c r="J125" s="85"/>
      <c r="K125" s="85"/>
      <c r="L125" s="85"/>
      <c r="M125" s="85"/>
      <c r="N125" s="85"/>
      <c r="O125" s="307"/>
    </row>
    <row r="126" spans="1:15" ht="15">
      <c r="B126" s="101"/>
      <c r="C126" s="102"/>
      <c r="D126" s="85"/>
      <c r="E126" s="85"/>
      <c r="F126" s="85"/>
      <c r="G126" s="412"/>
      <c r="H126" s="412"/>
      <c r="I126" s="85"/>
      <c r="J126" s="85"/>
      <c r="K126" s="85"/>
      <c r="L126" s="85"/>
      <c r="M126" s="85"/>
      <c r="N126" s="85"/>
      <c r="O126" s="307"/>
    </row>
    <row r="127" spans="1:15" ht="14.25" thickBot="1">
      <c r="C127" s="214"/>
      <c r="D127" s="104"/>
      <c r="E127" s="104"/>
      <c r="F127" s="104"/>
      <c r="G127" s="388"/>
      <c r="H127" s="388"/>
      <c r="I127" s="104"/>
      <c r="J127" s="104"/>
      <c r="K127" s="104"/>
      <c r="L127" s="104"/>
      <c r="M127" s="104"/>
      <c r="N127" s="104"/>
      <c r="O127" s="328"/>
    </row>
    <row r="128" spans="1:15" s="182" customFormat="1" ht="15">
      <c r="B128" s="183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321"/>
    </row>
    <row r="129" spans="1:15" ht="15.75" thickBot="1">
      <c r="A129" s="100" t="s">
        <v>147</v>
      </c>
      <c r="C129" s="120"/>
      <c r="D129" s="120"/>
      <c r="E129" s="120"/>
      <c r="F129" s="120"/>
      <c r="G129" s="389"/>
      <c r="H129" s="389"/>
      <c r="I129" s="120"/>
      <c r="J129" s="120"/>
      <c r="K129" s="120"/>
      <c r="L129" s="120"/>
      <c r="M129" s="120"/>
      <c r="N129" s="120"/>
      <c r="O129" s="322"/>
    </row>
    <row r="130" spans="1:15" ht="15">
      <c r="B130" s="101" t="s">
        <v>196</v>
      </c>
      <c r="C130" s="203">
        <f t="shared" ref="C130:M130" si="7">TRUNC((C12)*5%,2)</f>
        <v>5.16</v>
      </c>
      <c r="D130" s="199">
        <f t="shared" si="7"/>
        <v>5.16</v>
      </c>
      <c r="E130" s="199">
        <f t="shared" si="7"/>
        <v>5.16</v>
      </c>
      <c r="F130" s="199">
        <f t="shared" si="7"/>
        <v>5.16</v>
      </c>
      <c r="G130" s="417">
        <v>5.16</v>
      </c>
      <c r="H130" s="417">
        <v>5.16</v>
      </c>
      <c r="I130" s="199">
        <f t="shared" si="7"/>
        <v>5.16</v>
      </c>
      <c r="J130" s="199">
        <f t="shared" si="7"/>
        <v>5.16</v>
      </c>
      <c r="K130" s="391">
        <v>5.16</v>
      </c>
      <c r="L130" s="200">
        <f t="shared" si="7"/>
        <v>5.16</v>
      </c>
      <c r="M130" s="199">
        <f t="shared" si="7"/>
        <v>5.16</v>
      </c>
      <c r="N130" s="199">
        <v>5.15</v>
      </c>
      <c r="O130" s="305">
        <f>TRUNC((O12)*5%,2)</f>
        <v>5.16</v>
      </c>
    </row>
    <row r="131" spans="1:15" ht="15">
      <c r="B131" s="101" t="s">
        <v>178</v>
      </c>
      <c r="C131" s="240">
        <v>6.45</v>
      </c>
      <c r="D131" s="192">
        <f>D$130</f>
        <v>5.16</v>
      </c>
      <c r="E131" s="430">
        <v>16.7</v>
      </c>
      <c r="F131" s="295">
        <v>17.39</v>
      </c>
      <c r="G131" s="295">
        <v>17.39</v>
      </c>
      <c r="H131" s="295">
        <v>17.39</v>
      </c>
      <c r="I131" s="192">
        <v>5.16</v>
      </c>
      <c r="J131" s="192">
        <v>9.41</v>
      </c>
      <c r="K131" s="390">
        <v>14.4</v>
      </c>
      <c r="L131" s="401">
        <v>17.559999999999999</v>
      </c>
      <c r="M131" s="192">
        <v>5.16</v>
      </c>
      <c r="N131" s="262">
        <v>14.52</v>
      </c>
      <c r="O131" s="307"/>
    </row>
    <row r="132" spans="1:15" ht="15">
      <c r="B132" s="101" t="s">
        <v>177</v>
      </c>
      <c r="C132" s="240">
        <v>6.45</v>
      </c>
      <c r="D132" s="192">
        <f>D$130</f>
        <v>5.16</v>
      </c>
      <c r="E132" s="430">
        <v>16.7</v>
      </c>
      <c r="F132" s="295">
        <v>17.39</v>
      </c>
      <c r="G132" s="295">
        <v>17.39</v>
      </c>
      <c r="H132" s="295">
        <v>17.39</v>
      </c>
      <c r="I132" s="192">
        <v>5.16</v>
      </c>
      <c r="J132" s="192">
        <v>9.41</v>
      </c>
      <c r="K132" s="390">
        <v>14.4</v>
      </c>
      <c r="L132" s="401">
        <v>17.559999999999999</v>
      </c>
      <c r="M132" s="192">
        <v>5.16</v>
      </c>
      <c r="N132" s="272">
        <v>14.52</v>
      </c>
      <c r="O132" s="307"/>
    </row>
    <row r="133" spans="1:15" ht="15">
      <c r="B133" s="101" t="s">
        <v>151</v>
      </c>
      <c r="C133" s="240">
        <v>5.16</v>
      </c>
      <c r="D133" s="192">
        <f>D$130</f>
        <v>5.16</v>
      </c>
      <c r="E133" s="430">
        <v>18.98</v>
      </c>
      <c r="F133" s="85"/>
      <c r="G133" s="412"/>
      <c r="H133" s="412"/>
      <c r="I133" s="85"/>
      <c r="J133" s="85"/>
      <c r="K133" s="386"/>
      <c r="L133" s="402">
        <v>25.44</v>
      </c>
      <c r="M133" s="85"/>
      <c r="N133" s="85"/>
      <c r="O133" s="307"/>
    </row>
    <row r="134" spans="1:15" ht="15">
      <c r="B134" s="101" t="s">
        <v>194</v>
      </c>
      <c r="C134" s="239"/>
      <c r="D134" s="85"/>
      <c r="E134" s="85"/>
      <c r="F134" s="85"/>
      <c r="G134" s="412"/>
      <c r="H134" s="412"/>
      <c r="I134" s="85"/>
      <c r="J134" s="85"/>
      <c r="K134" s="390">
        <v>24.72</v>
      </c>
      <c r="L134" s="85"/>
      <c r="M134" s="85"/>
      <c r="N134" s="85"/>
      <c r="O134" s="307"/>
    </row>
    <row r="135" spans="1:15" ht="15">
      <c r="B135" s="291" t="s">
        <v>273</v>
      </c>
      <c r="C135" s="241"/>
      <c r="D135" s="213"/>
      <c r="E135" s="213"/>
      <c r="F135" s="213"/>
      <c r="G135" s="290"/>
      <c r="H135" s="290"/>
      <c r="I135" s="213"/>
      <c r="J135" s="213"/>
      <c r="K135" s="213"/>
      <c r="L135" s="213"/>
      <c r="M135" s="192">
        <f>5.16</f>
        <v>5.16</v>
      </c>
      <c r="N135" s="85"/>
      <c r="O135" s="307"/>
    </row>
    <row r="136" spans="1:15" ht="15">
      <c r="B136" s="291" t="s">
        <v>233</v>
      </c>
      <c r="C136" s="350">
        <v>154.80000000000001</v>
      </c>
      <c r="D136" s="404"/>
      <c r="E136" s="430"/>
      <c r="F136" s="430">
        <v>886.09</v>
      </c>
      <c r="G136" s="290"/>
      <c r="H136" s="290"/>
      <c r="I136" s="404"/>
      <c r="J136" s="404"/>
      <c r="K136" s="393"/>
      <c r="L136" s="399"/>
      <c r="M136" s="399"/>
      <c r="N136" s="399"/>
      <c r="O136" s="307"/>
    </row>
    <row r="137" spans="1:15" ht="15">
      <c r="B137" s="291" t="s">
        <v>234</v>
      </c>
      <c r="C137" s="240">
        <v>154.80000000000001</v>
      </c>
      <c r="D137" s="272">
        <v>185.76</v>
      </c>
      <c r="E137" s="85"/>
      <c r="F137" s="295">
        <v>1458.73</v>
      </c>
      <c r="G137" s="290"/>
      <c r="H137" s="290"/>
      <c r="I137" s="416">
        <v>206.4</v>
      </c>
      <c r="J137" s="85"/>
      <c r="K137" s="85"/>
      <c r="L137" s="403">
        <v>1596.91</v>
      </c>
      <c r="M137" s="85"/>
      <c r="N137" s="85"/>
      <c r="O137" s="307"/>
    </row>
    <row r="138" spans="1:15" s="285" customFormat="1" ht="15">
      <c r="B138" s="291" t="s">
        <v>267</v>
      </c>
      <c r="C138" s="240">
        <v>154.80000000000001</v>
      </c>
      <c r="D138" s="283"/>
      <c r="E138" s="284"/>
      <c r="F138" s="297">
        <v>1458.73</v>
      </c>
      <c r="G138" s="290"/>
      <c r="H138" s="290"/>
      <c r="I138" s="283"/>
      <c r="J138" s="284"/>
      <c r="K138" s="284"/>
      <c r="L138" s="283"/>
      <c r="M138" s="284"/>
      <c r="N138" s="284"/>
      <c r="O138" s="308"/>
    </row>
    <row r="139" spans="1:15" ht="15">
      <c r="A139" s="236"/>
      <c r="B139" s="238" t="s">
        <v>225</v>
      </c>
      <c r="C139" s="240">
        <v>6.45</v>
      </c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329"/>
    </row>
    <row r="140" spans="1:15" ht="15">
      <c r="A140" s="236"/>
      <c r="B140" s="238" t="s">
        <v>226</v>
      </c>
      <c r="C140" s="240">
        <v>6.45</v>
      </c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329"/>
    </row>
    <row r="141" spans="1:15" s="285" customFormat="1" ht="15">
      <c r="B141" s="286" t="s">
        <v>228</v>
      </c>
      <c r="C141" s="241"/>
      <c r="D141" s="290"/>
      <c r="E141" s="290"/>
      <c r="F141" s="290"/>
      <c r="G141" s="290"/>
      <c r="H141" s="290"/>
      <c r="I141" s="290"/>
      <c r="J141" s="290"/>
      <c r="K141" s="290"/>
      <c r="L141" s="290"/>
      <c r="M141" s="288">
        <v>5.16</v>
      </c>
      <c r="N141" s="283"/>
      <c r="O141" s="307"/>
    </row>
    <row r="142" spans="1:15" ht="15.75" thickBot="1">
      <c r="B142" s="101" t="s">
        <v>152</v>
      </c>
      <c r="C142" s="214"/>
      <c r="D142" s="104"/>
      <c r="E142" s="104"/>
      <c r="F142" s="104"/>
      <c r="G142" s="388"/>
      <c r="H142" s="388"/>
      <c r="I142" s="104"/>
      <c r="J142" s="104"/>
      <c r="K142" s="104"/>
      <c r="L142" s="104"/>
      <c r="M142" s="104"/>
      <c r="N142" s="104"/>
      <c r="O142" s="328"/>
    </row>
    <row r="143" spans="1:15" ht="8.25" customHeight="1">
      <c r="B143" s="101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321"/>
    </row>
    <row r="144" spans="1:15" ht="15.75" thickBot="1">
      <c r="A144" s="100" t="s">
        <v>79</v>
      </c>
      <c r="C144" s="120"/>
      <c r="D144" s="120"/>
      <c r="E144" s="120"/>
      <c r="F144" s="120"/>
      <c r="G144" s="389"/>
      <c r="H144" s="389"/>
      <c r="I144" s="120"/>
      <c r="J144" s="120"/>
      <c r="K144" s="120"/>
      <c r="L144" s="120"/>
      <c r="M144" s="120"/>
      <c r="N144" s="120"/>
      <c r="O144" s="322"/>
    </row>
    <row r="145" spans="1:15" ht="15.75" thickBot="1">
      <c r="B145" s="359" t="s">
        <v>187</v>
      </c>
      <c r="C145" s="366">
        <v>1762.4</v>
      </c>
      <c r="D145" s="273">
        <v>1587.6</v>
      </c>
      <c r="E145" s="130"/>
      <c r="F145" s="298">
        <v>1398.8</v>
      </c>
      <c r="G145" s="130"/>
      <c r="H145" s="130"/>
      <c r="I145" s="292">
        <v>1746.24</v>
      </c>
      <c r="J145" s="130"/>
      <c r="K145" s="394">
        <v>1951.6</v>
      </c>
      <c r="L145" s="405">
        <v>1448.5</v>
      </c>
      <c r="M145" s="130"/>
      <c r="N145" s="130"/>
      <c r="O145" s="319"/>
    </row>
    <row r="146" spans="1:15" ht="15.75" thickBot="1">
      <c r="B146" s="359" t="s">
        <v>188</v>
      </c>
      <c r="C146" s="366">
        <v>1762.4</v>
      </c>
      <c r="D146" s="273">
        <v>1587.6</v>
      </c>
      <c r="E146" s="130"/>
      <c r="F146" s="298">
        <v>1398.8</v>
      </c>
      <c r="G146" s="130"/>
      <c r="H146" s="130"/>
      <c r="I146" s="414">
        <v>1746.24</v>
      </c>
      <c r="J146" s="130"/>
      <c r="K146" s="394">
        <v>1951.6</v>
      </c>
      <c r="L146" s="405">
        <v>1448.5</v>
      </c>
      <c r="M146" s="130"/>
      <c r="N146" s="130"/>
      <c r="O146" s="319"/>
    </row>
    <row r="147" spans="1:15" s="19" customFormat="1" ht="15.75" thickBot="1">
      <c r="A147" s="361" t="s">
        <v>101</v>
      </c>
      <c r="B147" s="360"/>
      <c r="C147" s="242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318"/>
    </row>
    <row r="148" spans="1:15" s="19" customFormat="1" ht="15.75" thickBot="1">
      <c r="B148" s="362" t="s">
        <v>187</v>
      </c>
      <c r="C148" s="367">
        <v>1601.64</v>
      </c>
      <c r="D148" s="75"/>
      <c r="E148" s="75"/>
      <c r="F148" s="298">
        <v>1398.8</v>
      </c>
      <c r="G148" s="130"/>
      <c r="H148" s="130"/>
      <c r="I148" s="75"/>
      <c r="J148" s="75"/>
      <c r="K148" s="75"/>
      <c r="L148" s="75"/>
      <c r="M148" s="75"/>
      <c r="N148" s="75"/>
      <c r="O148" s="317"/>
    </row>
    <row r="149" spans="1:15" s="19" customFormat="1" ht="15.75" thickBot="1">
      <c r="B149" s="362" t="s">
        <v>188</v>
      </c>
      <c r="C149" s="367">
        <v>1601.64</v>
      </c>
      <c r="D149" s="75"/>
      <c r="E149" s="75"/>
      <c r="F149" s="298">
        <v>1398.8</v>
      </c>
      <c r="G149" s="130"/>
      <c r="H149" s="130"/>
      <c r="I149" s="75"/>
      <c r="J149" s="75"/>
      <c r="K149" s="75"/>
      <c r="L149" s="75"/>
      <c r="M149" s="75"/>
      <c r="N149" s="75"/>
      <c r="O149" s="317"/>
    </row>
    <row r="150" spans="1:15" s="19" customFormat="1" ht="15.75" thickBot="1">
      <c r="A150" s="364" t="s">
        <v>132</v>
      </c>
      <c r="B150" s="363"/>
      <c r="C150" s="242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318"/>
    </row>
    <row r="151" spans="1:15" s="19" customFormat="1" ht="15.75" thickBot="1">
      <c r="A151" s="363"/>
      <c r="B151" s="365" t="s">
        <v>187</v>
      </c>
      <c r="C151" s="369">
        <v>1722.2</v>
      </c>
      <c r="D151" s="431"/>
      <c r="E151" s="273"/>
      <c r="F151" s="273">
        <v>1398.8</v>
      </c>
      <c r="G151" s="130"/>
      <c r="H151" s="130"/>
      <c r="I151" s="431"/>
      <c r="J151" s="431"/>
      <c r="K151" s="394"/>
      <c r="L151" s="405"/>
      <c r="M151" s="405"/>
      <c r="N151" s="405"/>
      <c r="O151" s="317"/>
    </row>
    <row r="152" spans="1:15" s="19" customFormat="1" ht="15.75" thickBot="1">
      <c r="A152" s="363"/>
      <c r="B152" s="365" t="s">
        <v>188</v>
      </c>
      <c r="C152" s="369">
        <v>1722.2</v>
      </c>
      <c r="D152" s="431"/>
      <c r="E152" s="273"/>
      <c r="F152" s="273">
        <v>1398.8</v>
      </c>
      <c r="G152" s="130"/>
      <c r="H152" s="130"/>
      <c r="I152" s="431"/>
      <c r="J152" s="431"/>
      <c r="K152" s="394"/>
      <c r="L152" s="405"/>
      <c r="M152" s="405"/>
      <c r="N152" s="405"/>
      <c r="O152" s="317"/>
    </row>
    <row r="153" spans="1:15" s="19" customFormat="1" ht="15.75" thickBot="1">
      <c r="A153" s="100" t="s">
        <v>142</v>
      </c>
      <c r="B153" s="94"/>
      <c r="C153" s="243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321"/>
    </row>
    <row r="154" spans="1:15" s="19" customFormat="1" ht="15.75" thickBot="1">
      <c r="A154" s="94"/>
      <c r="B154" s="101" t="s">
        <v>201</v>
      </c>
      <c r="C154" s="368">
        <v>1119.3599999999999</v>
      </c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316"/>
    </row>
    <row r="155" spans="1:15" s="19" customFormat="1" ht="15.75" thickBot="1">
      <c r="A155" s="100" t="s">
        <v>156</v>
      </c>
      <c r="B155" s="94"/>
      <c r="C155" s="242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318"/>
    </row>
    <row r="156" spans="1:15" s="19" customFormat="1" ht="15.75" thickBot="1">
      <c r="A156" s="94"/>
      <c r="B156" s="101" t="s">
        <v>200</v>
      </c>
      <c r="C156" s="369">
        <v>998.78</v>
      </c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317"/>
    </row>
    <row r="157" spans="1:15" s="19" customFormat="1" ht="6" customHeight="1">
      <c r="B157" s="21"/>
      <c r="C157" s="132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315"/>
    </row>
    <row r="158" spans="1:15" ht="15">
      <c r="A158" s="100" t="s">
        <v>102</v>
      </c>
      <c r="C158" s="132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315"/>
    </row>
    <row r="159" spans="1:15" ht="15">
      <c r="B159" s="101" t="s">
        <v>103</v>
      </c>
      <c r="C159" s="132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315"/>
    </row>
    <row r="160" spans="1:15" ht="60.75" thickBot="1">
      <c r="C160" s="162"/>
      <c r="D160" s="163" t="s">
        <v>143</v>
      </c>
      <c r="E160" s="164"/>
      <c r="F160" s="164" t="s">
        <v>81</v>
      </c>
      <c r="G160" s="164"/>
      <c r="H160" s="164"/>
      <c r="I160" s="164"/>
      <c r="J160" s="164"/>
      <c r="K160" s="164"/>
      <c r="L160" s="164"/>
      <c r="M160" s="164"/>
      <c r="N160" s="164"/>
      <c r="O160" s="314"/>
    </row>
    <row r="161" spans="1:15" ht="15">
      <c r="B161" s="101" t="s">
        <v>75</v>
      </c>
      <c r="C161" s="165"/>
      <c r="D161" s="199">
        <v>20</v>
      </c>
      <c r="E161" s="161"/>
      <c r="F161" s="199">
        <v>20</v>
      </c>
      <c r="G161" s="161"/>
      <c r="H161" s="161"/>
      <c r="I161" s="161"/>
      <c r="J161" s="161"/>
      <c r="K161" s="161"/>
      <c r="L161" s="161"/>
      <c r="M161" s="161"/>
      <c r="N161" s="161"/>
      <c r="O161" s="313"/>
    </row>
    <row r="162" spans="1:15" ht="15.75" thickBot="1">
      <c r="B162" s="101" t="s">
        <v>74</v>
      </c>
      <c r="C162" s="166"/>
      <c r="D162" s="210">
        <v>2</v>
      </c>
      <c r="E162" s="167"/>
      <c r="F162" s="210">
        <v>1.5</v>
      </c>
      <c r="G162" s="167"/>
      <c r="H162" s="167"/>
      <c r="I162" s="167"/>
      <c r="J162" s="167"/>
      <c r="K162" s="167"/>
      <c r="L162" s="167"/>
      <c r="M162" s="167"/>
      <c r="N162" s="167"/>
      <c r="O162" s="312"/>
    </row>
    <row r="163" spans="1:15" ht="15.75" thickBot="1">
      <c r="A163" s="100" t="s">
        <v>80</v>
      </c>
      <c r="D163" s="182"/>
      <c r="F163" s="182"/>
      <c r="G163" s="182"/>
      <c r="H163" s="182"/>
    </row>
    <row r="164" spans="1:15" ht="15.75" thickBot="1">
      <c r="B164" s="100"/>
      <c r="C164" s="187">
        <v>200</v>
      </c>
      <c r="D164" s="188">
        <v>200</v>
      </c>
      <c r="E164" s="75"/>
      <c r="F164" s="188">
        <v>200</v>
      </c>
      <c r="G164" s="188">
        <v>200</v>
      </c>
      <c r="H164" s="188">
        <v>200</v>
      </c>
      <c r="I164" s="188">
        <v>200</v>
      </c>
      <c r="J164" s="188">
        <v>200</v>
      </c>
      <c r="K164" s="188">
        <v>200</v>
      </c>
      <c r="L164" s="188">
        <v>200</v>
      </c>
      <c r="M164" s="75"/>
      <c r="N164" s="75"/>
      <c r="O164" s="311">
        <v>200</v>
      </c>
    </row>
    <row r="165" spans="1:15">
      <c r="B165" s="140" t="s">
        <v>247</v>
      </c>
    </row>
    <row r="166" spans="1:15">
      <c r="B166" s="140" t="s">
        <v>106</v>
      </c>
    </row>
    <row r="167" spans="1:15" s="363" customFormat="1" ht="5.45" customHeight="1">
      <c r="B167" s="140"/>
      <c r="O167" s="333"/>
    </row>
    <row r="168" spans="1:15">
      <c r="B168" s="140" t="s">
        <v>282</v>
      </c>
    </row>
    <row r="169" spans="1:15">
      <c r="B169" s="140"/>
    </row>
    <row r="170" spans="1:15">
      <c r="B170" s="140"/>
    </row>
    <row r="171" spans="1:15">
      <c r="B171" s="140"/>
    </row>
  </sheetData>
  <mergeCells count="4">
    <mergeCell ref="A8:M8"/>
    <mergeCell ref="A4:L4"/>
    <mergeCell ref="A6:N6"/>
    <mergeCell ref="A5:O5"/>
  </mergeCells>
  <phoneticPr fontId="0" type="noConversion"/>
  <printOptions horizontalCentered="1" headings="1"/>
  <pageMargins left="0.25" right="0.25" top="0.4" bottom="0.4" header="0.5" footer="0.25"/>
  <pageSetup scale="45" orientation="portrait" r:id="rId1"/>
  <headerFooter alignWithMargins="0">
    <oddFooter>&amp;L
&amp;R&amp;"Book Antiqua,Regular"&amp;8Office of Planning and  Institutional Research, Board of Governors, State University System of Florida,  &amp;F&amp;A  &amp;D</oddFooter>
  </headerFooter>
  <rowBreaks count="1" manualBreakCount="1">
    <brk id="104" max="12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selection activeCell="A14" sqref="A14"/>
    </sheetView>
  </sheetViews>
  <sheetFormatPr defaultRowHeight="12.75"/>
  <cols>
    <col min="1" max="1" width="49.28515625" customWidth="1"/>
    <col min="2" max="2" width="12.7109375" customWidth="1"/>
  </cols>
  <sheetData>
    <row r="1" spans="1:13" s="94" customFormat="1" ht="16.5" customHeight="1">
      <c r="A1" s="91" t="s">
        <v>163</v>
      </c>
      <c r="B1" s="92"/>
      <c r="C1" s="98"/>
      <c r="D1" s="98"/>
      <c r="E1" s="98"/>
      <c r="F1" s="98"/>
      <c r="G1" s="98"/>
      <c r="H1" s="98"/>
      <c r="I1" s="98"/>
      <c r="J1" s="98"/>
      <c r="K1" s="98"/>
      <c r="L1" s="98"/>
      <c r="M1" s="174"/>
    </row>
    <row r="2" spans="1:13" s="94" customFormat="1" ht="16.5" customHeight="1">
      <c r="A2" s="91" t="s">
        <v>162</v>
      </c>
      <c r="B2" s="92"/>
      <c r="C2" s="98"/>
      <c r="D2" s="98"/>
      <c r="E2" s="98"/>
      <c r="F2" s="98"/>
      <c r="G2" s="98"/>
      <c r="H2" s="98"/>
      <c r="I2" s="98"/>
      <c r="J2" s="98"/>
      <c r="K2" s="98"/>
      <c r="L2" s="98"/>
      <c r="M2" s="174"/>
    </row>
    <row r="3" spans="1:13" s="94" customFormat="1" ht="15.75" thickBo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94" customFormat="1" ht="15">
      <c r="A4" s="458" t="s">
        <v>159</v>
      </c>
      <c r="B4" s="459"/>
    </row>
    <row r="5" spans="1:13" s="94" customFormat="1" ht="16.5">
      <c r="A5" s="172" t="s">
        <v>160</v>
      </c>
      <c r="B5" s="170">
        <v>102.33034800000001</v>
      </c>
      <c r="C5" s="96"/>
      <c r="D5" s="97"/>
    </row>
    <row r="6" spans="1:13" s="96" customFormat="1" ht="16.5">
      <c r="A6" s="172" t="s">
        <v>161</v>
      </c>
      <c r="B6" s="170">
        <v>53.85</v>
      </c>
    </row>
    <row r="7" spans="1:13" s="96" customFormat="1" ht="17.25" thickBot="1">
      <c r="A7" s="173" t="s">
        <v>158</v>
      </c>
      <c r="B7" s="171">
        <v>154.19999999999999</v>
      </c>
    </row>
  </sheetData>
  <mergeCells count="1">
    <mergeCell ref="A4:B4"/>
  </mergeCells>
  <phoneticPr fontId="13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F17" sqref="F17:F27"/>
    </sheetView>
  </sheetViews>
  <sheetFormatPr defaultRowHeight="12.75"/>
  <sheetData>
    <row r="1" spans="1:6" ht="13.5" thickBot="1">
      <c r="A1" t="s">
        <v>138</v>
      </c>
    </row>
    <row r="2" spans="1:6" ht="13.5" thickBot="1">
      <c r="B2" s="155" t="s">
        <v>91</v>
      </c>
      <c r="C2" s="153" t="s">
        <v>137</v>
      </c>
      <c r="D2" s="153" t="s">
        <v>67</v>
      </c>
      <c r="E2" s="153" t="s">
        <v>139</v>
      </c>
    </row>
    <row r="3" spans="1:6" ht="13.5" thickBot="1">
      <c r="A3" s="149" t="s">
        <v>2</v>
      </c>
      <c r="B3" s="150">
        <v>10236</v>
      </c>
      <c r="C3" s="150">
        <v>1516</v>
      </c>
      <c r="D3" s="150">
        <v>394</v>
      </c>
      <c r="E3" s="150">
        <v>12176</v>
      </c>
    </row>
    <row r="4" spans="1:6" ht="13.5" thickBot="1">
      <c r="A4" s="149" t="s">
        <v>4</v>
      </c>
      <c r="B4" s="150">
        <v>20098</v>
      </c>
      <c r="C4" s="150">
        <v>3440</v>
      </c>
      <c r="D4" s="151" t="s">
        <v>135</v>
      </c>
      <c r="E4" s="150">
        <v>25994</v>
      </c>
    </row>
    <row r="5" spans="1:6" ht="13.5" thickBot="1">
      <c r="A5" s="149" t="s">
        <v>9</v>
      </c>
      <c r="B5" s="150">
        <v>5952</v>
      </c>
      <c r="C5" s="150">
        <v>760</v>
      </c>
      <c r="D5" s="151" t="s">
        <v>135</v>
      </c>
      <c r="E5" s="150">
        <v>7254</v>
      </c>
    </row>
    <row r="6" spans="1:6" ht="13.5" thickBot="1">
      <c r="A6" s="149" t="s">
        <v>7</v>
      </c>
      <c r="B6" s="150">
        <v>28914</v>
      </c>
      <c r="C6" s="150">
        <v>5417</v>
      </c>
      <c r="D6" s="150">
        <v>331</v>
      </c>
      <c r="E6" s="150">
        <v>37425</v>
      </c>
    </row>
    <row r="7" spans="1:6" ht="13.5" thickBot="1">
      <c r="A7" s="149" t="s">
        <v>1</v>
      </c>
      <c r="B7" s="150">
        <v>30411</v>
      </c>
      <c r="C7" s="150">
        <v>7928</v>
      </c>
      <c r="D7" s="150">
        <v>762</v>
      </c>
      <c r="E7" s="150">
        <v>39672</v>
      </c>
    </row>
    <row r="8" spans="1:6" ht="13.5" thickBot="1">
      <c r="A8" s="149" t="s">
        <v>10</v>
      </c>
      <c r="B8" s="150">
        <v>762</v>
      </c>
      <c r="C8" s="151" t="s">
        <v>135</v>
      </c>
      <c r="D8" s="151" t="s">
        <v>135</v>
      </c>
      <c r="E8" s="150">
        <v>763</v>
      </c>
    </row>
    <row r="9" spans="1:6" ht="13.5" thickBot="1">
      <c r="A9" s="149" t="s">
        <v>6</v>
      </c>
      <c r="B9" s="150">
        <v>37632</v>
      </c>
      <c r="C9" s="150">
        <v>6331</v>
      </c>
      <c r="D9" s="151" t="s">
        <v>135</v>
      </c>
      <c r="E9" s="150">
        <v>45090</v>
      </c>
    </row>
    <row r="10" spans="1:6" ht="13.5" thickBot="1">
      <c r="A10" s="149" t="s">
        <v>0</v>
      </c>
      <c r="B10" s="150">
        <v>34171</v>
      </c>
      <c r="C10" s="150">
        <v>14527</v>
      </c>
      <c r="D10" s="150">
        <v>1210</v>
      </c>
      <c r="E10" s="150">
        <v>50330</v>
      </c>
    </row>
    <row r="11" spans="1:6" ht="13.5" thickBot="1">
      <c r="A11" s="149" t="s">
        <v>8</v>
      </c>
      <c r="B11" s="150">
        <v>13118</v>
      </c>
      <c r="C11" s="150">
        <v>1625</v>
      </c>
      <c r="D11" s="151" t="s">
        <v>135</v>
      </c>
      <c r="E11" s="150">
        <v>15420</v>
      </c>
    </row>
    <row r="12" spans="1:6" ht="13.5" thickBot="1">
      <c r="A12" s="149" t="s">
        <v>3</v>
      </c>
      <c r="B12" s="150">
        <v>33421</v>
      </c>
      <c r="C12" s="150">
        <v>7972</v>
      </c>
      <c r="D12" s="151" t="s">
        <v>135</v>
      </c>
      <c r="E12" s="150">
        <v>43592</v>
      </c>
    </row>
    <row r="13" spans="1:6" ht="13.5" thickBot="1">
      <c r="A13" s="149" t="s">
        <v>5</v>
      </c>
      <c r="B13" s="150">
        <v>7783</v>
      </c>
      <c r="C13" s="150">
        <v>1238</v>
      </c>
      <c r="D13" s="151" t="s">
        <v>135</v>
      </c>
      <c r="E13" s="150">
        <v>9657</v>
      </c>
    </row>
    <row r="14" spans="1:6" ht="13.5" thickBot="1">
      <c r="A14" s="152" t="s">
        <v>136</v>
      </c>
      <c r="B14" s="153">
        <v>222498</v>
      </c>
      <c r="C14" s="153">
        <v>50754</v>
      </c>
      <c r="D14" s="153">
        <v>2697</v>
      </c>
      <c r="E14" s="153">
        <v>287373</v>
      </c>
    </row>
    <row r="15" spans="1:6" ht="13.5" thickBot="1"/>
    <row r="16" spans="1:6" ht="13.5" thickBot="1">
      <c r="A16" s="156" t="s">
        <v>140</v>
      </c>
      <c r="B16" s="154"/>
      <c r="C16" s="157" t="s">
        <v>91</v>
      </c>
      <c r="D16" s="153" t="s">
        <v>137</v>
      </c>
      <c r="E16" s="153" t="s">
        <v>67</v>
      </c>
      <c r="F16" s="153" t="s">
        <v>139</v>
      </c>
    </row>
    <row r="17" spans="1:6" ht="13.5" thickBot="1">
      <c r="A17">
        <v>1</v>
      </c>
      <c r="B17" s="149" t="s">
        <v>0</v>
      </c>
      <c r="C17" s="158">
        <v>34171</v>
      </c>
      <c r="D17" s="150">
        <v>14527</v>
      </c>
      <c r="E17" s="150">
        <v>1210</v>
      </c>
      <c r="F17" s="150">
        <v>50330</v>
      </c>
    </row>
    <row r="18" spans="1:6" ht="13.5" thickBot="1">
      <c r="A18">
        <v>2</v>
      </c>
      <c r="B18" s="149" t="s">
        <v>1</v>
      </c>
      <c r="C18" s="150">
        <v>30411</v>
      </c>
      <c r="D18" s="150">
        <v>7928</v>
      </c>
      <c r="E18" s="150">
        <v>762</v>
      </c>
      <c r="F18" s="150">
        <v>39672</v>
      </c>
    </row>
    <row r="19" spans="1:6" ht="13.5" thickBot="1">
      <c r="A19">
        <v>3</v>
      </c>
      <c r="B19" s="149" t="s">
        <v>2</v>
      </c>
      <c r="C19" s="150">
        <v>10236</v>
      </c>
      <c r="D19" s="150">
        <v>1516</v>
      </c>
      <c r="E19" s="150">
        <v>394</v>
      </c>
      <c r="F19" s="150">
        <v>12176</v>
      </c>
    </row>
    <row r="20" spans="1:6" ht="13.5" thickBot="1">
      <c r="A20">
        <v>4</v>
      </c>
      <c r="B20" s="149" t="s">
        <v>3</v>
      </c>
      <c r="C20" s="150">
        <v>33421</v>
      </c>
      <c r="D20" s="150">
        <v>7972</v>
      </c>
      <c r="E20" s="151" t="s">
        <v>135</v>
      </c>
      <c r="F20" s="150">
        <v>43592</v>
      </c>
    </row>
    <row r="21" spans="1:6" ht="13.5" thickBot="1">
      <c r="A21">
        <v>5</v>
      </c>
      <c r="B21" s="149" t="s">
        <v>4</v>
      </c>
      <c r="C21" s="150">
        <v>20098</v>
      </c>
      <c r="D21" s="150">
        <v>3440</v>
      </c>
      <c r="E21" s="151" t="s">
        <v>135</v>
      </c>
      <c r="F21" s="150">
        <v>25994</v>
      </c>
    </row>
    <row r="22" spans="1:6" ht="13.5" thickBot="1">
      <c r="A22">
        <v>6</v>
      </c>
      <c r="B22" s="149" t="s">
        <v>5</v>
      </c>
      <c r="C22" s="150">
        <v>7783</v>
      </c>
      <c r="D22" s="150">
        <v>1238</v>
      </c>
      <c r="E22" s="151" t="s">
        <v>135</v>
      </c>
      <c r="F22" s="150">
        <v>9657</v>
      </c>
    </row>
    <row r="23" spans="1:6" ht="13.5" thickBot="1">
      <c r="A23">
        <v>7</v>
      </c>
      <c r="B23" s="149" t="s">
        <v>6</v>
      </c>
      <c r="C23" s="150">
        <v>37632</v>
      </c>
      <c r="D23" s="150">
        <v>6331</v>
      </c>
      <c r="E23" s="151" t="s">
        <v>135</v>
      </c>
      <c r="F23" s="150">
        <v>45090</v>
      </c>
    </row>
    <row r="24" spans="1:6" ht="13.5" thickBot="1">
      <c r="A24">
        <v>8</v>
      </c>
      <c r="B24" s="149" t="s">
        <v>7</v>
      </c>
      <c r="C24" s="150">
        <v>28914</v>
      </c>
      <c r="D24" s="150">
        <v>5417</v>
      </c>
      <c r="E24" s="150">
        <v>331</v>
      </c>
      <c r="F24" s="150">
        <v>37425</v>
      </c>
    </row>
    <row r="25" spans="1:6" ht="13.5" thickBot="1">
      <c r="A25">
        <v>9</v>
      </c>
      <c r="B25" s="149" t="s">
        <v>8</v>
      </c>
      <c r="C25" s="150">
        <v>13118</v>
      </c>
      <c r="D25" s="150">
        <v>1625</v>
      </c>
      <c r="E25" s="151" t="s">
        <v>135</v>
      </c>
      <c r="F25" s="150">
        <v>15420</v>
      </c>
    </row>
    <row r="26" spans="1:6" ht="13.5" thickBot="1">
      <c r="A26">
        <v>10</v>
      </c>
      <c r="B26" s="149" t="s">
        <v>9</v>
      </c>
      <c r="C26" s="150">
        <v>5952</v>
      </c>
      <c r="D26" s="150">
        <v>760</v>
      </c>
      <c r="E26" s="151" t="s">
        <v>135</v>
      </c>
      <c r="F26" s="150">
        <v>7254</v>
      </c>
    </row>
    <row r="27" spans="1:6" ht="13.5" thickBot="1">
      <c r="A27">
        <v>11</v>
      </c>
      <c r="B27" s="149" t="s">
        <v>10</v>
      </c>
      <c r="C27" s="150">
        <v>762</v>
      </c>
      <c r="D27" s="151" t="s">
        <v>135</v>
      </c>
      <c r="E27" s="151" t="s">
        <v>135</v>
      </c>
      <c r="F27" s="150">
        <v>763</v>
      </c>
    </row>
    <row r="28" spans="1:6" ht="13.5" thickBot="1"/>
    <row r="29" spans="1:6" ht="13.5" thickBot="1">
      <c r="B29" s="152" t="s">
        <v>136</v>
      </c>
      <c r="C29" s="153">
        <v>222498</v>
      </c>
      <c r="D29" s="153">
        <v>50754</v>
      </c>
      <c r="E29" s="153">
        <v>2697</v>
      </c>
      <c r="F29" s="153">
        <v>287373</v>
      </c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07"/>
  <sheetViews>
    <sheetView zoomScale="75" zoomScaleNormal="100" zoomScaleSheetLayoutView="75" workbookViewId="0">
      <pane xSplit="3" ySplit="8" topLeftCell="D75" activePane="bottomRight" state="frozen"/>
      <selection pane="topRight" activeCell="D1" sqref="D1"/>
      <selection pane="bottomLeft" activeCell="A9" sqref="A9"/>
      <selection pane="bottomRight" activeCell="K82" sqref="K82"/>
    </sheetView>
  </sheetViews>
  <sheetFormatPr defaultColWidth="9.140625" defaultRowHeight="13.5"/>
  <cols>
    <col min="1" max="2" width="2.7109375" style="94" customWidth="1"/>
    <col min="3" max="3" width="21.85546875" style="94" customWidth="1"/>
    <col min="4" max="4" width="24.28515625" style="94" customWidth="1"/>
    <col min="5" max="5" width="10.85546875" style="94" bestFit="1" customWidth="1"/>
    <col min="6" max="6" width="9.28515625" style="94" bestFit="1" customWidth="1"/>
    <col min="7" max="7" width="10.85546875" style="94" bestFit="1" customWidth="1"/>
    <col min="8" max="13" width="9.28515625" style="94" bestFit="1" customWidth="1"/>
    <col min="14" max="14" width="9.7109375" style="94" bestFit="1" customWidth="1"/>
    <col min="15" max="16384" width="9.140625" style="94"/>
  </cols>
  <sheetData>
    <row r="1" spans="1:15" ht="16.5">
      <c r="A1" s="91" t="s">
        <v>119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5" ht="15">
      <c r="A2" s="92" t="s">
        <v>120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5" ht="15">
      <c r="A3" s="92" t="s">
        <v>124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5">
      <c r="A4" s="95" t="s">
        <v>88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5" s="96" customFormat="1">
      <c r="A5" s="95" t="s">
        <v>89</v>
      </c>
    </row>
    <row r="6" spans="1:15" s="96" customFormat="1">
      <c r="A6" s="95" t="s">
        <v>90</v>
      </c>
    </row>
    <row r="7" spans="1:15" s="96" customFormat="1" ht="15">
      <c r="A7" s="95"/>
      <c r="C7" s="98"/>
    </row>
    <row r="8" spans="1:15" ht="15">
      <c r="D8" s="99" t="s">
        <v>133</v>
      </c>
      <c r="E8" s="99" t="s">
        <v>1</v>
      </c>
      <c r="F8" s="99" t="s">
        <v>2</v>
      </c>
      <c r="G8" s="99" t="s">
        <v>3</v>
      </c>
      <c r="H8" s="99" t="s">
        <v>4</v>
      </c>
      <c r="I8" s="99" t="s">
        <v>5</v>
      </c>
      <c r="J8" s="99" t="s">
        <v>6</v>
      </c>
      <c r="K8" s="99" t="s">
        <v>7</v>
      </c>
      <c r="L8" s="99" t="s">
        <v>8</v>
      </c>
      <c r="M8" s="99" t="s">
        <v>9</v>
      </c>
      <c r="N8" s="99" t="s">
        <v>10</v>
      </c>
      <c r="O8" s="99"/>
    </row>
    <row r="9" spans="1:15" ht="15">
      <c r="A9" s="100" t="s">
        <v>65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1:15" ht="15.75" thickBot="1">
      <c r="B10" s="100" t="s">
        <v>30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</row>
    <row r="11" spans="1:15" ht="15">
      <c r="C11" s="101" t="s">
        <v>91</v>
      </c>
      <c r="D11" s="80">
        <v>73.709999999999994</v>
      </c>
      <c r="E11" s="81">
        <v>73.709999999999994</v>
      </c>
      <c r="F11" s="81">
        <v>73.709999999999994</v>
      </c>
      <c r="G11" s="81">
        <v>73.709999999999994</v>
      </c>
      <c r="H11" s="81">
        <v>73.709999999999994</v>
      </c>
      <c r="I11" s="81">
        <v>73.709999999999994</v>
      </c>
      <c r="J11" s="81">
        <v>73.709999999999994</v>
      </c>
      <c r="K11" s="81">
        <v>73.709999999999994</v>
      </c>
      <c r="L11" s="81">
        <v>73.709999999999994</v>
      </c>
      <c r="M11" s="81">
        <v>73.709999999999994</v>
      </c>
      <c r="N11" s="82">
        <v>73.709999999999994</v>
      </c>
    </row>
    <row r="12" spans="1:15" ht="15">
      <c r="C12" s="101" t="s">
        <v>66</v>
      </c>
      <c r="D12" s="83">
        <v>231.77</v>
      </c>
      <c r="E12" s="84">
        <v>199.78</v>
      </c>
      <c r="F12" s="84">
        <v>180.24</v>
      </c>
      <c r="G12" s="84">
        <v>207.59</v>
      </c>
      <c r="H12" s="84">
        <v>200.59</v>
      </c>
      <c r="I12" s="84">
        <v>201.54</v>
      </c>
      <c r="J12" s="84">
        <v>207.58</v>
      </c>
      <c r="K12" s="143">
        <v>221.7</v>
      </c>
      <c r="L12" s="84">
        <v>206.17</v>
      </c>
      <c r="M12" s="84">
        <v>180.24</v>
      </c>
      <c r="N12" s="86"/>
    </row>
    <row r="13" spans="1:15" ht="15">
      <c r="C13" s="101" t="s">
        <v>125</v>
      </c>
      <c r="D13" s="83">
        <v>272.01</v>
      </c>
      <c r="E13" s="84">
        <v>227.07</v>
      </c>
      <c r="F13" s="84">
        <v>204.85</v>
      </c>
      <c r="G13" s="85"/>
      <c r="H13" s="85"/>
      <c r="I13" s="85"/>
      <c r="J13" s="85"/>
      <c r="K13" s="143">
        <v>251.97</v>
      </c>
      <c r="L13" s="85"/>
      <c r="M13" s="85"/>
      <c r="N13" s="86"/>
    </row>
    <row r="14" spans="1:15" ht="15">
      <c r="C14" s="101" t="s">
        <v>126</v>
      </c>
      <c r="D14" s="102"/>
      <c r="E14" s="84">
        <v>263.12</v>
      </c>
      <c r="F14" s="85"/>
      <c r="G14" s="85"/>
      <c r="H14" s="85"/>
      <c r="I14" s="85"/>
      <c r="J14" s="85"/>
      <c r="K14" s="85"/>
      <c r="L14" s="85"/>
      <c r="M14" s="85"/>
      <c r="N14" s="86"/>
    </row>
    <row r="15" spans="1:15" ht="15">
      <c r="C15" s="101" t="s">
        <v>68</v>
      </c>
      <c r="D15" s="83">
        <v>18916.72</v>
      </c>
      <c r="E15" s="84">
        <v>15831.53</v>
      </c>
      <c r="F15" s="85"/>
      <c r="G15" s="84">
        <v>17271.830000000002</v>
      </c>
      <c r="H15" s="85"/>
      <c r="I15" s="85"/>
      <c r="J15" s="85"/>
      <c r="K15" s="85"/>
      <c r="L15" s="85"/>
      <c r="M15" s="85"/>
      <c r="N15" s="86"/>
    </row>
    <row r="16" spans="1:15" ht="15">
      <c r="C16" s="101" t="s">
        <v>121</v>
      </c>
      <c r="D16" s="102"/>
      <c r="E16" s="85"/>
      <c r="F16" s="85"/>
      <c r="G16" s="85"/>
      <c r="H16" s="85"/>
      <c r="I16" s="85"/>
      <c r="J16" s="85"/>
      <c r="K16" s="85"/>
      <c r="L16" s="84">
        <v>220.17</v>
      </c>
      <c r="M16" s="85"/>
      <c r="N16" s="86"/>
    </row>
    <row r="17" spans="2:14" ht="15">
      <c r="C17" s="101" t="s">
        <v>69</v>
      </c>
      <c r="D17" s="83">
        <v>14177.78</v>
      </c>
      <c r="E17" s="85"/>
      <c r="F17" s="85"/>
      <c r="G17" s="85"/>
      <c r="H17" s="85"/>
      <c r="I17" s="85"/>
      <c r="J17" s="85"/>
      <c r="K17" s="85"/>
      <c r="L17" s="85"/>
      <c r="M17" s="85"/>
      <c r="N17" s="86"/>
    </row>
    <row r="18" spans="2:14" ht="15">
      <c r="C18" s="101" t="s">
        <v>122</v>
      </c>
      <c r="D18" s="87">
        <v>8561.74</v>
      </c>
      <c r="E18" s="89"/>
      <c r="F18" s="89"/>
      <c r="G18" s="89"/>
      <c r="H18" s="89"/>
      <c r="I18" s="89"/>
      <c r="J18" s="89"/>
      <c r="K18" s="89"/>
      <c r="L18" s="89"/>
      <c r="M18" s="89"/>
      <c r="N18" s="103"/>
    </row>
    <row r="19" spans="2:14" ht="15">
      <c r="C19" s="101" t="s">
        <v>94</v>
      </c>
      <c r="D19" s="87">
        <v>11341.7</v>
      </c>
      <c r="E19" s="89"/>
      <c r="F19" s="89"/>
      <c r="G19" s="87">
        <v>12978</v>
      </c>
      <c r="H19" s="89"/>
      <c r="I19" s="89"/>
      <c r="J19" s="89"/>
      <c r="K19" s="89"/>
      <c r="L19" s="89"/>
      <c r="M19" s="89"/>
      <c r="N19" s="103"/>
    </row>
    <row r="20" spans="2:14" ht="15.75" thickBot="1">
      <c r="C20" s="101" t="s">
        <v>70</v>
      </c>
      <c r="D20" s="88">
        <v>16449.400000000001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5"/>
    </row>
    <row r="22" spans="2:14" ht="15.75" thickBot="1">
      <c r="B22" s="100" t="s">
        <v>71</v>
      </c>
      <c r="E22" s="106"/>
    </row>
    <row r="23" spans="2:14" ht="15">
      <c r="C23" s="101" t="s">
        <v>91</v>
      </c>
      <c r="D23" s="80">
        <f t="shared" ref="D23:N23" si="0">TRUNC(D11*0.05,2)</f>
        <v>3.68</v>
      </c>
      <c r="E23" s="81">
        <f t="shared" si="0"/>
        <v>3.68</v>
      </c>
      <c r="F23" s="81">
        <f t="shared" si="0"/>
        <v>3.68</v>
      </c>
      <c r="G23" s="81">
        <f t="shared" si="0"/>
        <v>3.68</v>
      </c>
      <c r="H23" s="81">
        <f t="shared" si="0"/>
        <v>3.68</v>
      </c>
      <c r="I23" s="81">
        <f t="shared" si="0"/>
        <v>3.68</v>
      </c>
      <c r="J23" s="81">
        <f t="shared" si="0"/>
        <v>3.68</v>
      </c>
      <c r="K23" s="81">
        <f t="shared" si="0"/>
        <v>3.68</v>
      </c>
      <c r="L23" s="81">
        <f t="shared" si="0"/>
        <v>3.68</v>
      </c>
      <c r="M23" s="81">
        <f t="shared" si="0"/>
        <v>3.68</v>
      </c>
      <c r="N23" s="82">
        <f t="shared" si="0"/>
        <v>3.68</v>
      </c>
    </row>
    <row r="24" spans="2:14" ht="15">
      <c r="C24" s="101" t="s">
        <v>66</v>
      </c>
      <c r="D24" s="83">
        <f t="shared" ref="D24:M24" si="1">TRUNC(D12*0.05,2)</f>
        <v>11.58</v>
      </c>
      <c r="E24" s="84">
        <f t="shared" si="1"/>
        <v>9.98</v>
      </c>
      <c r="F24" s="84">
        <f t="shared" si="1"/>
        <v>9.01</v>
      </c>
      <c r="G24" s="84">
        <f t="shared" si="1"/>
        <v>10.37</v>
      </c>
      <c r="H24" s="84">
        <f t="shared" si="1"/>
        <v>10.02</v>
      </c>
      <c r="I24" s="84">
        <f t="shared" si="1"/>
        <v>10.07</v>
      </c>
      <c r="J24" s="84">
        <f t="shared" si="1"/>
        <v>10.37</v>
      </c>
      <c r="K24" s="84">
        <f t="shared" si="1"/>
        <v>11.08</v>
      </c>
      <c r="L24" s="84">
        <f t="shared" si="1"/>
        <v>10.3</v>
      </c>
      <c r="M24" s="84">
        <f t="shared" si="1"/>
        <v>9.01</v>
      </c>
      <c r="N24" s="86"/>
    </row>
    <row r="25" spans="2:14" ht="15">
      <c r="C25" s="101" t="s">
        <v>125</v>
      </c>
      <c r="D25" s="83">
        <f>TRUNC(D13*0.05,2)</f>
        <v>13.6</v>
      </c>
      <c r="E25" s="84">
        <f>TRUNC(E13*0.05,2)</f>
        <v>11.35</v>
      </c>
      <c r="F25" s="84">
        <f>TRUNC(F13*0.05,2)</f>
        <v>10.24</v>
      </c>
      <c r="G25" s="85"/>
      <c r="H25" s="85"/>
      <c r="I25" s="85"/>
      <c r="J25" s="85"/>
      <c r="K25" s="84">
        <f>TRUNC(K13*0.05,2)</f>
        <v>12.59</v>
      </c>
      <c r="L25" s="85"/>
      <c r="M25" s="85"/>
      <c r="N25" s="86"/>
    </row>
    <row r="26" spans="2:14" ht="15">
      <c r="C26" s="101" t="s">
        <v>126</v>
      </c>
      <c r="D26" s="102"/>
      <c r="E26" s="84">
        <f>TRUNC(E14*0.05,2)</f>
        <v>13.15</v>
      </c>
      <c r="F26" s="85"/>
      <c r="G26" s="85"/>
      <c r="H26" s="85"/>
      <c r="I26" s="85"/>
      <c r="J26" s="85"/>
      <c r="K26" s="85"/>
      <c r="L26" s="85"/>
      <c r="M26" s="85"/>
      <c r="N26" s="86"/>
    </row>
    <row r="27" spans="2:14" ht="15">
      <c r="C27" s="101" t="s">
        <v>68</v>
      </c>
      <c r="D27" s="83">
        <v>945.82</v>
      </c>
      <c r="E27" s="84">
        <f>TRUNC(E15*0.05,2)</f>
        <v>791.57</v>
      </c>
      <c r="F27" s="85"/>
      <c r="G27" s="84">
        <f>TRUNC(G15*0.05,2)</f>
        <v>863.59</v>
      </c>
      <c r="H27" s="85"/>
      <c r="I27" s="85"/>
      <c r="J27" s="85"/>
      <c r="K27" s="85"/>
      <c r="L27" s="85"/>
      <c r="M27" s="85"/>
      <c r="N27" s="86"/>
    </row>
    <row r="28" spans="2:14" ht="15">
      <c r="C28" s="101" t="s">
        <v>121</v>
      </c>
      <c r="D28" s="102"/>
      <c r="E28" s="85"/>
      <c r="F28" s="85"/>
      <c r="G28" s="85"/>
      <c r="H28" s="85"/>
      <c r="I28" s="85"/>
      <c r="J28" s="85"/>
      <c r="K28" s="85"/>
      <c r="L28" s="84">
        <f>TRUNC(L16*0.05,2)</f>
        <v>11</v>
      </c>
      <c r="M28" s="85"/>
      <c r="N28" s="86"/>
    </row>
    <row r="29" spans="2:14" ht="15">
      <c r="C29" s="101" t="s">
        <v>69</v>
      </c>
      <c r="D29" s="83">
        <f>TRUNC(D17*0.05,2)</f>
        <v>708.88</v>
      </c>
      <c r="E29" s="85"/>
      <c r="F29" s="85"/>
      <c r="G29" s="85"/>
      <c r="H29" s="85"/>
      <c r="I29" s="85"/>
      <c r="J29" s="85"/>
      <c r="K29" s="85"/>
      <c r="L29" s="85"/>
      <c r="M29" s="85"/>
      <c r="N29" s="86"/>
    </row>
    <row r="30" spans="2:14" ht="15">
      <c r="C30" s="101" t="s">
        <v>122</v>
      </c>
      <c r="D30" s="83">
        <f>TRUNC(D18*0.05,2)</f>
        <v>428.08</v>
      </c>
      <c r="E30" s="89"/>
      <c r="F30" s="89"/>
      <c r="G30" s="89"/>
      <c r="H30" s="89"/>
      <c r="I30" s="89"/>
      <c r="J30" s="89"/>
      <c r="K30" s="89"/>
      <c r="L30" s="89"/>
      <c r="M30" s="89"/>
      <c r="N30" s="103"/>
    </row>
    <row r="31" spans="2:14" ht="15">
      <c r="C31" s="101" t="s">
        <v>94</v>
      </c>
      <c r="D31" s="83">
        <f>TRUNC(D19*0.05,2)</f>
        <v>567.08000000000004</v>
      </c>
      <c r="E31" s="89"/>
      <c r="F31" s="89"/>
      <c r="G31" s="83">
        <f>TRUNC(G19*0.05,2)</f>
        <v>648.9</v>
      </c>
      <c r="H31" s="89"/>
      <c r="I31" s="89"/>
      <c r="J31" s="89"/>
      <c r="K31" s="89"/>
      <c r="L31" s="89"/>
      <c r="M31" s="89"/>
      <c r="N31" s="103"/>
    </row>
    <row r="32" spans="2:14" ht="15.75" thickBot="1">
      <c r="C32" s="101" t="s">
        <v>70</v>
      </c>
      <c r="D32" s="88">
        <f>TRUNC(D20*0.05,2)-0.01</f>
        <v>822.46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4" spans="1:15" ht="15.75" thickBot="1">
      <c r="B34" s="100" t="s">
        <v>95</v>
      </c>
    </row>
    <row r="35" spans="1:15" ht="15">
      <c r="C35" s="101" t="s">
        <v>91</v>
      </c>
      <c r="D35" s="107">
        <v>4.76</v>
      </c>
      <c r="E35" s="108">
        <v>4.76</v>
      </c>
      <c r="F35" s="108">
        <v>4.76</v>
      </c>
      <c r="G35" s="108">
        <v>4.76</v>
      </c>
      <c r="H35" s="108">
        <v>4.76</v>
      </c>
      <c r="I35" s="108">
        <v>4.76</v>
      </c>
      <c r="J35" s="108">
        <v>4.76</v>
      </c>
      <c r="K35" s="108">
        <v>4.76</v>
      </c>
      <c r="L35" s="108">
        <v>4.76</v>
      </c>
      <c r="M35" s="108">
        <v>4.76</v>
      </c>
      <c r="N35" s="109">
        <v>4.76</v>
      </c>
    </row>
    <row r="36" spans="1:15" ht="15">
      <c r="C36" s="101" t="s">
        <v>66</v>
      </c>
      <c r="D36" s="110">
        <v>4.76</v>
      </c>
      <c r="E36" s="111">
        <v>4.76</v>
      </c>
      <c r="F36" s="111">
        <v>4.76</v>
      </c>
      <c r="G36" s="111">
        <v>4.76</v>
      </c>
      <c r="H36" s="111">
        <v>4.76</v>
      </c>
      <c r="I36" s="111">
        <v>4.76</v>
      </c>
      <c r="J36" s="111">
        <v>4.76</v>
      </c>
      <c r="K36" s="111">
        <v>4.76</v>
      </c>
      <c r="L36" s="111">
        <v>4.76</v>
      </c>
      <c r="M36" s="111">
        <v>4.76</v>
      </c>
      <c r="N36" s="86"/>
    </row>
    <row r="37" spans="1:15" ht="15">
      <c r="C37" s="101" t="s">
        <v>67</v>
      </c>
      <c r="D37" s="110">
        <v>4.76</v>
      </c>
      <c r="E37" s="111">
        <v>4.76</v>
      </c>
      <c r="F37" s="111">
        <v>4.76</v>
      </c>
      <c r="G37" s="85"/>
      <c r="H37" s="85"/>
      <c r="I37" s="85"/>
      <c r="J37" s="85"/>
      <c r="K37" s="111">
        <v>4.76</v>
      </c>
      <c r="L37" s="85"/>
      <c r="M37" s="85"/>
      <c r="N37" s="86"/>
    </row>
    <row r="38" spans="1:15" ht="15">
      <c r="C38" s="101" t="s">
        <v>68</v>
      </c>
      <c r="D38" s="110">
        <v>190.4</v>
      </c>
      <c r="E38" s="111">
        <v>190.4</v>
      </c>
      <c r="F38" s="85"/>
      <c r="G38" s="111">
        <v>190.4</v>
      </c>
      <c r="H38" s="85"/>
      <c r="I38" s="85"/>
      <c r="J38" s="85"/>
      <c r="K38" s="85"/>
      <c r="L38" s="85"/>
      <c r="M38" s="85"/>
      <c r="N38" s="86"/>
    </row>
    <row r="39" spans="1:15" ht="15">
      <c r="C39" s="101" t="s">
        <v>69</v>
      </c>
      <c r="D39" s="110">
        <v>190.4</v>
      </c>
      <c r="E39" s="85"/>
      <c r="F39" s="85"/>
      <c r="G39" s="85"/>
      <c r="H39" s="85"/>
      <c r="I39" s="85"/>
      <c r="J39" s="85"/>
      <c r="K39" s="85"/>
      <c r="L39" s="85"/>
      <c r="M39" s="85"/>
      <c r="N39" s="86"/>
    </row>
    <row r="40" spans="1:15" ht="15">
      <c r="C40" s="101" t="s">
        <v>122</v>
      </c>
      <c r="D40" s="87">
        <v>171.36</v>
      </c>
      <c r="E40" s="89"/>
      <c r="F40" s="89"/>
      <c r="G40" s="89"/>
      <c r="H40" s="89"/>
      <c r="I40" s="89"/>
      <c r="J40" s="89"/>
      <c r="K40" s="89"/>
      <c r="L40" s="89"/>
      <c r="M40" s="89"/>
      <c r="N40" s="103"/>
    </row>
    <row r="41" spans="1:15" ht="15">
      <c r="C41" s="101" t="s">
        <v>94</v>
      </c>
      <c r="D41" s="87">
        <v>185.64</v>
      </c>
      <c r="E41" s="89"/>
      <c r="F41" s="89"/>
      <c r="G41" s="87">
        <v>190.4</v>
      </c>
      <c r="H41" s="89"/>
      <c r="I41" s="89"/>
      <c r="J41" s="89"/>
      <c r="K41" s="89"/>
      <c r="L41" s="89"/>
      <c r="M41" s="89"/>
      <c r="N41" s="103"/>
    </row>
    <row r="42" spans="1:15" ht="15.75" thickBot="1">
      <c r="C42" s="101" t="s">
        <v>70</v>
      </c>
      <c r="D42" s="141">
        <v>190.4</v>
      </c>
      <c r="E42" s="104"/>
      <c r="F42" s="104"/>
      <c r="G42" s="104"/>
      <c r="H42" s="104"/>
      <c r="I42" s="104"/>
      <c r="J42" s="104"/>
      <c r="K42" s="104"/>
      <c r="L42" s="104"/>
      <c r="M42" s="104"/>
      <c r="N42" s="105"/>
    </row>
    <row r="43" spans="1:15"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</row>
    <row r="44" spans="1:15" ht="15">
      <c r="A44" s="100" t="s">
        <v>96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12"/>
    </row>
    <row r="45" spans="1:15" ht="15.75" thickBot="1">
      <c r="B45" s="100" t="s">
        <v>97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12"/>
    </row>
    <row r="46" spans="1:15" ht="15">
      <c r="C46" s="101" t="s">
        <v>91</v>
      </c>
      <c r="D46" s="80">
        <f>463+73.71</f>
        <v>536.71</v>
      </c>
      <c r="E46" s="81">
        <f>416.88+E11</f>
        <v>490.59</v>
      </c>
      <c r="F46" s="81">
        <f>73.11+379.07</f>
        <v>452.18</v>
      </c>
      <c r="G46" s="81">
        <v>476.84</v>
      </c>
      <c r="H46" s="81">
        <v>488.44</v>
      </c>
      <c r="I46" s="81">
        <f>397.03+I11</f>
        <v>470.73999999999995</v>
      </c>
      <c r="J46" s="142">
        <v>429.38</v>
      </c>
      <c r="K46" s="142">
        <v>467.33</v>
      </c>
      <c r="L46" s="81">
        <v>0</v>
      </c>
      <c r="M46" s="81">
        <v>452.18</v>
      </c>
      <c r="N46" s="82">
        <v>503.09</v>
      </c>
      <c r="O46" s="112"/>
    </row>
    <row r="47" spans="1:15" ht="15">
      <c r="C47" s="101" t="s">
        <v>66</v>
      </c>
      <c r="D47" s="83">
        <f>600.19+231.77</f>
        <v>831.96</v>
      </c>
      <c r="E47" s="84">
        <f>601.34+E12</f>
        <v>801.12</v>
      </c>
      <c r="F47" s="84">
        <f>184.74+587.02</f>
        <v>771.76</v>
      </c>
      <c r="G47" s="84">
        <v>821.94</v>
      </c>
      <c r="H47" s="84">
        <v>837.97</v>
      </c>
      <c r="I47" s="84">
        <f>609.94+I12</f>
        <v>811.48</v>
      </c>
      <c r="J47" s="143">
        <v>659.65</v>
      </c>
      <c r="K47" s="143">
        <v>701.77</v>
      </c>
      <c r="L47" s="84">
        <v>0</v>
      </c>
      <c r="M47" s="84">
        <v>771.78</v>
      </c>
      <c r="N47" s="86"/>
      <c r="O47" s="112"/>
    </row>
    <row r="48" spans="1:15" ht="15">
      <c r="C48" s="101" t="s">
        <v>125</v>
      </c>
      <c r="D48" s="83">
        <f>614.76+272.01</f>
        <v>886.77</v>
      </c>
      <c r="E48" s="84">
        <f>227.07+635.32</f>
        <v>862.3900000000001</v>
      </c>
      <c r="F48" s="84">
        <f>209.97+611.46</f>
        <v>821.43000000000006</v>
      </c>
      <c r="G48" s="85"/>
      <c r="H48" s="85"/>
      <c r="I48" s="85"/>
      <c r="J48" s="85"/>
      <c r="K48" s="143">
        <v>689.57</v>
      </c>
      <c r="L48" s="85"/>
      <c r="M48" s="85"/>
      <c r="N48" s="86"/>
      <c r="O48" s="112"/>
    </row>
    <row r="49" spans="2:15" ht="15">
      <c r="C49" s="101" t="s">
        <v>126</v>
      </c>
      <c r="D49" s="102"/>
      <c r="E49" s="84">
        <f>263.12+619.32</f>
        <v>882.44</v>
      </c>
      <c r="F49" s="85"/>
      <c r="G49" s="85"/>
      <c r="H49" s="85"/>
      <c r="I49" s="85"/>
      <c r="J49" s="85"/>
      <c r="K49" s="85"/>
      <c r="L49" s="85"/>
      <c r="M49" s="85"/>
      <c r="N49" s="86"/>
      <c r="O49" s="112"/>
    </row>
    <row r="50" spans="2:15" ht="15">
      <c r="C50" s="101" t="s">
        <v>68</v>
      </c>
      <c r="D50" s="83">
        <f>27036.76+18916.72</f>
        <v>45953.479999999996</v>
      </c>
      <c r="E50" s="84">
        <f>E15+32905.9</f>
        <v>48737.43</v>
      </c>
      <c r="F50" s="85"/>
      <c r="G50" s="84">
        <v>47005.04</v>
      </c>
      <c r="H50" s="85"/>
      <c r="I50" s="85"/>
      <c r="J50" s="85"/>
      <c r="K50" s="85"/>
      <c r="L50" s="85"/>
      <c r="M50" s="85"/>
      <c r="N50" s="86"/>
      <c r="O50" s="112"/>
    </row>
    <row r="51" spans="2:15" ht="15">
      <c r="C51" s="101" t="s">
        <v>69</v>
      </c>
      <c r="D51" s="83">
        <f>19394.56+14177.78</f>
        <v>33572.340000000004</v>
      </c>
      <c r="E51" s="85"/>
      <c r="F51" s="85"/>
      <c r="G51" s="85"/>
      <c r="H51" s="85"/>
      <c r="I51" s="85"/>
      <c r="J51" s="85"/>
      <c r="K51" s="85"/>
      <c r="L51" s="85"/>
      <c r="M51" s="85"/>
      <c r="N51" s="86"/>
      <c r="O51" s="112"/>
    </row>
    <row r="52" spans="2:15" ht="15">
      <c r="C52" s="101" t="s">
        <v>122</v>
      </c>
      <c r="D52" s="87">
        <f>21399.42+8561.74</f>
        <v>29961.159999999996</v>
      </c>
      <c r="E52" s="89"/>
      <c r="F52" s="89"/>
      <c r="G52" s="89"/>
      <c r="H52" s="89"/>
      <c r="I52" s="89"/>
      <c r="J52" s="89"/>
      <c r="K52" s="89"/>
      <c r="L52" s="89"/>
      <c r="M52" s="89"/>
      <c r="N52" s="103"/>
      <c r="O52" s="112"/>
    </row>
    <row r="53" spans="2:15" ht="15">
      <c r="C53" s="101" t="s">
        <v>94</v>
      </c>
      <c r="D53" s="148">
        <f>7619.06+11908.78</f>
        <v>19527.84</v>
      </c>
      <c r="E53" s="89"/>
      <c r="F53" s="89"/>
      <c r="G53" s="87">
        <v>17640</v>
      </c>
      <c r="H53" s="89"/>
      <c r="I53" s="89"/>
      <c r="J53" s="89"/>
      <c r="K53" s="89"/>
      <c r="L53" s="89"/>
      <c r="M53" s="89"/>
      <c r="N53" s="103"/>
      <c r="O53" s="112"/>
    </row>
    <row r="54" spans="2:15" ht="15.75" thickBot="1">
      <c r="C54" s="101" t="s">
        <v>70</v>
      </c>
      <c r="D54" s="88">
        <f>24485.22+16449.4</f>
        <v>40934.620000000003</v>
      </c>
      <c r="E54" s="104"/>
      <c r="F54" s="104"/>
      <c r="G54" s="104"/>
      <c r="H54" s="104"/>
      <c r="I54" s="104"/>
      <c r="J54" s="104"/>
      <c r="K54" s="104"/>
      <c r="L54" s="104"/>
      <c r="M54" s="104"/>
      <c r="N54" s="105"/>
      <c r="O54" s="112"/>
    </row>
    <row r="55" spans="2:15">
      <c r="O55" s="112"/>
    </row>
    <row r="56" spans="2:15" ht="15.75" thickBot="1">
      <c r="B56" s="100" t="s">
        <v>71</v>
      </c>
      <c r="O56" s="112"/>
    </row>
    <row r="57" spans="2:15" ht="15.75" thickBot="1">
      <c r="C57" s="101" t="s">
        <v>91</v>
      </c>
      <c r="D57" s="80">
        <f>TRUNC(D46*0.05,2)-0.01</f>
        <v>26.819999999999997</v>
      </c>
      <c r="E57" s="81">
        <f t="shared" ref="E57:M57" si="2">TRUNC(E46*0.05,2)</f>
        <v>24.52</v>
      </c>
      <c r="F57" s="81">
        <f t="shared" si="2"/>
        <v>22.6</v>
      </c>
      <c r="G57" s="81">
        <f t="shared" si="2"/>
        <v>23.84</v>
      </c>
      <c r="H57" s="81">
        <f t="shared" si="2"/>
        <v>24.42</v>
      </c>
      <c r="I57" s="81">
        <f t="shared" si="2"/>
        <v>23.53</v>
      </c>
      <c r="J57" s="81">
        <f t="shared" si="2"/>
        <v>21.46</v>
      </c>
      <c r="K57" s="81">
        <f t="shared" si="2"/>
        <v>23.36</v>
      </c>
      <c r="L57" s="81">
        <f t="shared" si="2"/>
        <v>0</v>
      </c>
      <c r="M57" s="81">
        <f t="shared" si="2"/>
        <v>22.6</v>
      </c>
      <c r="N57" s="113">
        <v>25.14</v>
      </c>
      <c r="O57" s="112"/>
    </row>
    <row r="58" spans="2:15" ht="15.75" thickBot="1">
      <c r="C58" s="101" t="s">
        <v>66</v>
      </c>
      <c r="D58" s="80">
        <f>TRUNC(D47*0.05,2)-0.01</f>
        <v>41.580000000000005</v>
      </c>
      <c r="E58" s="84">
        <f t="shared" ref="E58:M58" si="3">TRUNC(E47*0.05,2)</f>
        <v>40.049999999999997</v>
      </c>
      <c r="F58" s="84">
        <f t="shared" si="3"/>
        <v>38.58</v>
      </c>
      <c r="G58" s="84">
        <f t="shared" si="3"/>
        <v>41.09</v>
      </c>
      <c r="H58" s="84">
        <f t="shared" si="3"/>
        <v>41.89</v>
      </c>
      <c r="I58" s="84">
        <f t="shared" si="3"/>
        <v>40.57</v>
      </c>
      <c r="J58" s="84">
        <f t="shared" si="3"/>
        <v>32.979999999999997</v>
      </c>
      <c r="K58" s="84">
        <f t="shared" si="3"/>
        <v>35.08</v>
      </c>
      <c r="L58" s="84">
        <f t="shared" si="3"/>
        <v>0</v>
      </c>
      <c r="M58" s="84">
        <f t="shared" si="3"/>
        <v>38.58</v>
      </c>
      <c r="N58" s="86"/>
      <c r="O58" s="112"/>
    </row>
    <row r="59" spans="2:15" ht="15">
      <c r="C59" s="101" t="s">
        <v>125</v>
      </c>
      <c r="D59" s="80">
        <f>TRUNC(D48*0.05,2)</f>
        <v>44.33</v>
      </c>
      <c r="E59" s="84">
        <f>TRUNC(E48*0.05,2)</f>
        <v>43.11</v>
      </c>
      <c r="F59" s="84">
        <f>TRUNC(F48*0.05,2)</f>
        <v>41.07</v>
      </c>
      <c r="G59" s="85"/>
      <c r="H59" s="85"/>
      <c r="I59" s="85"/>
      <c r="J59" s="85"/>
      <c r="K59" s="84">
        <f>TRUNC(K48*0.05,2)</f>
        <v>34.47</v>
      </c>
      <c r="L59" s="85"/>
      <c r="M59" s="85"/>
      <c r="N59" s="86"/>
      <c r="O59" s="112"/>
    </row>
    <row r="60" spans="2:15" ht="15">
      <c r="C60" s="101" t="s">
        <v>126</v>
      </c>
      <c r="D60" s="102"/>
      <c r="E60" s="84">
        <f>TRUNC(E49*0.05,2)</f>
        <v>44.12</v>
      </c>
      <c r="F60" s="85"/>
      <c r="G60" s="85"/>
      <c r="H60" s="85"/>
      <c r="I60" s="85"/>
      <c r="J60" s="85"/>
      <c r="K60" s="85"/>
      <c r="L60" s="85"/>
      <c r="M60" s="85"/>
      <c r="N60" s="86"/>
      <c r="O60" s="112"/>
    </row>
    <row r="61" spans="2:15" ht="15">
      <c r="C61" s="101" t="s">
        <v>68</v>
      </c>
      <c r="D61" s="83">
        <f>TRUNC(D50*0.05,2)-0.03</f>
        <v>2297.64</v>
      </c>
      <c r="E61" s="84">
        <f>TRUNC(E50*0.05,2)</f>
        <v>2436.87</v>
      </c>
      <c r="F61" s="85"/>
      <c r="G61" s="84">
        <f>TRUNC(G50*0.05,2)</f>
        <v>2350.25</v>
      </c>
      <c r="H61" s="85"/>
      <c r="I61" s="85"/>
      <c r="J61" s="85"/>
      <c r="K61" s="85"/>
      <c r="L61" s="85"/>
      <c r="M61" s="85"/>
      <c r="N61" s="86"/>
      <c r="O61" s="112"/>
    </row>
    <row r="62" spans="2:15" ht="15">
      <c r="C62" s="101" t="s">
        <v>69</v>
      </c>
      <c r="D62" s="83">
        <f>TRUNC(D51*0.05,2)-0.01</f>
        <v>1678.6</v>
      </c>
      <c r="E62" s="85"/>
      <c r="F62" s="85"/>
      <c r="G62" s="85"/>
      <c r="H62" s="85"/>
      <c r="I62" s="85"/>
      <c r="J62" s="85"/>
      <c r="K62" s="85"/>
      <c r="L62" s="85"/>
      <c r="M62" s="85"/>
      <c r="N62" s="86"/>
      <c r="O62" s="112"/>
    </row>
    <row r="63" spans="2:15" ht="15">
      <c r="C63" s="101" t="s">
        <v>122</v>
      </c>
      <c r="D63" s="83">
        <f>TRUNC(D52*0.05,2)-0.01</f>
        <v>1498.04</v>
      </c>
      <c r="E63" s="89"/>
      <c r="F63" s="89"/>
      <c r="G63" s="89"/>
      <c r="H63" s="89"/>
      <c r="I63" s="89"/>
      <c r="J63" s="89"/>
      <c r="K63" s="89"/>
      <c r="L63" s="89"/>
      <c r="M63" s="89"/>
      <c r="N63" s="103"/>
      <c r="O63" s="112"/>
    </row>
    <row r="64" spans="2:15" ht="15">
      <c r="C64" s="101" t="s">
        <v>94</v>
      </c>
      <c r="D64" s="83">
        <f>TRUNC(D53*0.05,2)-0.03</f>
        <v>976.36</v>
      </c>
      <c r="E64" s="89"/>
      <c r="F64" s="89"/>
      <c r="G64" s="83">
        <f>TRUNC(G53*0.05,2)</f>
        <v>882</v>
      </c>
      <c r="H64" s="89"/>
      <c r="I64" s="89"/>
      <c r="J64" s="89"/>
      <c r="K64" s="89"/>
      <c r="L64" s="89"/>
      <c r="M64" s="89"/>
      <c r="N64" s="103"/>
      <c r="O64" s="112"/>
    </row>
    <row r="65" spans="1:15" ht="15.75" thickBot="1">
      <c r="C65" s="101" t="s">
        <v>70</v>
      </c>
      <c r="D65" s="88">
        <f>TRUNC(D54*0.05,2)-0.01</f>
        <v>2046.72</v>
      </c>
      <c r="E65" s="104"/>
      <c r="F65" s="104"/>
      <c r="G65" s="104"/>
      <c r="H65" s="104"/>
      <c r="I65" s="104"/>
      <c r="J65" s="104"/>
      <c r="K65" s="104"/>
      <c r="L65" s="104"/>
      <c r="M65" s="104"/>
      <c r="N65" s="105"/>
      <c r="O65" s="112"/>
    </row>
    <row r="66" spans="1:15" ht="15">
      <c r="C66" s="101"/>
      <c r="D66" s="133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12"/>
    </row>
    <row r="67" spans="1:15" ht="15.75" thickBot="1">
      <c r="B67" s="100" t="s">
        <v>95</v>
      </c>
    </row>
    <row r="68" spans="1:15" ht="15">
      <c r="C68" s="101" t="s">
        <v>91</v>
      </c>
      <c r="D68" s="107">
        <v>4.76</v>
      </c>
      <c r="E68" s="108">
        <v>4.76</v>
      </c>
      <c r="F68" s="108">
        <v>4.76</v>
      </c>
      <c r="G68" s="108">
        <v>4.76</v>
      </c>
      <c r="H68" s="108">
        <v>4.76</v>
      </c>
      <c r="I68" s="108">
        <v>4.76</v>
      </c>
      <c r="J68" s="108">
        <v>4.76</v>
      </c>
      <c r="K68" s="108">
        <v>4.76</v>
      </c>
      <c r="L68" s="108">
        <v>4.76</v>
      </c>
      <c r="M68" s="108">
        <v>4.76</v>
      </c>
      <c r="N68" s="109">
        <v>4.76</v>
      </c>
    </row>
    <row r="69" spans="1:15" ht="15">
      <c r="C69" s="101" t="s">
        <v>66</v>
      </c>
      <c r="D69" s="110">
        <v>4.76</v>
      </c>
      <c r="E69" s="111">
        <v>4.76</v>
      </c>
      <c r="F69" s="111">
        <v>4.76</v>
      </c>
      <c r="G69" s="111">
        <v>4.76</v>
      </c>
      <c r="H69" s="111">
        <v>4.76</v>
      </c>
      <c r="I69" s="111">
        <v>4.76</v>
      </c>
      <c r="J69" s="111">
        <v>4.76</v>
      </c>
      <c r="K69" s="111">
        <v>4.76</v>
      </c>
      <c r="L69" s="111">
        <v>4.76</v>
      </c>
      <c r="M69" s="111">
        <v>4.76</v>
      </c>
      <c r="N69" s="86"/>
    </row>
    <row r="70" spans="1:15" ht="15">
      <c r="C70" s="101" t="s">
        <v>67</v>
      </c>
      <c r="D70" s="110">
        <v>4.76</v>
      </c>
      <c r="E70" s="111">
        <v>4.76</v>
      </c>
      <c r="F70" s="111">
        <v>4.76</v>
      </c>
      <c r="G70" s="85"/>
      <c r="H70" s="85"/>
      <c r="I70" s="85"/>
      <c r="J70" s="85"/>
      <c r="K70" s="111">
        <v>4.76</v>
      </c>
      <c r="L70" s="85"/>
      <c r="M70" s="85"/>
      <c r="N70" s="86"/>
    </row>
    <row r="71" spans="1:15" ht="15">
      <c r="C71" s="101" t="s">
        <v>68</v>
      </c>
      <c r="D71" s="110">
        <f>92.8+97.6</f>
        <v>190.39999999999998</v>
      </c>
      <c r="E71" s="111">
        <v>190.4</v>
      </c>
      <c r="F71" s="85"/>
      <c r="G71" s="111">
        <v>190.4</v>
      </c>
      <c r="H71" s="85"/>
      <c r="I71" s="85"/>
      <c r="J71" s="85"/>
      <c r="K71" s="85"/>
      <c r="L71" s="85"/>
      <c r="M71" s="85"/>
      <c r="N71" s="86"/>
    </row>
    <row r="72" spans="1:15" ht="15">
      <c r="C72" s="101" t="s">
        <v>69</v>
      </c>
      <c r="D72" s="110">
        <f>92.8+97.6</f>
        <v>190.39999999999998</v>
      </c>
      <c r="E72" s="85"/>
      <c r="F72" s="85"/>
      <c r="G72" s="85"/>
      <c r="H72" s="85"/>
      <c r="I72" s="85"/>
      <c r="J72" s="85"/>
      <c r="K72" s="85"/>
      <c r="L72" s="85"/>
      <c r="M72" s="85"/>
      <c r="N72" s="86"/>
    </row>
    <row r="73" spans="1:15" ht="15">
      <c r="C73" s="101" t="s">
        <v>122</v>
      </c>
      <c r="D73" s="148">
        <f>83.52+87.84</f>
        <v>171.36</v>
      </c>
      <c r="E73" s="89"/>
      <c r="F73" s="89"/>
      <c r="G73" s="89"/>
      <c r="H73" s="89"/>
      <c r="I73" s="89"/>
      <c r="J73" s="89"/>
      <c r="K73" s="89"/>
      <c r="L73" s="89"/>
      <c r="M73" s="89"/>
      <c r="N73" s="103"/>
    </row>
    <row r="74" spans="1:15" ht="15">
      <c r="C74" s="101" t="s">
        <v>94</v>
      </c>
      <c r="D74" s="87">
        <f>90.48+95.16</f>
        <v>185.64</v>
      </c>
      <c r="E74" s="89"/>
      <c r="F74" s="89"/>
      <c r="G74" s="87">
        <v>190.4</v>
      </c>
      <c r="H74" s="89"/>
      <c r="I74" s="89"/>
      <c r="J74" s="89"/>
      <c r="K74" s="89"/>
      <c r="L74" s="89"/>
      <c r="M74" s="89"/>
      <c r="N74" s="103"/>
    </row>
    <row r="75" spans="1:15" ht="15.75" thickBot="1">
      <c r="C75" s="101" t="s">
        <v>70</v>
      </c>
      <c r="D75" s="141">
        <f>92.8+97.6</f>
        <v>190.39999999999998</v>
      </c>
      <c r="E75" s="104"/>
      <c r="F75" s="104"/>
      <c r="G75" s="104"/>
      <c r="H75" s="104"/>
      <c r="I75" s="104"/>
      <c r="J75" s="104"/>
      <c r="K75" s="104"/>
      <c r="L75" s="104"/>
      <c r="M75" s="104"/>
      <c r="N75" s="105"/>
    </row>
    <row r="76" spans="1:15">
      <c r="O76" s="112"/>
    </row>
    <row r="77" spans="1:15" ht="15">
      <c r="A77" s="100" t="s">
        <v>72</v>
      </c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</row>
    <row r="78" spans="1:15" ht="15.75" thickBot="1">
      <c r="B78" s="100" t="s">
        <v>73</v>
      </c>
    </row>
    <row r="79" spans="1:15" ht="15">
      <c r="C79" s="101" t="s">
        <v>74</v>
      </c>
      <c r="D79" s="114">
        <v>9.24</v>
      </c>
      <c r="E79" s="115">
        <v>8.5500000000000007</v>
      </c>
      <c r="F79" s="115">
        <v>10</v>
      </c>
      <c r="G79" s="115">
        <v>8.08</v>
      </c>
      <c r="H79" s="115">
        <v>10</v>
      </c>
      <c r="I79" s="115">
        <v>9.98</v>
      </c>
      <c r="J79" s="115">
        <v>9.3699999999999992</v>
      </c>
      <c r="K79" s="115">
        <v>10.52</v>
      </c>
      <c r="L79" s="115">
        <v>11.73</v>
      </c>
      <c r="M79" s="115">
        <v>9.6999999999999993</v>
      </c>
      <c r="N79" s="116">
        <v>15.1</v>
      </c>
    </row>
    <row r="80" spans="1:15" ht="15.75" thickBot="1">
      <c r="C80" s="101" t="s">
        <v>75</v>
      </c>
      <c r="D80" s="117"/>
      <c r="E80" s="118"/>
      <c r="F80" s="118"/>
      <c r="G80" s="118">
        <v>7</v>
      </c>
      <c r="H80" s="118"/>
      <c r="I80" s="118"/>
      <c r="J80" s="118"/>
      <c r="K80" s="118"/>
      <c r="L80" s="118"/>
      <c r="M80" s="118"/>
      <c r="N80" s="119"/>
    </row>
    <row r="81" spans="2:14" ht="15.75" thickBot="1">
      <c r="B81" s="100" t="s">
        <v>76</v>
      </c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</row>
    <row r="82" spans="2:14" ht="15">
      <c r="B82" s="100"/>
      <c r="C82" s="101" t="s">
        <v>74</v>
      </c>
      <c r="D82" s="114">
        <v>1.9</v>
      </c>
      <c r="E82" s="115">
        <v>5.98</v>
      </c>
      <c r="F82" s="115">
        <v>8.75</v>
      </c>
      <c r="G82" s="115">
        <v>10.16</v>
      </c>
      <c r="H82" s="115">
        <v>13.75</v>
      </c>
      <c r="I82" s="115">
        <v>12.82</v>
      </c>
      <c r="J82" s="115">
        <v>11.09</v>
      </c>
      <c r="K82" s="115">
        <f>11.66-2</f>
        <v>9.66</v>
      </c>
      <c r="L82" s="115">
        <v>10.25</v>
      </c>
      <c r="M82" s="115">
        <v>10.54</v>
      </c>
      <c r="N82" s="116">
        <v>2.2999999999999998</v>
      </c>
    </row>
    <row r="83" spans="2:14" ht="30">
      <c r="B83" s="100"/>
      <c r="C83" s="121" t="s">
        <v>99</v>
      </c>
      <c r="D83" s="122"/>
      <c r="E83" s="123"/>
      <c r="F83" s="123"/>
      <c r="G83" s="123"/>
      <c r="H83" s="123"/>
      <c r="I83" s="123"/>
      <c r="J83" s="123"/>
      <c r="K83" s="123">
        <v>2</v>
      </c>
      <c r="L83" s="123"/>
      <c r="M83" s="123"/>
      <c r="N83" s="124"/>
    </row>
    <row r="84" spans="2:14" ht="15.75" thickBot="1">
      <c r="B84" s="100"/>
      <c r="C84" s="101" t="s">
        <v>100</v>
      </c>
      <c r="D84" s="125">
        <f>SUM(D82:D83)</f>
        <v>1.9</v>
      </c>
      <c r="E84" s="126">
        <f t="shared" ref="E84:N84" si="4">SUM(E82:E83)</f>
        <v>5.98</v>
      </c>
      <c r="F84" s="126">
        <f t="shared" si="4"/>
        <v>8.75</v>
      </c>
      <c r="G84" s="126">
        <f t="shared" si="4"/>
        <v>10.16</v>
      </c>
      <c r="H84" s="126">
        <f t="shared" si="4"/>
        <v>13.75</v>
      </c>
      <c r="I84" s="126">
        <f t="shared" si="4"/>
        <v>12.82</v>
      </c>
      <c r="J84" s="126">
        <f t="shared" si="4"/>
        <v>11.09</v>
      </c>
      <c r="K84" s="126">
        <f t="shared" si="4"/>
        <v>11.66</v>
      </c>
      <c r="L84" s="126">
        <f t="shared" si="4"/>
        <v>10.25</v>
      </c>
      <c r="M84" s="126">
        <f t="shared" si="4"/>
        <v>10.54</v>
      </c>
      <c r="N84" s="127">
        <f t="shared" si="4"/>
        <v>2.2999999999999998</v>
      </c>
    </row>
    <row r="85" spans="2:14" ht="15">
      <c r="B85" s="100"/>
      <c r="C85" s="101" t="s">
        <v>75</v>
      </c>
      <c r="D85" s="122"/>
      <c r="E85" s="123"/>
      <c r="F85" s="123"/>
      <c r="G85" s="123">
        <v>10</v>
      </c>
      <c r="H85" s="123"/>
      <c r="I85" s="123"/>
      <c r="J85" s="123"/>
      <c r="K85" s="123">
        <v>10</v>
      </c>
      <c r="L85" s="123"/>
      <c r="M85" s="123"/>
      <c r="N85" s="124"/>
    </row>
    <row r="87" spans="2:14" ht="15.75" thickBot="1">
      <c r="B87" s="100" t="s">
        <v>77</v>
      </c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</row>
    <row r="88" spans="2:14" ht="15">
      <c r="C88" s="101" t="s">
        <v>74</v>
      </c>
      <c r="D88" s="114">
        <v>8.7799999999999994</v>
      </c>
      <c r="E88" s="115">
        <v>7.55</v>
      </c>
      <c r="F88" s="115"/>
      <c r="G88" s="115">
        <v>7.27</v>
      </c>
      <c r="H88" s="115">
        <v>5</v>
      </c>
      <c r="I88" s="115">
        <v>3.64</v>
      </c>
      <c r="J88" s="115">
        <v>7.95</v>
      </c>
      <c r="K88" s="115"/>
      <c r="L88" s="115">
        <v>5.07</v>
      </c>
      <c r="M88" s="115"/>
      <c r="N88" s="116">
        <v>4.16</v>
      </c>
    </row>
    <row r="89" spans="2:14" ht="15.75" thickBot="1">
      <c r="C89" s="101" t="s">
        <v>75</v>
      </c>
      <c r="D89" s="117"/>
      <c r="E89" s="118"/>
      <c r="F89" s="118">
        <v>59</v>
      </c>
      <c r="G89" s="118"/>
      <c r="H89" s="118"/>
      <c r="I89" s="118"/>
      <c r="J89" s="118"/>
      <c r="K89" s="118">
        <v>67.2</v>
      </c>
      <c r="L89" s="118"/>
      <c r="M89" s="118">
        <v>47.5</v>
      </c>
      <c r="N89" s="119"/>
    </row>
    <row r="90" spans="2:14" ht="15.75" thickBot="1">
      <c r="B90" s="100" t="s">
        <v>78</v>
      </c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</row>
    <row r="91" spans="2:14" ht="15">
      <c r="C91" s="101" t="s">
        <v>74</v>
      </c>
      <c r="D91" s="80">
        <v>4.8099999999999996</v>
      </c>
      <c r="E91" s="81"/>
      <c r="F91" s="81"/>
      <c r="G91" s="81">
        <v>2.25</v>
      </c>
      <c r="H91" s="81"/>
      <c r="I91" s="81">
        <v>1.8</v>
      </c>
      <c r="J91" s="81">
        <v>5.84</v>
      </c>
      <c r="K91" s="81"/>
      <c r="L91" s="81"/>
      <c r="M91" s="81"/>
      <c r="N91" s="82"/>
    </row>
    <row r="92" spans="2:14" ht="15.75" thickBot="1">
      <c r="C92" s="101" t="s">
        <v>75</v>
      </c>
      <c r="D92" s="117"/>
      <c r="E92" s="118">
        <v>6</v>
      </c>
      <c r="F92" s="118">
        <v>46.8</v>
      </c>
      <c r="G92" s="118"/>
      <c r="H92" s="118">
        <v>50</v>
      </c>
      <c r="I92" s="118"/>
      <c r="J92" s="118"/>
      <c r="K92" s="118">
        <v>61</v>
      </c>
      <c r="L92" s="118"/>
      <c r="M92" s="118"/>
      <c r="N92" s="119"/>
    </row>
    <row r="93" spans="2:14" ht="15.75" thickBot="1">
      <c r="B93" s="100" t="s">
        <v>79</v>
      </c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</row>
    <row r="94" spans="2:14" ht="15.75" thickBot="1">
      <c r="C94" s="101" t="s">
        <v>75</v>
      </c>
      <c r="D94" s="128">
        <f>369.6+76+351.2+192.4</f>
        <v>989.19999999999993</v>
      </c>
      <c r="E94" s="129">
        <v>1010.88</v>
      </c>
      <c r="F94" s="130"/>
      <c r="G94" s="129">
        <v>1010.32</v>
      </c>
      <c r="H94" s="130"/>
      <c r="I94" s="130"/>
      <c r="J94" s="130"/>
      <c r="K94" s="130"/>
      <c r="L94" s="130"/>
      <c r="M94" s="130"/>
      <c r="N94" s="131"/>
    </row>
    <row r="95" spans="2:14" s="19" customFormat="1" thickBot="1">
      <c r="B95" s="23" t="s">
        <v>101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</row>
    <row r="96" spans="2:14" s="19" customFormat="1" thickBot="1">
      <c r="C96" s="21" t="s">
        <v>75</v>
      </c>
      <c r="D96" s="41">
        <f>332.64+68.4+316.08+173.16</f>
        <v>890.27999999999986</v>
      </c>
      <c r="E96" s="75"/>
      <c r="F96" s="75"/>
      <c r="G96" s="75"/>
      <c r="H96" s="75"/>
      <c r="I96" s="75"/>
      <c r="J96" s="75"/>
      <c r="K96" s="75"/>
      <c r="L96" s="75"/>
      <c r="M96" s="75"/>
      <c r="N96" s="76"/>
    </row>
    <row r="97" spans="1:14" s="19" customFormat="1" thickBot="1">
      <c r="B97" s="23" t="s">
        <v>132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</row>
    <row r="98" spans="1:14" s="19" customFormat="1" thickBot="1">
      <c r="C98" s="21" t="s">
        <v>75</v>
      </c>
      <c r="D98" s="41">
        <f>360.36+74.1+342.42+187.58</f>
        <v>964.46000000000015</v>
      </c>
      <c r="E98" s="42"/>
      <c r="F98" s="75"/>
      <c r="G98" s="75"/>
      <c r="H98" s="75"/>
      <c r="I98" s="75"/>
      <c r="J98" s="75"/>
      <c r="K98" s="75"/>
      <c r="L98" s="75"/>
      <c r="M98" s="75"/>
      <c r="N98" s="76"/>
    </row>
    <row r="99" spans="1:14" ht="15">
      <c r="B99" s="100" t="s">
        <v>102</v>
      </c>
      <c r="C99" s="100"/>
      <c r="D99" s="132"/>
      <c r="E99" s="133"/>
      <c r="F99" s="134"/>
      <c r="G99" s="134"/>
      <c r="H99" s="134"/>
      <c r="I99" s="134"/>
      <c r="J99" s="134"/>
      <c r="K99" s="134"/>
      <c r="L99" s="134"/>
      <c r="M99" s="134"/>
      <c r="N99" s="134"/>
    </row>
    <row r="100" spans="1:14" ht="15">
      <c r="B100" s="100"/>
      <c r="C100" s="101" t="s">
        <v>103</v>
      </c>
      <c r="D100" s="132"/>
      <c r="E100" s="133"/>
      <c r="F100" s="134"/>
      <c r="G100" s="134"/>
      <c r="H100" s="134"/>
      <c r="I100" s="134"/>
      <c r="J100" s="134"/>
      <c r="K100" s="134"/>
      <c r="L100" s="134"/>
      <c r="M100" s="134"/>
      <c r="N100" s="134"/>
    </row>
    <row r="101" spans="1:14" ht="15">
      <c r="C101" s="135" t="s">
        <v>81</v>
      </c>
      <c r="D101" s="136"/>
      <c r="E101" s="133"/>
      <c r="F101" s="134"/>
      <c r="G101" s="134"/>
      <c r="H101" s="134"/>
      <c r="I101" s="134"/>
      <c r="J101" s="134"/>
      <c r="K101" s="134"/>
      <c r="L101" s="134"/>
      <c r="M101" s="134"/>
      <c r="N101" s="134"/>
    </row>
    <row r="102" spans="1:14" ht="15.75" thickBot="1">
      <c r="C102" s="101" t="s">
        <v>75</v>
      </c>
      <c r="D102" s="125"/>
      <c r="E102" s="118">
        <v>200</v>
      </c>
      <c r="F102" s="118"/>
      <c r="G102" s="118">
        <v>20</v>
      </c>
      <c r="H102" s="118"/>
      <c r="I102" s="118"/>
      <c r="J102" s="118">
        <v>200</v>
      </c>
      <c r="K102" s="118"/>
      <c r="L102" s="118"/>
      <c r="M102" s="118"/>
      <c r="N102" s="119"/>
    </row>
    <row r="103" spans="1:14" ht="15">
      <c r="C103" s="101" t="s">
        <v>74</v>
      </c>
      <c r="D103" s="133"/>
      <c r="E103" s="133"/>
      <c r="F103" s="134"/>
      <c r="G103" s="134">
        <v>1.5</v>
      </c>
      <c r="H103" s="134"/>
      <c r="I103" s="134"/>
      <c r="J103" s="134"/>
      <c r="K103" s="134"/>
      <c r="L103" s="134"/>
      <c r="M103" s="134"/>
      <c r="N103" s="134"/>
    </row>
    <row r="104" spans="1:14" ht="15.75" thickBot="1">
      <c r="A104" s="100" t="s">
        <v>80</v>
      </c>
    </row>
    <row r="105" spans="1:14" ht="15.75" thickBot="1">
      <c r="B105" s="100"/>
      <c r="C105" s="100"/>
      <c r="D105" s="137"/>
      <c r="E105" s="138"/>
      <c r="F105" s="138"/>
      <c r="G105" s="138">
        <v>200</v>
      </c>
      <c r="H105" s="138"/>
      <c r="I105" s="138"/>
      <c r="J105" s="138"/>
      <c r="K105" s="138"/>
      <c r="L105" s="138"/>
      <c r="M105" s="138"/>
      <c r="N105" s="139"/>
    </row>
    <row r="106" spans="1:14">
      <c r="C106" s="140" t="s">
        <v>127</v>
      </c>
    </row>
    <row r="107" spans="1:14">
      <c r="C107" s="140" t="s">
        <v>106</v>
      </c>
    </row>
  </sheetData>
  <phoneticPr fontId="0" type="noConversion"/>
  <printOptions horizontalCentered="1"/>
  <pageMargins left="0.25" right="0.25" top="0.4" bottom="0.4" header="0.5" footer="0.25"/>
  <pageSetup scale="88" orientation="landscape" r:id="rId1"/>
  <headerFooter alignWithMargins="0">
    <oddFooter>&amp;L
&amp;R&amp;"Book Antiqua,Regular"&amp;8Prepared by Office of Planning and  Institutional Research, Board of Governors, State University System of Florida,  &amp;F .&amp;A  &amp;D</oddFooter>
  </headerFooter>
  <rowBreaks count="2" manualBreakCount="2">
    <brk id="43" max="15" man="1"/>
    <brk id="75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09"/>
  <sheetViews>
    <sheetView zoomScale="75" zoomScaleNormal="100" zoomScaleSheetLayoutView="75" workbookViewId="0">
      <pane xSplit="3" ySplit="8" topLeftCell="D64" activePane="bottomRight" state="frozen"/>
      <selection pane="topRight" activeCell="D1" sqref="D1"/>
      <selection pane="bottomLeft" activeCell="A9" sqref="A9"/>
      <selection pane="bottomRight" activeCell="A94" sqref="A93:IV94"/>
    </sheetView>
  </sheetViews>
  <sheetFormatPr defaultColWidth="9.140625" defaultRowHeight="12.75"/>
  <cols>
    <col min="1" max="2" width="2.7109375" style="19" customWidth="1"/>
    <col min="3" max="3" width="17.85546875" style="19" customWidth="1"/>
    <col min="4" max="4" width="10.7109375" style="19" bestFit="1" customWidth="1"/>
    <col min="5" max="5" width="10.85546875" style="19" bestFit="1" customWidth="1"/>
    <col min="6" max="6" width="9.28515625" style="19" bestFit="1" customWidth="1"/>
    <col min="7" max="7" width="11.7109375" style="19" bestFit="1" customWidth="1"/>
    <col min="8" max="13" width="9.28515625" style="19" bestFit="1" customWidth="1"/>
    <col min="14" max="14" width="9.7109375" style="19" bestFit="1" customWidth="1"/>
    <col min="15" max="16384" width="9.140625" style="19"/>
  </cols>
  <sheetData>
    <row r="1" spans="1:15" ht="15.75">
      <c r="A1" s="17" t="s">
        <v>119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52"/>
    </row>
    <row r="2" spans="1:15">
      <c r="A2" s="18" t="s">
        <v>87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5">
      <c r="A4" s="53" t="s">
        <v>88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s="54" customFormat="1">
      <c r="A5" s="53" t="s">
        <v>89</v>
      </c>
    </row>
    <row r="6" spans="1:15" s="54" customFormat="1">
      <c r="A6" s="53" t="s">
        <v>90</v>
      </c>
    </row>
    <row r="7" spans="1:15" s="54" customFormat="1">
      <c r="A7" s="53"/>
    </row>
    <row r="8" spans="1:15"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2" t="s">
        <v>5</v>
      </c>
      <c r="J8" s="22" t="s">
        <v>6</v>
      </c>
      <c r="K8" s="22" t="s">
        <v>7</v>
      </c>
      <c r="L8" s="22" t="s">
        <v>8</v>
      </c>
      <c r="M8" s="22" t="s">
        <v>9</v>
      </c>
      <c r="N8" s="22" t="s">
        <v>10</v>
      </c>
      <c r="O8" s="22"/>
    </row>
    <row r="9" spans="1:15">
      <c r="A9" s="23" t="s">
        <v>65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3.5" thickBot="1">
      <c r="B10" s="23" t="s">
        <v>30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13.5">
      <c r="C11" s="21" t="s">
        <v>91</v>
      </c>
      <c r="D11" s="80">
        <v>73.709999999999994</v>
      </c>
      <c r="E11" s="81">
        <v>73.709999999999994</v>
      </c>
      <c r="F11" s="81">
        <v>73.709999999999994</v>
      </c>
      <c r="G11" s="81">
        <v>73.709999999999994</v>
      </c>
      <c r="H11" s="81">
        <v>73.709999999999994</v>
      </c>
      <c r="I11" s="81">
        <v>73.709999999999994</v>
      </c>
      <c r="J11" s="81">
        <v>73.709999999999994</v>
      </c>
      <c r="K11" s="81">
        <v>73.709999999999994</v>
      </c>
      <c r="L11" s="81">
        <v>73.709999999999994</v>
      </c>
      <c r="M11" s="81">
        <v>73.709999999999994</v>
      </c>
      <c r="N11" s="82">
        <v>73.709999999999994</v>
      </c>
    </row>
    <row r="12" spans="1:15" ht="13.5">
      <c r="C12" s="21" t="s">
        <v>66</v>
      </c>
      <c r="D12" s="83">
        <v>242.81</v>
      </c>
      <c r="E12" s="84">
        <v>199.78</v>
      </c>
      <c r="F12" s="84">
        <v>180.24</v>
      </c>
      <c r="G12" s="84">
        <v>207.59</v>
      </c>
      <c r="H12" s="84">
        <v>200.59</v>
      </c>
      <c r="I12" s="84">
        <v>201.54</v>
      </c>
      <c r="J12" s="84">
        <v>207.58</v>
      </c>
      <c r="K12" s="84">
        <f>201.55*110%</f>
        <v>221.70500000000004</v>
      </c>
      <c r="L12" s="84">
        <v>206.17</v>
      </c>
      <c r="M12" s="84">
        <v>180.24</v>
      </c>
      <c r="N12" s="27"/>
    </row>
    <row r="13" spans="1:15" ht="13.5">
      <c r="C13" s="21" t="s">
        <v>67</v>
      </c>
      <c r="D13" s="83">
        <v>284.95999999999998</v>
      </c>
      <c r="E13" s="84">
        <v>281</v>
      </c>
      <c r="F13" s="84">
        <v>204.85</v>
      </c>
      <c r="G13" s="85"/>
      <c r="H13" s="85"/>
      <c r="I13" s="85"/>
      <c r="J13" s="85"/>
      <c r="K13" s="84">
        <f>229.07*110%</f>
        <v>251.977</v>
      </c>
      <c r="L13" s="85"/>
      <c r="M13" s="85"/>
      <c r="N13" s="86"/>
    </row>
    <row r="14" spans="1:15">
      <c r="C14" s="21" t="s">
        <v>92</v>
      </c>
      <c r="D14" s="28"/>
      <c r="E14" s="26">
        <v>255.46</v>
      </c>
      <c r="F14" s="28"/>
      <c r="G14" s="28"/>
      <c r="H14" s="28"/>
      <c r="I14" s="28"/>
      <c r="J14" s="28"/>
      <c r="K14" s="28"/>
      <c r="L14" s="28"/>
      <c r="M14" s="28"/>
      <c r="N14" s="27"/>
    </row>
    <row r="15" spans="1:15" ht="13.5">
      <c r="C15" s="21" t="s">
        <v>68</v>
      </c>
      <c r="D15" s="83">
        <v>18916.72</v>
      </c>
      <c r="E15" s="84">
        <v>15831.53</v>
      </c>
      <c r="F15" s="85"/>
      <c r="G15" s="84">
        <v>17271.830000000002</v>
      </c>
      <c r="H15" s="85"/>
      <c r="I15" s="85"/>
      <c r="J15" s="85"/>
      <c r="K15" s="85"/>
      <c r="L15" s="85"/>
      <c r="M15" s="85"/>
      <c r="N15" s="86"/>
    </row>
    <row r="16" spans="1:15" ht="13.5">
      <c r="C16" s="21" t="s">
        <v>69</v>
      </c>
      <c r="D16" s="83">
        <v>14852.92</v>
      </c>
      <c r="E16" s="28"/>
      <c r="F16" s="28"/>
      <c r="G16" s="28"/>
      <c r="H16" s="28"/>
      <c r="I16" s="28"/>
      <c r="J16" s="28"/>
      <c r="K16" s="28"/>
      <c r="L16" s="28"/>
      <c r="M16" s="28"/>
      <c r="N16" s="27"/>
    </row>
    <row r="17" spans="2:14" ht="14.25" thickBot="1">
      <c r="C17" s="21" t="s">
        <v>70</v>
      </c>
      <c r="D17" s="88">
        <v>17232.7</v>
      </c>
      <c r="E17" s="56"/>
      <c r="F17" s="56"/>
      <c r="G17" s="56"/>
      <c r="H17" s="56"/>
      <c r="I17" s="56"/>
      <c r="J17" s="56"/>
      <c r="K17" s="56"/>
      <c r="L17" s="56"/>
      <c r="M17" s="56"/>
      <c r="N17" s="57"/>
    </row>
    <row r="18" spans="2:14" ht="13.5">
      <c r="C18" s="21" t="s">
        <v>93</v>
      </c>
      <c r="D18" s="87">
        <v>8969.44</v>
      </c>
      <c r="E18" s="56"/>
      <c r="F18" s="56"/>
      <c r="G18" s="56"/>
      <c r="H18" s="56"/>
      <c r="I18" s="56"/>
      <c r="J18" s="56"/>
      <c r="K18" s="56"/>
      <c r="L18" s="56"/>
      <c r="M18" s="56"/>
      <c r="N18" s="57"/>
    </row>
    <row r="19" spans="2:14" ht="14.25" thickBot="1">
      <c r="C19" s="21" t="s">
        <v>94</v>
      </c>
      <c r="D19" s="87">
        <v>11908.78</v>
      </c>
      <c r="E19" s="89"/>
      <c r="F19" s="89"/>
      <c r="G19" s="87">
        <v>12978</v>
      </c>
      <c r="H19" s="30"/>
      <c r="I19" s="30"/>
      <c r="J19" s="30"/>
      <c r="K19" s="30"/>
      <c r="L19" s="30"/>
      <c r="M19" s="30"/>
      <c r="N19" s="31"/>
    </row>
    <row r="21" spans="2:14" ht="13.5" thickBot="1">
      <c r="B21" s="23" t="s">
        <v>71</v>
      </c>
      <c r="E21" s="32"/>
    </row>
    <row r="22" spans="2:14" ht="13.5">
      <c r="C22" s="21" t="s">
        <v>91</v>
      </c>
      <c r="D22" s="80">
        <v>3.68</v>
      </c>
      <c r="E22" s="81">
        <v>3.68</v>
      </c>
      <c r="F22" s="90">
        <v>3.68</v>
      </c>
      <c r="G22" s="81">
        <v>3.68</v>
      </c>
      <c r="H22" s="81">
        <v>3.68</v>
      </c>
      <c r="I22" s="81">
        <v>3.68</v>
      </c>
      <c r="J22" s="81">
        <v>3.68</v>
      </c>
      <c r="K22" s="81">
        <v>3.68</v>
      </c>
      <c r="L22" s="81">
        <v>3.68</v>
      </c>
      <c r="M22" s="81">
        <v>3.68</v>
      </c>
      <c r="N22" s="82">
        <v>3.68</v>
      </c>
    </row>
    <row r="23" spans="2:14">
      <c r="C23" s="21" t="s">
        <v>66</v>
      </c>
      <c r="D23" s="25">
        <f t="shared" ref="D23:M23" si="0">TRUNC(D12*0.05,2)</f>
        <v>12.14</v>
      </c>
      <c r="E23" s="26">
        <f t="shared" si="0"/>
        <v>9.98</v>
      </c>
      <c r="F23" s="26">
        <f t="shared" si="0"/>
        <v>9.01</v>
      </c>
      <c r="G23" s="26">
        <f t="shared" si="0"/>
        <v>10.37</v>
      </c>
      <c r="H23" s="26">
        <f t="shared" si="0"/>
        <v>10.02</v>
      </c>
      <c r="I23" s="26">
        <f t="shared" si="0"/>
        <v>10.07</v>
      </c>
      <c r="J23" s="26">
        <f t="shared" si="0"/>
        <v>10.37</v>
      </c>
      <c r="K23" s="26">
        <f t="shared" si="0"/>
        <v>11.08</v>
      </c>
      <c r="L23" s="26">
        <f t="shared" si="0"/>
        <v>10.3</v>
      </c>
      <c r="M23" s="26">
        <f t="shared" si="0"/>
        <v>9.01</v>
      </c>
      <c r="N23" s="27"/>
    </row>
    <row r="24" spans="2:14">
      <c r="C24" s="21" t="s">
        <v>67</v>
      </c>
      <c r="D24" s="25">
        <f>TRUNC(D13*0.05,2)</f>
        <v>14.24</v>
      </c>
      <c r="E24" s="26">
        <f>TRUNC(E13*0.05,2)</f>
        <v>14.05</v>
      </c>
      <c r="F24" s="26">
        <f>TRUNC(F13*0.05,2)</f>
        <v>10.24</v>
      </c>
      <c r="G24" s="28"/>
      <c r="H24" s="28"/>
      <c r="I24" s="28"/>
      <c r="J24" s="28"/>
      <c r="K24" s="26">
        <f>TRUNC(K13*0.05,2)</f>
        <v>12.59</v>
      </c>
      <c r="L24" s="28"/>
      <c r="M24" s="28"/>
      <c r="N24" s="27"/>
    </row>
    <row r="25" spans="2:14">
      <c r="C25" s="21" t="s">
        <v>92</v>
      </c>
      <c r="D25" s="28"/>
      <c r="E25" s="26">
        <f>TRUNC(E14*0.05,2)</f>
        <v>12.77</v>
      </c>
      <c r="F25" s="28"/>
      <c r="G25" s="28"/>
      <c r="H25" s="28"/>
      <c r="I25" s="28"/>
      <c r="J25" s="28"/>
      <c r="K25" s="28"/>
      <c r="L25" s="28"/>
      <c r="M25" s="28"/>
      <c r="N25" s="27"/>
    </row>
    <row r="26" spans="2:14">
      <c r="C26" s="21" t="s">
        <v>68</v>
      </c>
      <c r="D26" s="25">
        <f>TRUNC(D15*0.05,2)</f>
        <v>945.83</v>
      </c>
      <c r="E26" s="26">
        <f>TRUNC(E15*0.05,2)</f>
        <v>791.57</v>
      </c>
      <c r="F26" s="28"/>
      <c r="G26" s="26">
        <f>TRUNC(G15*0.05,2)</f>
        <v>863.59</v>
      </c>
      <c r="H26" s="28"/>
      <c r="I26" s="28"/>
      <c r="J26" s="28"/>
      <c r="K26" s="28"/>
      <c r="L26" s="28"/>
      <c r="M26" s="28"/>
      <c r="N26" s="27"/>
    </row>
    <row r="27" spans="2:14">
      <c r="C27" s="21" t="s">
        <v>69</v>
      </c>
      <c r="D27" s="25">
        <f>TRUNC(D16*0.05,2)</f>
        <v>742.64</v>
      </c>
      <c r="E27" s="28"/>
      <c r="F27" s="28"/>
      <c r="G27" s="28"/>
      <c r="H27" s="28"/>
      <c r="I27" s="28"/>
      <c r="J27" s="28"/>
      <c r="K27" s="28"/>
      <c r="L27" s="28"/>
      <c r="M27" s="28"/>
      <c r="N27" s="27"/>
    </row>
    <row r="28" spans="2:14">
      <c r="C28" s="21" t="s">
        <v>70</v>
      </c>
      <c r="D28" s="25">
        <f>TRUNC(D17*0.05,2)</f>
        <v>861.63</v>
      </c>
      <c r="E28" s="56"/>
      <c r="F28" s="56"/>
      <c r="G28" s="56"/>
      <c r="H28" s="56"/>
      <c r="I28" s="56"/>
      <c r="J28" s="56"/>
      <c r="K28" s="56"/>
      <c r="L28" s="56"/>
      <c r="M28" s="56"/>
      <c r="N28" s="57"/>
    </row>
    <row r="29" spans="2:14">
      <c r="C29" s="21" t="s">
        <v>93</v>
      </c>
      <c r="D29" s="58">
        <f>TRUNC(D18*0.05,2)</f>
        <v>448.47</v>
      </c>
      <c r="E29" s="56"/>
      <c r="F29" s="56"/>
      <c r="G29" s="56"/>
      <c r="H29" s="56"/>
      <c r="I29" s="56"/>
      <c r="J29" s="56"/>
      <c r="K29" s="56"/>
      <c r="L29" s="56"/>
      <c r="M29" s="56"/>
      <c r="N29" s="57"/>
    </row>
    <row r="30" spans="2:14" ht="13.5" thickBot="1">
      <c r="C30" s="21" t="s">
        <v>94</v>
      </c>
      <c r="D30" s="30"/>
      <c r="E30" s="30"/>
      <c r="F30" s="30"/>
      <c r="G30" s="39">
        <f>TRUNC(G19*0.05,2)</f>
        <v>648.9</v>
      </c>
      <c r="H30" s="30"/>
      <c r="I30" s="30"/>
      <c r="J30" s="30"/>
      <c r="K30" s="30"/>
      <c r="L30" s="30"/>
      <c r="M30" s="30"/>
      <c r="N30" s="31"/>
    </row>
    <row r="32" spans="2:14" ht="13.5" thickBot="1">
      <c r="B32" s="23" t="s">
        <v>95</v>
      </c>
    </row>
    <row r="33" spans="1:15">
      <c r="C33" s="21" t="s">
        <v>91</v>
      </c>
      <c r="D33" s="35">
        <v>4.76</v>
      </c>
      <c r="E33" s="36">
        <v>4.76</v>
      </c>
      <c r="F33" s="36">
        <v>4.76</v>
      </c>
      <c r="G33" s="36">
        <v>4.76</v>
      </c>
      <c r="H33" s="36">
        <v>4.76</v>
      </c>
      <c r="I33" s="36">
        <v>4.76</v>
      </c>
      <c r="J33" s="36">
        <v>4.76</v>
      </c>
      <c r="K33" s="36">
        <v>4.76</v>
      </c>
      <c r="L33" s="36">
        <v>4.76</v>
      </c>
      <c r="M33" s="36">
        <v>4.76</v>
      </c>
      <c r="N33" s="59">
        <v>4.76</v>
      </c>
    </row>
    <row r="34" spans="1:15">
      <c r="C34" s="21" t="s">
        <v>66</v>
      </c>
      <c r="D34" s="37">
        <v>4.76</v>
      </c>
      <c r="E34" s="38">
        <v>4.76</v>
      </c>
      <c r="F34" s="38">
        <v>4.76</v>
      </c>
      <c r="G34" s="38">
        <v>4.76</v>
      </c>
      <c r="H34" s="38">
        <v>4.76</v>
      </c>
      <c r="I34" s="38">
        <v>4.76</v>
      </c>
      <c r="J34" s="38">
        <v>4.76</v>
      </c>
      <c r="K34" s="38">
        <v>4.76</v>
      </c>
      <c r="L34" s="38">
        <v>4.76</v>
      </c>
      <c r="M34" s="38">
        <v>4.76</v>
      </c>
      <c r="N34" s="27"/>
    </row>
    <row r="35" spans="1:15">
      <c r="C35" s="21" t="s">
        <v>67</v>
      </c>
      <c r="D35" s="37">
        <v>4.76</v>
      </c>
      <c r="E35" s="38">
        <v>4.76</v>
      </c>
      <c r="F35" s="38">
        <v>4.76</v>
      </c>
      <c r="G35" s="28"/>
      <c r="H35" s="28"/>
      <c r="I35" s="28"/>
      <c r="J35" s="28"/>
      <c r="K35" s="38">
        <v>4.76</v>
      </c>
      <c r="L35" s="28"/>
      <c r="M35" s="28"/>
      <c r="N35" s="27"/>
    </row>
    <row r="36" spans="1:15">
      <c r="C36" s="21" t="s">
        <v>68</v>
      </c>
      <c r="D36" s="37">
        <v>190.4</v>
      </c>
      <c r="E36" s="38">
        <v>190.4</v>
      </c>
      <c r="F36" s="28"/>
      <c r="G36" s="38">
        <v>190.4</v>
      </c>
      <c r="H36" s="28"/>
      <c r="I36" s="28"/>
      <c r="J36" s="28"/>
      <c r="K36" s="28"/>
      <c r="L36" s="28"/>
      <c r="M36" s="28"/>
      <c r="N36" s="27"/>
    </row>
    <row r="37" spans="1:15">
      <c r="C37" s="21" t="s">
        <v>69</v>
      </c>
      <c r="D37" s="37">
        <v>190.4</v>
      </c>
      <c r="E37" s="28"/>
      <c r="F37" s="28"/>
      <c r="G37" s="28"/>
      <c r="H37" s="28"/>
      <c r="I37" s="28"/>
      <c r="J37" s="28"/>
      <c r="K37" s="28"/>
      <c r="L37" s="28"/>
      <c r="M37" s="28"/>
      <c r="N37" s="27"/>
    </row>
    <row r="38" spans="1:15">
      <c r="C38" s="21" t="s">
        <v>70</v>
      </c>
      <c r="D38" s="60">
        <v>190.4</v>
      </c>
      <c r="E38" s="56"/>
      <c r="F38" s="56"/>
      <c r="G38" s="56"/>
      <c r="H38" s="56"/>
      <c r="I38" s="56"/>
      <c r="J38" s="56"/>
      <c r="K38" s="56"/>
      <c r="L38" s="56"/>
      <c r="M38" s="56"/>
      <c r="N38" s="57"/>
    </row>
    <row r="39" spans="1:15">
      <c r="C39" s="21" t="s">
        <v>93</v>
      </c>
      <c r="D39" s="60">
        <v>171.36</v>
      </c>
      <c r="E39" s="56"/>
      <c r="F39" s="56"/>
      <c r="G39" s="56"/>
      <c r="H39" s="56"/>
      <c r="I39" s="56"/>
      <c r="J39" s="56"/>
      <c r="K39" s="56"/>
      <c r="L39" s="56"/>
      <c r="M39" s="56"/>
      <c r="N39" s="57"/>
    </row>
    <row r="40" spans="1:15" ht="13.5" thickBot="1">
      <c r="C40" s="21" t="s">
        <v>94</v>
      </c>
      <c r="D40" s="30"/>
      <c r="E40" s="30"/>
      <c r="F40" s="30"/>
      <c r="G40" s="61">
        <v>190.4</v>
      </c>
      <c r="H40" s="30"/>
      <c r="I40" s="30"/>
      <c r="J40" s="30"/>
      <c r="K40" s="30"/>
      <c r="L40" s="30"/>
      <c r="M40" s="30"/>
      <c r="N40" s="31"/>
    </row>
    <row r="41" spans="1:15">
      <c r="E41"/>
      <c r="F41"/>
      <c r="G41"/>
      <c r="H41"/>
      <c r="I41"/>
      <c r="J41"/>
      <c r="K41"/>
      <c r="L41"/>
      <c r="M41"/>
      <c r="N41"/>
      <c r="O41"/>
    </row>
    <row r="42" spans="1:15">
      <c r="A42" s="23" t="s">
        <v>96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/>
    </row>
    <row r="43" spans="1:15" ht="13.5" thickBot="1">
      <c r="B43" s="23" t="s">
        <v>97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/>
    </row>
    <row r="44" spans="1:15">
      <c r="C44" s="21" t="s">
        <v>91</v>
      </c>
      <c r="D44" s="24">
        <v>500.65</v>
      </c>
      <c r="E44" s="33">
        <v>488.45</v>
      </c>
      <c r="F44" s="33">
        <v>452.18</v>
      </c>
      <c r="G44" s="33">
        <v>476.84</v>
      </c>
      <c r="H44" s="33">
        <v>488.44</v>
      </c>
      <c r="I44" s="33">
        <f>397.03+I11</f>
        <v>470.73999999999995</v>
      </c>
      <c r="J44" s="33">
        <v>488.45</v>
      </c>
      <c r="K44" s="33">
        <v>465.19</v>
      </c>
      <c r="L44" s="33">
        <v>441.16</v>
      </c>
      <c r="M44" s="33">
        <v>452.18</v>
      </c>
      <c r="N44" s="34">
        <v>488.5</v>
      </c>
      <c r="O44"/>
    </row>
    <row r="45" spans="1:15">
      <c r="C45" s="21" t="s">
        <v>66</v>
      </c>
      <c r="D45" s="25">
        <v>820.93</v>
      </c>
      <c r="E45" s="26">
        <v>795.31</v>
      </c>
      <c r="F45" s="26">
        <v>771.76</v>
      </c>
      <c r="G45" s="26">
        <v>821.94</v>
      </c>
      <c r="H45" s="26">
        <v>837.97</v>
      </c>
      <c r="I45" s="26">
        <f>609.94+I12</f>
        <v>811.48</v>
      </c>
      <c r="J45" s="26">
        <v>841.98</v>
      </c>
      <c r="K45" s="26">
        <v>801.9</v>
      </c>
      <c r="L45" s="26">
        <v>763.34</v>
      </c>
      <c r="M45" s="26">
        <v>771.78</v>
      </c>
      <c r="N45" s="27"/>
      <c r="O45"/>
    </row>
    <row r="46" spans="1:15">
      <c r="C46" s="21" t="s">
        <v>67</v>
      </c>
      <c r="D46" s="25">
        <v>873.82</v>
      </c>
      <c r="E46" s="26">
        <v>855.78</v>
      </c>
      <c r="F46" s="26">
        <v>821.43</v>
      </c>
      <c r="G46" s="28"/>
      <c r="H46" s="28"/>
      <c r="I46" s="28"/>
      <c r="J46" s="28"/>
      <c r="K46" s="26">
        <v>666.67</v>
      </c>
      <c r="L46" s="28"/>
      <c r="M46" s="28"/>
      <c r="N46" s="27"/>
      <c r="O46"/>
    </row>
    <row r="47" spans="1:15">
      <c r="C47" s="21" t="s">
        <v>98</v>
      </c>
      <c r="D47" s="28"/>
      <c r="E47" s="26">
        <v>845.29</v>
      </c>
      <c r="F47" s="28"/>
      <c r="G47" s="28"/>
      <c r="H47" s="28"/>
      <c r="I47" s="28"/>
      <c r="J47" s="28"/>
      <c r="K47" s="28"/>
      <c r="L47" s="28"/>
      <c r="M47" s="28"/>
      <c r="N47" s="27"/>
      <c r="O47"/>
    </row>
    <row r="48" spans="1:15">
      <c r="C48" s="21" t="s">
        <v>68</v>
      </c>
      <c r="D48" s="25">
        <v>45052.68</v>
      </c>
      <c r="E48" s="26">
        <v>48737.43</v>
      </c>
      <c r="F48" s="28"/>
      <c r="G48" s="26">
        <v>47005.04</v>
      </c>
      <c r="H48" s="28"/>
      <c r="I48" s="28"/>
      <c r="J48" s="28"/>
      <c r="K48" s="28"/>
      <c r="L48" s="28"/>
      <c r="M48" s="28"/>
      <c r="N48" s="27"/>
      <c r="O48"/>
    </row>
    <row r="49" spans="2:15">
      <c r="C49" s="21" t="s">
        <v>69</v>
      </c>
      <c r="D49" s="25">
        <v>32897.22</v>
      </c>
      <c r="E49" s="28"/>
      <c r="F49" s="28"/>
      <c r="G49" s="28"/>
      <c r="H49" s="28"/>
      <c r="I49" s="28"/>
      <c r="J49" s="28"/>
      <c r="K49" s="28"/>
      <c r="L49" s="28"/>
      <c r="M49" s="28"/>
      <c r="N49" s="27"/>
      <c r="O49"/>
    </row>
    <row r="50" spans="2:15">
      <c r="C50" s="21" t="s">
        <v>70</v>
      </c>
      <c r="D50" s="55">
        <v>40151.339999999997</v>
      </c>
      <c r="E50" s="56"/>
      <c r="F50" s="56"/>
      <c r="G50" s="56"/>
      <c r="H50" s="56"/>
      <c r="I50" s="56"/>
      <c r="J50" s="56"/>
      <c r="K50" s="56"/>
      <c r="L50" s="56"/>
      <c r="M50" s="56"/>
      <c r="N50" s="57"/>
      <c r="O50"/>
    </row>
    <row r="51" spans="2:15">
      <c r="C51" s="21" t="s">
        <v>93</v>
      </c>
      <c r="D51" s="55">
        <v>29553.46</v>
      </c>
      <c r="E51" s="56"/>
      <c r="F51" s="56"/>
      <c r="G51" s="56"/>
      <c r="H51" s="56"/>
      <c r="I51" s="56"/>
      <c r="J51" s="56"/>
      <c r="K51" s="56"/>
      <c r="L51" s="56"/>
      <c r="M51" s="56"/>
      <c r="N51" s="57"/>
      <c r="O51"/>
    </row>
    <row r="52" spans="2:15" ht="13.5" thickBot="1">
      <c r="C52" s="21" t="s">
        <v>94</v>
      </c>
      <c r="D52" s="30"/>
      <c r="E52" s="30"/>
      <c r="F52" s="30"/>
      <c r="G52" s="39">
        <v>16800</v>
      </c>
      <c r="H52" s="30"/>
      <c r="I52" s="30"/>
      <c r="J52" s="30"/>
      <c r="K52" s="30"/>
      <c r="L52" s="30"/>
      <c r="M52" s="30"/>
      <c r="N52" s="31"/>
      <c r="O52"/>
    </row>
    <row r="53" spans="2:15">
      <c r="O53"/>
    </row>
    <row r="54" spans="2:15" ht="13.5" thickBot="1">
      <c r="B54" s="23" t="s">
        <v>71</v>
      </c>
      <c r="O54"/>
    </row>
    <row r="55" spans="2:15">
      <c r="C55" s="21" t="s">
        <v>91</v>
      </c>
      <c r="D55" s="24">
        <f t="shared" ref="D55:N55" si="1">TRUNC(D44*0.05,2)</f>
        <v>25.03</v>
      </c>
      <c r="E55" s="33">
        <f t="shared" si="1"/>
        <v>24.42</v>
      </c>
      <c r="F55" s="33">
        <f t="shared" si="1"/>
        <v>22.6</v>
      </c>
      <c r="G55" s="33">
        <f t="shared" si="1"/>
        <v>23.84</v>
      </c>
      <c r="H55" s="33">
        <f t="shared" si="1"/>
        <v>24.42</v>
      </c>
      <c r="I55" s="33">
        <f t="shared" si="1"/>
        <v>23.53</v>
      </c>
      <c r="J55" s="33">
        <f t="shared" si="1"/>
        <v>24.42</v>
      </c>
      <c r="K55" s="33">
        <f t="shared" si="1"/>
        <v>23.25</v>
      </c>
      <c r="L55" s="33">
        <f t="shared" si="1"/>
        <v>22.05</v>
      </c>
      <c r="M55" s="33">
        <f t="shared" si="1"/>
        <v>22.6</v>
      </c>
      <c r="N55" s="34">
        <f t="shared" si="1"/>
        <v>24.42</v>
      </c>
      <c r="O55"/>
    </row>
    <row r="56" spans="2:15">
      <c r="C56" s="21" t="s">
        <v>66</v>
      </c>
      <c r="D56" s="25">
        <f t="shared" ref="D56:M56" si="2">TRUNC(D45*0.05,2)</f>
        <v>41.04</v>
      </c>
      <c r="E56" s="26">
        <f t="shared" si="2"/>
        <v>39.76</v>
      </c>
      <c r="F56" s="26">
        <f t="shared" si="2"/>
        <v>38.58</v>
      </c>
      <c r="G56" s="26">
        <f t="shared" si="2"/>
        <v>41.09</v>
      </c>
      <c r="H56" s="26">
        <f t="shared" si="2"/>
        <v>41.89</v>
      </c>
      <c r="I56" s="26">
        <f t="shared" si="2"/>
        <v>40.57</v>
      </c>
      <c r="J56" s="26">
        <f t="shared" si="2"/>
        <v>42.09</v>
      </c>
      <c r="K56" s="26">
        <f t="shared" si="2"/>
        <v>40.090000000000003</v>
      </c>
      <c r="L56" s="26">
        <f t="shared" si="2"/>
        <v>38.159999999999997</v>
      </c>
      <c r="M56" s="26">
        <f t="shared" si="2"/>
        <v>38.58</v>
      </c>
      <c r="N56" s="27"/>
      <c r="O56"/>
    </row>
    <row r="57" spans="2:15">
      <c r="C57" s="21" t="s">
        <v>67</v>
      </c>
      <c r="D57" s="25">
        <f>TRUNC(D46*0.05,2)</f>
        <v>43.69</v>
      </c>
      <c r="E57" s="26">
        <f>TRUNC(E46*0.05,2)</f>
        <v>42.78</v>
      </c>
      <c r="F57" s="26">
        <f>TRUNC(F46*0.05,2)</f>
        <v>41.07</v>
      </c>
      <c r="G57" s="28"/>
      <c r="H57" s="28"/>
      <c r="I57" s="28"/>
      <c r="J57" s="28"/>
      <c r="K57" s="26">
        <f>TRUNC(K46*0.05,2)</f>
        <v>33.33</v>
      </c>
      <c r="L57" s="28"/>
      <c r="M57" s="28"/>
      <c r="N57" s="27"/>
      <c r="O57"/>
    </row>
    <row r="58" spans="2:15">
      <c r="C58" s="21" t="s">
        <v>98</v>
      </c>
      <c r="D58" s="28"/>
      <c r="E58" s="26">
        <v>42.26</v>
      </c>
      <c r="F58" s="28"/>
      <c r="G58" s="28"/>
      <c r="H58" s="28"/>
      <c r="I58" s="28"/>
      <c r="J58" s="28"/>
      <c r="K58" s="28"/>
      <c r="L58" s="28"/>
      <c r="M58" s="28"/>
      <c r="N58" s="27"/>
      <c r="O58"/>
    </row>
    <row r="59" spans="2:15">
      <c r="C59" s="21" t="s">
        <v>68</v>
      </c>
      <c r="D59" s="25">
        <f>TRUNC(D48*0.05,2)</f>
        <v>2252.63</v>
      </c>
      <c r="E59" s="26">
        <f>TRUNC(E48*0.05,2)</f>
        <v>2436.87</v>
      </c>
      <c r="F59" s="28"/>
      <c r="G59" s="26">
        <f>TRUNC(G48*0.05,2)</f>
        <v>2350.25</v>
      </c>
      <c r="H59" s="28"/>
      <c r="I59" s="28"/>
      <c r="J59" s="28"/>
      <c r="K59" s="28"/>
      <c r="L59" s="28"/>
      <c r="M59" s="28"/>
      <c r="N59" s="27"/>
      <c r="O59"/>
    </row>
    <row r="60" spans="2:15">
      <c r="C60" s="21" t="s">
        <v>69</v>
      </c>
      <c r="D60" s="25">
        <f>TRUNC(D49*0.05,2)</f>
        <v>1644.86</v>
      </c>
      <c r="E60" s="28"/>
      <c r="F60" s="28"/>
      <c r="G60" s="28"/>
      <c r="H60" s="28"/>
      <c r="I60" s="28"/>
      <c r="J60" s="28"/>
      <c r="K60" s="28"/>
      <c r="L60" s="28"/>
      <c r="M60" s="28"/>
      <c r="N60" s="27"/>
      <c r="O60"/>
    </row>
    <row r="61" spans="2:15">
      <c r="C61" s="21" t="s">
        <v>70</v>
      </c>
      <c r="D61" s="55">
        <f>TRUNC(D50*0.05,2)</f>
        <v>2007.56</v>
      </c>
      <c r="E61" s="56"/>
      <c r="F61" s="56"/>
      <c r="G61" s="56"/>
      <c r="H61" s="56"/>
      <c r="I61" s="56"/>
      <c r="J61" s="56"/>
      <c r="K61" s="56"/>
      <c r="L61" s="56"/>
      <c r="M61" s="56"/>
      <c r="N61" s="57"/>
      <c r="O61"/>
    </row>
    <row r="62" spans="2:15" ht="13.5" thickBot="1">
      <c r="C62" s="21" t="s">
        <v>93</v>
      </c>
      <c r="D62" s="29">
        <f>TRUNC(D51*0.05,2)</f>
        <v>1477.67</v>
      </c>
      <c r="E62" s="56"/>
      <c r="F62" s="56"/>
      <c r="G62" s="56"/>
      <c r="H62" s="56"/>
      <c r="I62" s="56"/>
      <c r="J62" s="56"/>
      <c r="K62" s="56"/>
      <c r="L62" s="56"/>
      <c r="M62" s="56"/>
      <c r="N62" s="57"/>
      <c r="O62"/>
    </row>
    <row r="63" spans="2:15" ht="13.5" thickBot="1">
      <c r="C63" s="21" t="s">
        <v>94</v>
      </c>
      <c r="D63" s="30"/>
      <c r="E63" s="30"/>
      <c r="F63" s="30"/>
      <c r="G63" s="39">
        <f>TRUNC(G52*0.05,2)</f>
        <v>840</v>
      </c>
      <c r="H63" s="30"/>
      <c r="I63" s="30"/>
      <c r="J63" s="30"/>
      <c r="K63" s="30"/>
      <c r="L63" s="30"/>
      <c r="M63" s="30"/>
      <c r="N63" s="31"/>
      <c r="O63"/>
    </row>
    <row r="64" spans="2:15">
      <c r="C64" s="21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/>
    </row>
    <row r="65" spans="1:15" ht="13.5" thickBot="1">
      <c r="B65" s="23" t="s">
        <v>95</v>
      </c>
    </row>
    <row r="66" spans="1:15">
      <c r="C66" s="21" t="s">
        <v>91</v>
      </c>
      <c r="D66" s="35">
        <v>4.76</v>
      </c>
      <c r="E66" s="36">
        <v>4.76</v>
      </c>
      <c r="F66" s="36">
        <v>4.76</v>
      </c>
      <c r="G66" s="36">
        <v>4.76</v>
      </c>
      <c r="H66" s="36">
        <v>4.76</v>
      </c>
      <c r="I66" s="36">
        <v>4.76</v>
      </c>
      <c r="J66" s="36">
        <v>4.76</v>
      </c>
      <c r="K66" s="36">
        <v>4.76</v>
      </c>
      <c r="L66" s="36">
        <v>4.76</v>
      </c>
      <c r="M66" s="36">
        <v>4.76</v>
      </c>
      <c r="N66" s="59">
        <v>4.76</v>
      </c>
    </row>
    <row r="67" spans="1:15">
      <c r="C67" s="21" t="s">
        <v>66</v>
      </c>
      <c r="D67" s="37">
        <v>4.76</v>
      </c>
      <c r="E67" s="38">
        <v>4.76</v>
      </c>
      <c r="F67" s="38">
        <v>4.76</v>
      </c>
      <c r="G67" s="38">
        <v>4.76</v>
      </c>
      <c r="H67" s="38">
        <v>4.76</v>
      </c>
      <c r="I67" s="38">
        <v>4.76</v>
      </c>
      <c r="J67" s="38">
        <v>4.76</v>
      </c>
      <c r="K67" s="38">
        <v>4.76</v>
      </c>
      <c r="L67" s="38">
        <v>4.76</v>
      </c>
      <c r="M67" s="38">
        <v>4.76</v>
      </c>
      <c r="N67" s="27"/>
    </row>
    <row r="68" spans="1:15">
      <c r="C68" s="21" t="s">
        <v>67</v>
      </c>
      <c r="D68" s="37">
        <v>4.76</v>
      </c>
      <c r="E68" s="38">
        <v>4.76</v>
      </c>
      <c r="F68" s="38">
        <v>4.76</v>
      </c>
      <c r="G68" s="28"/>
      <c r="H68" s="28"/>
      <c r="I68" s="28"/>
      <c r="J68" s="28"/>
      <c r="K68" s="38">
        <v>4.76</v>
      </c>
      <c r="L68" s="28"/>
      <c r="M68" s="28"/>
      <c r="N68" s="27"/>
    </row>
    <row r="69" spans="1:15">
      <c r="C69" s="21" t="s">
        <v>68</v>
      </c>
      <c r="D69" s="37">
        <v>190.4</v>
      </c>
      <c r="E69" s="38">
        <v>190.4</v>
      </c>
      <c r="F69" s="28"/>
      <c r="G69" s="38">
        <v>190.4</v>
      </c>
      <c r="H69" s="28"/>
      <c r="I69" s="28"/>
      <c r="J69" s="28"/>
      <c r="K69" s="28"/>
      <c r="L69" s="28"/>
      <c r="M69" s="28"/>
      <c r="N69" s="27"/>
    </row>
    <row r="70" spans="1:15">
      <c r="C70" s="21" t="s">
        <v>69</v>
      </c>
      <c r="D70" s="37">
        <v>190.4</v>
      </c>
      <c r="E70" s="28"/>
      <c r="F70" s="28"/>
      <c r="G70" s="28"/>
      <c r="H70" s="28"/>
      <c r="I70" s="28"/>
      <c r="J70" s="28"/>
      <c r="K70" s="28"/>
      <c r="L70" s="28"/>
      <c r="M70" s="28"/>
      <c r="N70" s="27"/>
    </row>
    <row r="71" spans="1:15">
      <c r="C71" s="21" t="s">
        <v>70</v>
      </c>
      <c r="D71" s="60">
        <v>190.4</v>
      </c>
      <c r="E71" s="56"/>
      <c r="F71" s="56"/>
      <c r="G71" s="56"/>
      <c r="H71" s="56"/>
      <c r="I71" s="56"/>
      <c r="J71" s="56"/>
      <c r="K71" s="56"/>
      <c r="L71" s="56"/>
      <c r="M71" s="56"/>
      <c r="N71" s="57"/>
    </row>
    <row r="72" spans="1:15">
      <c r="C72" s="21" t="s">
        <v>93</v>
      </c>
      <c r="D72" s="60">
        <v>171.36</v>
      </c>
      <c r="E72" s="56"/>
      <c r="F72" s="56"/>
      <c r="G72" s="56"/>
      <c r="H72" s="56"/>
      <c r="I72" s="56"/>
      <c r="J72" s="56"/>
      <c r="K72" s="56"/>
      <c r="L72" s="56"/>
      <c r="M72" s="56"/>
      <c r="N72" s="57"/>
    </row>
    <row r="73" spans="1:15" ht="13.5" thickBot="1">
      <c r="C73" s="21" t="s">
        <v>94</v>
      </c>
      <c r="D73" s="30"/>
      <c r="E73" s="30"/>
      <c r="F73" s="30"/>
      <c r="G73" s="61">
        <v>190.4</v>
      </c>
      <c r="H73" s="30"/>
      <c r="I73" s="30"/>
      <c r="J73" s="30"/>
      <c r="K73" s="30"/>
      <c r="L73" s="30"/>
      <c r="M73" s="30"/>
      <c r="N73" s="31"/>
    </row>
    <row r="74" spans="1:15">
      <c r="O74"/>
    </row>
    <row r="75" spans="1:15">
      <c r="A75" s="23" t="s">
        <v>72</v>
      </c>
      <c r="E75"/>
      <c r="F75"/>
      <c r="G75"/>
      <c r="H75"/>
      <c r="I75"/>
      <c r="J75"/>
      <c r="K75"/>
      <c r="L75"/>
      <c r="M75"/>
      <c r="N75"/>
      <c r="O75"/>
    </row>
    <row r="76" spans="1:15" ht="13.5" thickBot="1">
      <c r="B76" s="23" t="s">
        <v>73</v>
      </c>
    </row>
    <row r="77" spans="1:15">
      <c r="C77" s="21" t="s">
        <v>74</v>
      </c>
      <c r="D77" s="62">
        <v>8.64</v>
      </c>
      <c r="E77" s="63">
        <v>7.7</v>
      </c>
      <c r="F77" s="63">
        <v>10</v>
      </c>
      <c r="G77" s="63">
        <v>7.89</v>
      </c>
      <c r="H77" s="63">
        <v>10</v>
      </c>
      <c r="I77" s="63">
        <v>9.65</v>
      </c>
      <c r="J77" s="63">
        <v>9.3699999999999992</v>
      </c>
      <c r="K77" s="63">
        <v>10.52</v>
      </c>
      <c r="L77" s="63">
        <v>11.73</v>
      </c>
      <c r="M77" s="63">
        <v>10.94</v>
      </c>
      <c r="N77" s="64">
        <v>14.32</v>
      </c>
    </row>
    <row r="78" spans="1:15" ht="13.5" thickBot="1">
      <c r="C78" s="21" t="s">
        <v>75</v>
      </c>
      <c r="D78" s="65"/>
      <c r="E78" s="66"/>
      <c r="F78" s="66"/>
      <c r="G78" s="66">
        <v>7</v>
      </c>
      <c r="H78" s="66"/>
      <c r="I78" s="66"/>
      <c r="J78" s="66"/>
      <c r="K78" s="66"/>
      <c r="L78" s="66"/>
      <c r="M78" s="66"/>
      <c r="N78" s="67"/>
    </row>
    <row r="79" spans="1:15" ht="13.5" thickBot="1">
      <c r="B79" s="23" t="s">
        <v>76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0" spans="1:15">
      <c r="B80" s="23"/>
      <c r="C80" s="21" t="s">
        <v>74</v>
      </c>
      <c r="D80" s="62">
        <v>1.9</v>
      </c>
      <c r="E80" s="63">
        <v>5.98</v>
      </c>
      <c r="F80" s="63">
        <v>8.75</v>
      </c>
      <c r="G80" s="63">
        <v>9.5</v>
      </c>
      <c r="H80" s="63">
        <v>11.75</v>
      </c>
      <c r="I80" s="63">
        <v>12.34</v>
      </c>
      <c r="J80" s="63">
        <v>11.09</v>
      </c>
      <c r="K80" s="63">
        <v>11.66</v>
      </c>
      <c r="L80" s="63">
        <v>10.25</v>
      </c>
      <c r="M80" s="63">
        <v>10.54</v>
      </c>
      <c r="N80" s="64">
        <v>2.2999999999999998</v>
      </c>
    </row>
    <row r="81" spans="2:14" ht="38.25">
      <c r="B81" s="23"/>
      <c r="C81" s="68" t="s">
        <v>99</v>
      </c>
      <c r="D81" s="69"/>
      <c r="E81" s="70"/>
      <c r="F81" s="70"/>
      <c r="G81" s="70"/>
      <c r="H81" s="70">
        <v>2</v>
      </c>
      <c r="I81" s="70"/>
      <c r="J81" s="70"/>
      <c r="K81" s="70">
        <v>2</v>
      </c>
      <c r="L81" s="70">
        <v>2</v>
      </c>
      <c r="M81" s="70">
        <v>2</v>
      </c>
      <c r="N81" s="71"/>
    </row>
    <row r="82" spans="2:14" ht="13.5" thickBot="1">
      <c r="B82" s="23"/>
      <c r="C82" s="21" t="s">
        <v>100</v>
      </c>
      <c r="D82" s="72">
        <f t="shared" ref="D82:N82" si="3">SUM(D80:D81)</f>
        <v>1.9</v>
      </c>
      <c r="E82" s="73">
        <f t="shared" si="3"/>
        <v>5.98</v>
      </c>
      <c r="F82" s="73">
        <f t="shared" si="3"/>
        <v>8.75</v>
      </c>
      <c r="G82" s="73">
        <f t="shared" si="3"/>
        <v>9.5</v>
      </c>
      <c r="H82" s="73">
        <f t="shared" si="3"/>
        <v>13.75</v>
      </c>
      <c r="I82" s="73">
        <f t="shared" si="3"/>
        <v>12.34</v>
      </c>
      <c r="J82" s="73">
        <f t="shared" si="3"/>
        <v>11.09</v>
      </c>
      <c r="K82" s="73">
        <f t="shared" si="3"/>
        <v>13.66</v>
      </c>
      <c r="L82" s="73">
        <f t="shared" si="3"/>
        <v>12.25</v>
      </c>
      <c r="M82" s="73">
        <f t="shared" si="3"/>
        <v>12.54</v>
      </c>
      <c r="N82" s="74">
        <f t="shared" si="3"/>
        <v>2.2999999999999998</v>
      </c>
    </row>
    <row r="83" spans="2:14">
      <c r="B83" s="23"/>
      <c r="C83" s="21" t="s">
        <v>75</v>
      </c>
      <c r="D83" s="69"/>
      <c r="E83" s="70"/>
      <c r="F83" s="70"/>
      <c r="G83" s="70">
        <v>10</v>
      </c>
      <c r="H83" s="70"/>
      <c r="I83" s="70"/>
      <c r="J83" s="70"/>
      <c r="K83" s="70">
        <v>10</v>
      </c>
      <c r="L83" s="70"/>
      <c r="M83" s="70"/>
      <c r="N83" s="71"/>
    </row>
    <row r="85" spans="2:14" ht="13.5" thickBot="1">
      <c r="B85" s="23" t="s">
        <v>77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</row>
    <row r="86" spans="2:14">
      <c r="C86" s="21" t="s">
        <v>74</v>
      </c>
      <c r="D86" s="62">
        <v>8.44</v>
      </c>
      <c r="E86" s="63">
        <v>7.35</v>
      </c>
      <c r="F86" s="63"/>
      <c r="G86" s="63">
        <v>6.84</v>
      </c>
      <c r="H86" s="63">
        <v>5</v>
      </c>
      <c r="I86" s="63">
        <v>3.19</v>
      </c>
      <c r="J86" s="63">
        <v>6.6</v>
      </c>
      <c r="K86" s="63"/>
      <c r="L86" s="63">
        <v>5.07</v>
      </c>
      <c r="M86" s="63"/>
      <c r="N86" s="64">
        <v>3.92</v>
      </c>
    </row>
    <row r="87" spans="2:14" ht="13.5" thickBot="1">
      <c r="C87" s="21" t="s">
        <v>75</v>
      </c>
      <c r="D87" s="65"/>
      <c r="E87" s="66"/>
      <c r="F87" s="66">
        <v>59</v>
      </c>
      <c r="G87" s="66"/>
      <c r="H87" s="66"/>
      <c r="I87" s="66"/>
      <c r="J87" s="66"/>
      <c r="K87" s="66">
        <v>54</v>
      </c>
      <c r="L87" s="66"/>
      <c r="M87" s="66">
        <v>47.5</v>
      </c>
      <c r="N87" s="67"/>
    </row>
    <row r="88" spans="2:14" ht="13.5" thickBot="1">
      <c r="B88" s="23" t="s">
        <v>78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</row>
    <row r="89" spans="2:14">
      <c r="C89" s="21" t="s">
        <v>74</v>
      </c>
      <c r="D89" s="24">
        <v>4.24</v>
      </c>
      <c r="E89" s="33">
        <v>6</v>
      </c>
      <c r="F89" s="33"/>
      <c r="G89" s="33">
        <v>2.25</v>
      </c>
      <c r="H89" s="33"/>
      <c r="I89" s="33">
        <v>1.51</v>
      </c>
      <c r="J89" s="33">
        <v>4.34</v>
      </c>
      <c r="K89" s="33"/>
      <c r="L89" s="33"/>
      <c r="M89" s="33">
        <v>5.29</v>
      </c>
      <c r="N89" s="34"/>
    </row>
    <row r="90" spans="2:14" ht="13.5" thickBot="1">
      <c r="C90" s="21" t="s">
        <v>75</v>
      </c>
      <c r="D90" s="65"/>
      <c r="E90" s="66"/>
      <c r="F90" s="66">
        <v>46.8</v>
      </c>
      <c r="G90" s="66"/>
      <c r="H90" s="66">
        <v>50</v>
      </c>
      <c r="I90" s="66"/>
      <c r="J90" s="66"/>
      <c r="K90" s="66">
        <v>58</v>
      </c>
      <c r="L90" s="66"/>
      <c r="M90" s="66"/>
      <c r="N90" s="67"/>
    </row>
    <row r="91" spans="2:14" ht="13.5" thickBot="1">
      <c r="B91" s="23" t="s">
        <v>79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</row>
    <row r="92" spans="2:14" ht="13.5" thickBot="1">
      <c r="C92" s="21" t="s">
        <v>75</v>
      </c>
      <c r="D92" s="41">
        <v>928.8</v>
      </c>
      <c r="E92" s="41">
        <v>973.08</v>
      </c>
      <c r="F92" s="75"/>
      <c r="G92" s="42">
        <v>969.36</v>
      </c>
      <c r="H92" s="75"/>
      <c r="I92" s="75"/>
      <c r="J92" s="75"/>
      <c r="K92" s="75"/>
      <c r="L92" s="75"/>
      <c r="M92" s="75"/>
      <c r="N92" s="76"/>
    </row>
    <row r="93" spans="2:14" ht="13.5" thickBot="1">
      <c r="B93" s="23" t="s">
        <v>101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</row>
    <row r="94" spans="2:14" ht="13.5" thickBot="1">
      <c r="C94" s="21" t="s">
        <v>75</v>
      </c>
      <c r="D94" s="41">
        <v>835.92</v>
      </c>
      <c r="E94" s="75"/>
      <c r="F94" s="75"/>
      <c r="G94" s="75"/>
      <c r="H94" s="75"/>
      <c r="I94" s="75"/>
      <c r="J94" s="75"/>
      <c r="K94" s="75"/>
      <c r="L94" s="75"/>
      <c r="M94" s="75"/>
      <c r="N94" s="76"/>
    </row>
    <row r="95" spans="2:14">
      <c r="B95" s="23" t="s">
        <v>102</v>
      </c>
      <c r="C95" s="23"/>
      <c r="D95" s="77"/>
      <c r="E95" s="43"/>
      <c r="F95" s="44"/>
      <c r="G95" s="44"/>
      <c r="H95" s="44"/>
      <c r="I95" s="44"/>
      <c r="J95" s="44"/>
      <c r="K95" s="44"/>
      <c r="L95" s="44"/>
      <c r="M95" s="44"/>
      <c r="N95" s="44"/>
    </row>
    <row r="96" spans="2:14">
      <c r="B96" s="23"/>
      <c r="C96" s="21" t="s">
        <v>103</v>
      </c>
      <c r="D96" s="77"/>
      <c r="E96" s="43"/>
      <c r="F96" s="44"/>
      <c r="G96" s="44"/>
      <c r="H96" s="44"/>
      <c r="I96" s="44"/>
      <c r="J96" s="44"/>
      <c r="K96" s="44"/>
      <c r="L96" s="44"/>
      <c r="M96" s="44"/>
      <c r="N96" s="44"/>
    </row>
    <row r="97" spans="1:14" ht="13.5" thickBot="1">
      <c r="C97" s="49" t="s">
        <v>81</v>
      </c>
      <c r="D97" s="43"/>
      <c r="E97" s="43"/>
      <c r="F97" s="44"/>
      <c r="G97" s="44"/>
      <c r="H97" s="44"/>
      <c r="I97" s="44"/>
      <c r="J97" s="44"/>
      <c r="K97" s="44"/>
      <c r="L97" s="44"/>
      <c r="M97" s="44"/>
      <c r="N97" s="44"/>
    </row>
    <row r="98" spans="1:14">
      <c r="C98" s="21" t="s">
        <v>75</v>
      </c>
      <c r="D98" s="62"/>
      <c r="E98" s="63"/>
      <c r="F98" s="63"/>
      <c r="G98" s="63">
        <v>20</v>
      </c>
      <c r="H98" s="63"/>
      <c r="I98" s="63"/>
      <c r="J98" s="63"/>
      <c r="K98" s="63"/>
      <c r="L98" s="63"/>
      <c r="M98" s="63"/>
      <c r="N98" s="64"/>
    </row>
    <row r="99" spans="1:14" ht="13.5" thickBot="1">
      <c r="C99" s="21" t="s">
        <v>104</v>
      </c>
      <c r="D99" s="65"/>
      <c r="E99" s="66"/>
      <c r="F99" s="66"/>
      <c r="G99" s="66">
        <v>1.5</v>
      </c>
      <c r="H99" s="66"/>
      <c r="I99" s="66"/>
      <c r="J99" s="66"/>
      <c r="K99" s="66"/>
      <c r="L99" s="66"/>
      <c r="M99" s="66"/>
      <c r="N99" s="67"/>
    </row>
    <row r="100" spans="1:14">
      <c r="C100" s="21"/>
      <c r="D100" s="43"/>
      <c r="E100" s="43"/>
      <c r="F100" s="44"/>
      <c r="G100" s="44"/>
      <c r="H100" s="44"/>
      <c r="I100" s="44"/>
      <c r="J100" s="44"/>
      <c r="K100" s="44"/>
      <c r="L100" s="44"/>
      <c r="M100" s="44"/>
      <c r="N100" s="44"/>
    </row>
    <row r="101" spans="1:14" ht="13.5" thickBot="1">
      <c r="A101" s="23" t="s">
        <v>80</v>
      </c>
    </row>
    <row r="102" spans="1:14" ht="13.5" thickBot="1">
      <c r="B102" s="23"/>
      <c r="C102" s="23"/>
      <c r="D102" s="45">
        <v>200</v>
      </c>
      <c r="E102" s="46">
        <v>200</v>
      </c>
      <c r="F102" s="46"/>
      <c r="G102" s="46">
        <v>200</v>
      </c>
      <c r="H102" s="46"/>
      <c r="I102" s="46">
        <v>200</v>
      </c>
      <c r="J102" s="46">
        <v>200</v>
      </c>
      <c r="K102" s="46"/>
      <c r="L102" s="46"/>
      <c r="M102" s="46"/>
      <c r="N102" s="47">
        <v>200</v>
      </c>
    </row>
    <row r="103" spans="1:14">
      <c r="C103" s="78" t="s">
        <v>105</v>
      </c>
    </row>
    <row r="104" spans="1:14">
      <c r="C104" s="78" t="s">
        <v>106</v>
      </c>
    </row>
    <row r="105" spans="1:14">
      <c r="C105" s="78" t="s">
        <v>107</v>
      </c>
    </row>
    <row r="106" spans="1:14">
      <c r="C106" s="78" t="s">
        <v>108</v>
      </c>
    </row>
    <row r="107" spans="1:14">
      <c r="C107" s="78" t="s">
        <v>109</v>
      </c>
    </row>
    <row r="108" spans="1:14">
      <c r="C108" s="78" t="s">
        <v>110</v>
      </c>
    </row>
    <row r="109" spans="1:14">
      <c r="C109" s="78" t="s">
        <v>111</v>
      </c>
    </row>
  </sheetData>
  <phoneticPr fontId="0" type="noConversion"/>
  <printOptions horizontalCentered="1"/>
  <pageMargins left="0.25" right="0.25" top="0.4" bottom="0.4" header="0.5" footer="0.25"/>
  <pageSetup scale="88" orientation="landscape" r:id="rId1"/>
  <headerFooter alignWithMargins="0">
    <oddFooter>&amp;L
&amp;R&amp;8Prepared by Office of Planning and  Institutional Research, DCU,  &amp;F  &amp;D</oddFooter>
  </headerFooter>
  <rowBreaks count="2" manualBreakCount="2">
    <brk id="41" max="15" man="1"/>
    <brk id="73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146"/>
  <sheetViews>
    <sheetView zoomScale="75" workbookViewId="0">
      <pane xSplit="2" ySplit="3" topLeftCell="C54" activePane="bottomRight" state="frozen"/>
      <selection pane="topRight" activeCell="C1" sqref="C1"/>
      <selection pane="bottomLeft" activeCell="A4" sqref="A4"/>
      <selection pane="bottomRight" activeCell="J81" sqref="J81"/>
    </sheetView>
  </sheetViews>
  <sheetFormatPr defaultColWidth="9.140625" defaultRowHeight="12.75"/>
  <cols>
    <col min="1" max="1" width="12.7109375" style="4" customWidth="1"/>
    <col min="2" max="2" width="9.140625" style="4"/>
    <col min="3" max="4" width="11.140625" style="4" bestFit="1" customWidth="1"/>
    <col min="5" max="6" width="10.85546875" style="4" bestFit="1" customWidth="1"/>
    <col min="7" max="8" width="11.140625" style="4" bestFit="1" customWidth="1"/>
    <col min="9" max="11" width="10.85546875" style="4" bestFit="1" customWidth="1"/>
    <col min="12" max="12" width="11.28515625" style="4" bestFit="1" customWidth="1"/>
    <col min="13" max="13" width="10.85546875" style="4" customWidth="1"/>
    <col min="14" max="14" width="11.85546875" style="4" bestFit="1" customWidth="1"/>
    <col min="15" max="16384" width="9.140625" style="4"/>
  </cols>
  <sheetData>
    <row r="1" spans="1:14" ht="25.5">
      <c r="A1" s="1" t="s">
        <v>84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N2" s="5"/>
    </row>
    <row r="3" spans="1:14"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</row>
    <row r="4" spans="1:14">
      <c r="A4" s="6" t="s">
        <v>12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>
      <c r="A5" s="6"/>
      <c r="B5" s="7" t="s">
        <v>13</v>
      </c>
      <c r="C5" s="8">
        <v>8.26</v>
      </c>
      <c r="D5" s="8">
        <v>7.7</v>
      </c>
      <c r="E5" s="8">
        <v>10</v>
      </c>
      <c r="F5" s="8">
        <v>7.1</v>
      </c>
      <c r="G5" s="8">
        <v>10</v>
      </c>
      <c r="H5" s="8">
        <v>8.75</v>
      </c>
      <c r="I5" s="8">
        <v>8.09</v>
      </c>
      <c r="J5" s="8">
        <v>9.14</v>
      </c>
      <c r="K5" s="8">
        <v>11.73</v>
      </c>
      <c r="L5" s="8">
        <v>9.6999999999999993</v>
      </c>
      <c r="M5" s="8">
        <v>13.78</v>
      </c>
      <c r="N5" s="8">
        <v>9.4772727272727284</v>
      </c>
    </row>
    <row r="6" spans="1:14">
      <c r="A6" s="6"/>
      <c r="B6" s="7" t="s">
        <v>14</v>
      </c>
      <c r="C6" s="8">
        <v>1.9</v>
      </c>
      <c r="D6" s="8">
        <v>4.9800000000000004</v>
      </c>
      <c r="E6" s="8">
        <v>8.75</v>
      </c>
      <c r="F6" s="8">
        <v>9.08</v>
      </c>
      <c r="G6" s="8">
        <v>11.75</v>
      </c>
      <c r="H6" s="8">
        <v>12.05</v>
      </c>
      <c r="I6" s="8">
        <v>11.09</v>
      </c>
      <c r="J6" s="8">
        <v>11.66</v>
      </c>
      <c r="K6" s="8">
        <v>10.25</v>
      </c>
      <c r="L6" s="8">
        <v>10.54</v>
      </c>
      <c r="M6" s="8">
        <v>2</v>
      </c>
      <c r="N6" s="8">
        <v>8.5500000000000007</v>
      </c>
    </row>
    <row r="7" spans="1:14">
      <c r="A7" s="6"/>
      <c r="B7" s="7" t="s">
        <v>15</v>
      </c>
      <c r="C7" s="8">
        <v>7.92</v>
      </c>
      <c r="D7" s="8">
        <v>7.35</v>
      </c>
      <c r="E7" s="8">
        <v>0</v>
      </c>
      <c r="F7" s="8">
        <v>6.84</v>
      </c>
      <c r="G7" s="8">
        <v>5</v>
      </c>
      <c r="H7" s="8">
        <v>3.19</v>
      </c>
      <c r="I7" s="8">
        <v>6.6</v>
      </c>
      <c r="J7" s="8">
        <v>0</v>
      </c>
      <c r="K7" s="8">
        <v>5.07</v>
      </c>
      <c r="L7" s="8">
        <v>0</v>
      </c>
      <c r="M7" s="8">
        <v>3.79</v>
      </c>
      <c r="N7" s="8">
        <v>4.16</v>
      </c>
    </row>
    <row r="8" spans="1:14">
      <c r="B8" s="51" t="s">
        <v>16</v>
      </c>
      <c r="C8" s="50">
        <v>4.0999999999999996</v>
      </c>
      <c r="D8" s="50">
        <v>4.9000000000000004</v>
      </c>
      <c r="E8" s="50">
        <v>0</v>
      </c>
      <c r="F8" s="50">
        <v>2.25</v>
      </c>
      <c r="G8" s="50">
        <v>0</v>
      </c>
      <c r="H8" s="50">
        <v>1</v>
      </c>
      <c r="I8" s="50">
        <v>3.9</v>
      </c>
      <c r="J8" s="50">
        <v>0</v>
      </c>
      <c r="K8" s="50">
        <v>0</v>
      </c>
      <c r="L8" s="50">
        <v>5.29</v>
      </c>
      <c r="M8" s="50">
        <v>0</v>
      </c>
      <c r="N8" s="8">
        <v>1.949090909090909</v>
      </c>
    </row>
    <row r="9" spans="1:14" ht="13.5" thickBot="1">
      <c r="A9" s="6"/>
      <c r="B9" s="7" t="s">
        <v>81</v>
      </c>
      <c r="C9" s="9"/>
      <c r="D9" s="9"/>
      <c r="E9" s="9"/>
      <c r="F9" s="9">
        <v>1.5</v>
      </c>
      <c r="G9" s="9"/>
      <c r="H9" s="9"/>
      <c r="I9" s="9"/>
      <c r="J9" s="9"/>
      <c r="K9" s="9"/>
      <c r="L9" s="9"/>
      <c r="M9" s="9"/>
      <c r="N9" s="8">
        <v>1.5</v>
      </c>
    </row>
    <row r="10" spans="1:14">
      <c r="B10" s="5" t="s">
        <v>17</v>
      </c>
      <c r="C10" s="8">
        <v>22.18</v>
      </c>
      <c r="D10" s="8">
        <v>24.93</v>
      </c>
      <c r="E10" s="8">
        <v>18.75</v>
      </c>
      <c r="F10" s="8">
        <v>26.77</v>
      </c>
      <c r="G10" s="8">
        <v>26.75</v>
      </c>
      <c r="H10" s="8">
        <v>24.99</v>
      </c>
      <c r="I10" s="8">
        <v>29.68</v>
      </c>
      <c r="J10" s="8">
        <v>20.8</v>
      </c>
      <c r="K10" s="8">
        <v>27.05</v>
      </c>
      <c r="L10" s="8">
        <v>25.53</v>
      </c>
      <c r="M10" s="8">
        <v>19.57</v>
      </c>
      <c r="N10" s="8">
        <v>24.272727272727277</v>
      </c>
    </row>
    <row r="11" spans="1:14"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6" t="s">
        <v>18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B13" s="7" t="s">
        <v>13</v>
      </c>
      <c r="C13" s="8"/>
      <c r="D13" s="8"/>
      <c r="E13" s="8"/>
      <c r="F13" s="8">
        <v>7</v>
      </c>
      <c r="G13" s="8"/>
      <c r="H13" s="8"/>
      <c r="I13" s="8"/>
      <c r="J13" s="8"/>
      <c r="K13" s="8"/>
      <c r="L13" s="8"/>
      <c r="M13" s="8"/>
      <c r="N13" s="8">
        <v>7</v>
      </c>
    </row>
    <row r="14" spans="1:14">
      <c r="B14" s="7" t="s">
        <v>14</v>
      </c>
      <c r="C14" s="8"/>
      <c r="D14" s="8"/>
      <c r="E14" s="8"/>
      <c r="F14" s="8">
        <v>10</v>
      </c>
      <c r="G14" s="8"/>
      <c r="H14" s="8"/>
      <c r="I14" s="8"/>
      <c r="J14" s="8">
        <v>10</v>
      </c>
      <c r="K14" s="8"/>
      <c r="L14" s="8"/>
      <c r="M14" s="8"/>
      <c r="N14" s="8">
        <v>10</v>
      </c>
    </row>
    <row r="15" spans="1:14">
      <c r="B15" s="7" t="s">
        <v>15</v>
      </c>
      <c r="C15" s="8"/>
      <c r="D15" s="8"/>
      <c r="E15" s="8">
        <v>59</v>
      </c>
      <c r="F15" s="8"/>
      <c r="G15" s="8"/>
      <c r="H15" s="8"/>
      <c r="I15" s="8"/>
      <c r="J15" s="8">
        <v>54</v>
      </c>
      <c r="K15" s="8"/>
      <c r="L15" s="8">
        <v>47.5</v>
      </c>
      <c r="M15" s="8"/>
      <c r="N15" s="8">
        <v>53.5</v>
      </c>
    </row>
    <row r="16" spans="1:14">
      <c r="B16" s="51" t="s">
        <v>16</v>
      </c>
      <c r="C16" s="50"/>
      <c r="D16" s="50"/>
      <c r="E16" s="50">
        <v>46.8</v>
      </c>
      <c r="F16" s="50"/>
      <c r="G16" s="50"/>
      <c r="H16" s="50"/>
      <c r="I16" s="50"/>
      <c r="J16" s="50">
        <v>58</v>
      </c>
      <c r="K16" s="50"/>
      <c r="L16" s="50"/>
      <c r="M16" s="50"/>
      <c r="N16" s="8">
        <v>52.4</v>
      </c>
    </row>
    <row r="17" spans="1:17" ht="13.5" thickBot="1">
      <c r="A17" s="6"/>
      <c r="B17" s="7" t="s">
        <v>81</v>
      </c>
      <c r="C17" s="9"/>
      <c r="D17" s="9"/>
      <c r="E17" s="9"/>
      <c r="F17" s="9">
        <v>20</v>
      </c>
      <c r="G17" s="9"/>
      <c r="H17" s="9"/>
      <c r="I17" s="9"/>
      <c r="J17" s="9"/>
      <c r="K17" s="9"/>
      <c r="L17" s="9"/>
      <c r="M17" s="9"/>
      <c r="N17" s="8">
        <v>20</v>
      </c>
    </row>
    <row r="18" spans="1:17">
      <c r="B18" s="5" t="s">
        <v>17</v>
      </c>
      <c r="C18" s="8"/>
      <c r="D18" s="8">
        <v>0</v>
      </c>
      <c r="E18" s="8">
        <v>105.8</v>
      </c>
      <c r="F18" s="8">
        <v>37</v>
      </c>
      <c r="G18" s="8"/>
      <c r="H18" s="8"/>
      <c r="I18" s="8"/>
      <c r="J18" s="8">
        <v>122</v>
      </c>
      <c r="K18" s="8"/>
      <c r="L18" s="8">
        <v>47.5</v>
      </c>
      <c r="M18" s="8">
        <v>0</v>
      </c>
      <c r="N18" s="8">
        <v>52.05</v>
      </c>
    </row>
    <row r="19" spans="1:17"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7">
      <c r="A20" s="6" t="s">
        <v>19</v>
      </c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7">
      <c r="A21" s="6"/>
      <c r="B21" s="5" t="s">
        <v>17</v>
      </c>
      <c r="C21" s="8"/>
      <c r="D21" s="8">
        <v>897.48</v>
      </c>
      <c r="E21" s="8"/>
      <c r="F21" s="8">
        <v>930.64</v>
      </c>
      <c r="G21" s="8"/>
      <c r="H21" s="8"/>
      <c r="I21" s="8"/>
      <c r="J21" s="8"/>
      <c r="K21" s="8"/>
      <c r="L21" s="8"/>
      <c r="M21" s="8"/>
      <c r="N21" s="8">
        <v>914.06</v>
      </c>
    </row>
    <row r="22" spans="1:17"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7">
      <c r="A23" s="6" t="s">
        <v>20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7">
      <c r="A24" s="10"/>
      <c r="B24" s="7" t="s">
        <v>21</v>
      </c>
      <c r="C24" s="8">
        <v>2.3199999999999998</v>
      </c>
      <c r="D24" s="8">
        <v>2.3199999999999998</v>
      </c>
      <c r="E24" s="8">
        <v>2.3199999999999998</v>
      </c>
      <c r="F24" s="8">
        <v>2.3199999999999998</v>
      </c>
      <c r="G24" s="8">
        <v>2.3199999999999998</v>
      </c>
      <c r="H24" s="8">
        <v>2.3199999999999998</v>
      </c>
      <c r="I24" s="8">
        <v>2.3199999999999998</v>
      </c>
      <c r="J24" s="8">
        <v>2.3199999999999998</v>
      </c>
      <c r="K24" s="8">
        <v>2.3199999999999998</v>
      </c>
      <c r="L24" s="8">
        <v>2.3199999999999998</v>
      </c>
      <c r="M24" s="8">
        <v>2.3199999999999998</v>
      </c>
      <c r="N24" s="8">
        <v>2.3199999999999998</v>
      </c>
    </row>
    <row r="25" spans="1:17">
      <c r="A25" s="10"/>
      <c r="B25" s="7" t="s">
        <v>22</v>
      </c>
      <c r="C25" s="8">
        <v>2.44</v>
      </c>
      <c r="D25" s="8">
        <v>2.44</v>
      </c>
      <c r="E25" s="8">
        <v>2.44</v>
      </c>
      <c r="F25" s="8">
        <v>2.44</v>
      </c>
      <c r="G25" s="8">
        <v>2.44</v>
      </c>
      <c r="H25" s="8">
        <v>2.44</v>
      </c>
      <c r="I25" s="8">
        <v>2.44</v>
      </c>
      <c r="J25" s="8">
        <v>2.44</v>
      </c>
      <c r="K25" s="8">
        <v>2.44</v>
      </c>
      <c r="L25" s="8">
        <v>2.44</v>
      </c>
      <c r="M25" s="8">
        <v>2.44</v>
      </c>
      <c r="N25" s="8">
        <v>2.44</v>
      </c>
    </row>
    <row r="26" spans="1:17" s="19" customFormat="1">
      <c r="E26"/>
      <c r="F26"/>
      <c r="G26"/>
      <c r="H26"/>
      <c r="I26"/>
      <c r="J26"/>
      <c r="K26"/>
      <c r="L26"/>
      <c r="M26"/>
      <c r="N26"/>
      <c r="O26"/>
      <c r="Q26" s="20"/>
    </row>
    <row r="27" spans="1:17" ht="15.75">
      <c r="A27" s="11" t="s">
        <v>23</v>
      </c>
      <c r="B27" s="11"/>
      <c r="C27" s="12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7">
      <c r="A28" s="6" t="s">
        <v>24</v>
      </c>
    </row>
    <row r="29" spans="1:17">
      <c r="B29" s="7" t="s">
        <v>30</v>
      </c>
      <c r="C29" s="8">
        <v>68.16</v>
      </c>
      <c r="D29" s="8">
        <v>68.16</v>
      </c>
      <c r="E29" s="8">
        <v>68.16</v>
      </c>
      <c r="F29" s="8">
        <v>68.16</v>
      </c>
      <c r="G29" s="8">
        <v>68.16</v>
      </c>
      <c r="H29" s="8">
        <v>68.16</v>
      </c>
      <c r="I29" s="8">
        <v>68.16</v>
      </c>
      <c r="J29" s="8">
        <v>68.16</v>
      </c>
      <c r="K29" s="8">
        <v>68.16</v>
      </c>
      <c r="L29" s="8">
        <v>68.16</v>
      </c>
      <c r="M29" s="8">
        <v>68.16</v>
      </c>
      <c r="N29" s="8">
        <v>68.16</v>
      </c>
    </row>
    <row r="30" spans="1:17" ht="13.5" thickBot="1">
      <c r="B30" s="7" t="s">
        <v>25</v>
      </c>
      <c r="C30" s="9">
        <v>3.4</v>
      </c>
      <c r="D30" s="9">
        <v>3.4</v>
      </c>
      <c r="E30" s="9">
        <v>3.4</v>
      </c>
      <c r="F30" s="9">
        <v>3.4</v>
      </c>
      <c r="G30" s="9">
        <v>3.4</v>
      </c>
      <c r="H30" s="9">
        <v>3.4</v>
      </c>
      <c r="I30" s="9">
        <v>3.4</v>
      </c>
      <c r="J30" s="9">
        <v>3.4</v>
      </c>
      <c r="K30" s="9">
        <v>3.4</v>
      </c>
      <c r="L30" s="9">
        <v>3.4</v>
      </c>
      <c r="M30" s="9">
        <v>3.4</v>
      </c>
      <c r="N30" s="8">
        <v>3.4</v>
      </c>
    </row>
    <row r="31" spans="1:17">
      <c r="B31" s="5" t="s">
        <v>17</v>
      </c>
      <c r="C31" s="8">
        <v>71.56</v>
      </c>
      <c r="D31" s="8">
        <v>71.56</v>
      </c>
      <c r="E31" s="8">
        <v>71.56</v>
      </c>
      <c r="F31" s="8">
        <v>71.56</v>
      </c>
      <c r="G31" s="8">
        <v>71.56</v>
      </c>
      <c r="H31" s="8">
        <v>71.56</v>
      </c>
      <c r="I31" s="8">
        <v>71.56</v>
      </c>
      <c r="J31" s="8">
        <v>71.56</v>
      </c>
      <c r="K31" s="8">
        <v>71.56</v>
      </c>
      <c r="L31" s="8">
        <v>71.56</v>
      </c>
      <c r="M31" s="8">
        <v>71.56</v>
      </c>
      <c r="N31" s="8">
        <v>71.56</v>
      </c>
    </row>
    <row r="32" spans="1:17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>
      <c r="A33" s="6" t="s">
        <v>26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B34" s="7" t="s">
        <v>27</v>
      </c>
      <c r="C34" s="8">
        <v>2955</v>
      </c>
      <c r="D34" s="8">
        <v>3037.5</v>
      </c>
      <c r="E34" s="8">
        <v>3063.7</v>
      </c>
      <c r="F34" s="8">
        <v>3166.7</v>
      </c>
      <c r="G34" s="8">
        <v>3092.1</v>
      </c>
      <c r="H34" s="8">
        <v>3039.3</v>
      </c>
      <c r="I34" s="8">
        <v>3180</v>
      </c>
      <c r="J34" s="8">
        <v>3157.6</v>
      </c>
      <c r="K34" s="8">
        <v>3101.1</v>
      </c>
      <c r="L34" s="8">
        <v>3150.5</v>
      </c>
      <c r="M34" s="8">
        <v>2876.7</v>
      </c>
      <c r="N34" s="8">
        <v>3074.5636363636363</v>
      </c>
    </row>
    <row r="35" spans="1:14">
      <c r="B35" s="7" t="s">
        <v>28</v>
      </c>
      <c r="C35" s="8">
        <v>98.5</v>
      </c>
      <c r="D35" s="8">
        <v>101.25</v>
      </c>
      <c r="E35" s="8">
        <v>102.12333333333335</v>
      </c>
      <c r="F35" s="8">
        <v>105.55666666666667</v>
      </c>
      <c r="G35" s="8">
        <v>103.07</v>
      </c>
      <c r="H35" s="8">
        <v>101.31</v>
      </c>
      <c r="I35" s="8">
        <v>106</v>
      </c>
      <c r="J35" s="8">
        <v>105.25333333333334</v>
      </c>
      <c r="K35" s="8">
        <v>103.37</v>
      </c>
      <c r="L35" s="8">
        <v>105.01666666666667</v>
      </c>
      <c r="M35" s="8">
        <v>95.89</v>
      </c>
      <c r="N35" s="8">
        <v>102.48545454545456</v>
      </c>
    </row>
    <row r="36" spans="1:14">
      <c r="B36" s="13" t="s">
        <v>82</v>
      </c>
      <c r="C36" s="14">
        <v>6.2796719896417663E-2</v>
      </c>
      <c r="D36" s="14">
        <v>6.2211498111624186E-2</v>
      </c>
      <c r="E36" s="14">
        <v>5.1784157151390842E-2</v>
      </c>
      <c r="F36" s="14">
        <v>9.2907679033649826E-2</v>
      </c>
      <c r="G36" s="14">
        <v>5.0769701294729463E-2</v>
      </c>
      <c r="H36" s="14">
        <v>7.445116131084939E-2</v>
      </c>
      <c r="I36" s="14">
        <v>5.5566620195180327E-2</v>
      </c>
      <c r="J36" s="14">
        <v>9.1952830514922201E-2</v>
      </c>
      <c r="K36" s="14">
        <v>6.4572605561277197E-2</v>
      </c>
      <c r="L36" s="14">
        <v>8.3241644890661437E-2</v>
      </c>
      <c r="M36" s="14">
        <v>7.5321471291865949E-2</v>
      </c>
      <c r="N36" s="14">
        <v>6.9492572731073565E-2</v>
      </c>
    </row>
    <row r="38" spans="1:14">
      <c r="A38" s="6" t="s">
        <v>29</v>
      </c>
    </row>
    <row r="39" spans="1:14">
      <c r="B39" s="7" t="s">
        <v>83</v>
      </c>
      <c r="C39" s="8">
        <v>471.86</v>
      </c>
      <c r="D39" s="8">
        <v>465.19</v>
      </c>
      <c r="E39" s="8">
        <v>452.18</v>
      </c>
      <c r="F39" s="8">
        <v>476.84</v>
      </c>
      <c r="G39" s="8">
        <v>465.19</v>
      </c>
      <c r="H39" s="8">
        <v>465.19</v>
      </c>
      <c r="I39" s="8">
        <v>465.19</v>
      </c>
      <c r="J39" s="8">
        <v>465.19</v>
      </c>
      <c r="K39" s="8">
        <v>441.16</v>
      </c>
      <c r="L39" s="8">
        <v>452.18</v>
      </c>
      <c r="M39" s="8">
        <v>465.19</v>
      </c>
      <c r="N39" s="8">
        <v>462.3054545454545</v>
      </c>
    </row>
    <row r="40" spans="1:14" ht="13.5" thickBot="1">
      <c r="B40" s="7" t="s">
        <v>25</v>
      </c>
      <c r="C40" s="9">
        <v>23.59</v>
      </c>
      <c r="D40" s="9">
        <v>23.25</v>
      </c>
      <c r="E40" s="9">
        <v>22.6</v>
      </c>
      <c r="F40" s="9">
        <v>23.84</v>
      </c>
      <c r="G40" s="9">
        <v>23.25</v>
      </c>
      <c r="H40" s="9">
        <v>23.25</v>
      </c>
      <c r="I40" s="9">
        <v>23.25</v>
      </c>
      <c r="J40" s="9">
        <v>23.25</v>
      </c>
      <c r="K40" s="9">
        <v>22.05</v>
      </c>
      <c r="L40" s="9">
        <v>22.6</v>
      </c>
      <c r="M40" s="9">
        <v>23.25</v>
      </c>
      <c r="N40" s="8">
        <v>23.107272727272729</v>
      </c>
    </row>
    <row r="41" spans="1:14">
      <c r="B41" s="5" t="s">
        <v>17</v>
      </c>
      <c r="C41" s="8">
        <v>495.45</v>
      </c>
      <c r="D41" s="8">
        <v>488.44</v>
      </c>
      <c r="E41" s="8">
        <v>474.78</v>
      </c>
      <c r="F41" s="8">
        <v>500.68</v>
      </c>
      <c r="G41" s="8">
        <v>488.44</v>
      </c>
      <c r="H41" s="8">
        <v>488.44</v>
      </c>
      <c r="I41" s="8">
        <v>488.44</v>
      </c>
      <c r="J41" s="8">
        <v>488.44</v>
      </c>
      <c r="K41" s="8">
        <v>463.21</v>
      </c>
      <c r="L41" s="8">
        <v>474.78</v>
      </c>
      <c r="M41" s="8">
        <v>488.44</v>
      </c>
      <c r="N41" s="8">
        <v>485.41272727272718</v>
      </c>
    </row>
    <row r="42" spans="1:14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6" t="s">
        <v>31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B44" s="7" t="s">
        <v>27</v>
      </c>
      <c r="C44" s="8">
        <v>15671.7</v>
      </c>
      <c r="D44" s="8">
        <v>15543.9</v>
      </c>
      <c r="E44" s="8">
        <v>15160.3</v>
      </c>
      <c r="F44" s="8">
        <v>16040.3</v>
      </c>
      <c r="G44" s="8">
        <v>15598.5</v>
      </c>
      <c r="H44" s="8">
        <v>15545.7</v>
      </c>
      <c r="I44" s="8">
        <v>15686.4</v>
      </c>
      <c r="J44" s="8">
        <v>15664</v>
      </c>
      <c r="K44" s="8">
        <v>14850.6</v>
      </c>
      <c r="L44" s="8">
        <v>15247.1</v>
      </c>
      <c r="M44" s="8">
        <v>15383.1</v>
      </c>
      <c r="N44" s="8">
        <v>15490.145454545454</v>
      </c>
    </row>
    <row r="45" spans="1:14">
      <c r="B45" s="7" t="s">
        <v>28</v>
      </c>
      <c r="C45" s="8">
        <v>522.39</v>
      </c>
      <c r="D45" s="8">
        <v>518.13</v>
      </c>
      <c r="E45" s="8">
        <v>505.34333333333336</v>
      </c>
      <c r="F45" s="8">
        <v>534.67666666666662</v>
      </c>
      <c r="G45" s="8">
        <v>519.95000000000005</v>
      </c>
      <c r="H45" s="8">
        <v>518.19000000000005</v>
      </c>
      <c r="I45" s="8">
        <v>522.88</v>
      </c>
      <c r="J45" s="8">
        <v>522.13333333333333</v>
      </c>
      <c r="K45" s="8">
        <v>495.02</v>
      </c>
      <c r="L45" s="8">
        <v>508.23666666666674</v>
      </c>
      <c r="M45" s="8">
        <v>512.77</v>
      </c>
      <c r="N45" s="8">
        <v>516.33818181818197</v>
      </c>
    </row>
    <row r="46" spans="1:14">
      <c r="B46" s="13" t="s">
        <v>82</v>
      </c>
      <c r="C46" s="14">
        <v>0.13493960198140265</v>
      </c>
      <c r="D46" s="14">
        <v>0.11926466776116817</v>
      </c>
      <c r="E46" s="14">
        <v>0.14262478934214462</v>
      </c>
      <c r="F46" s="14">
        <v>0.15184046877019619</v>
      </c>
      <c r="G46" s="14">
        <v>0.1217665206791656</v>
      </c>
      <c r="H46" s="14">
        <v>0.12189049340752134</v>
      </c>
      <c r="I46" s="14">
        <v>0.11721721293961807</v>
      </c>
      <c r="J46" s="14">
        <v>0.12531160872719949</v>
      </c>
      <c r="K46" s="14">
        <v>0.11927103353155322</v>
      </c>
      <c r="L46" s="14">
        <v>0.14957928704988244</v>
      </c>
      <c r="M46" s="14">
        <v>0.12256722735067682</v>
      </c>
      <c r="N46" s="14">
        <v>0.12956676724991212</v>
      </c>
    </row>
    <row r="47" spans="1:14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5.75">
      <c r="A48" s="11" t="s">
        <v>32</v>
      </c>
      <c r="B48" s="15"/>
    </row>
    <row r="49" spans="1:14">
      <c r="A49" s="6" t="s">
        <v>33</v>
      </c>
    </row>
    <row r="50" spans="1:14">
      <c r="B50" s="7" t="s">
        <v>30</v>
      </c>
      <c r="C50" s="8">
        <v>191.95</v>
      </c>
      <c r="D50" s="8">
        <v>184.74</v>
      </c>
      <c r="E50" s="8">
        <v>180.24</v>
      </c>
      <c r="F50" s="8">
        <v>191.95</v>
      </c>
      <c r="G50" s="8">
        <v>191.04</v>
      </c>
      <c r="H50" s="8">
        <v>191.95</v>
      </c>
      <c r="I50" s="8">
        <v>191.95</v>
      </c>
      <c r="J50" s="8">
        <v>191.95</v>
      </c>
      <c r="K50" s="8">
        <v>190.63</v>
      </c>
      <c r="L50" s="8">
        <v>180.24</v>
      </c>
      <c r="M50" s="8"/>
      <c r="N50" s="8">
        <v>188.66400000000002</v>
      </c>
    </row>
    <row r="51" spans="1:14" ht="13.5" thickBot="1">
      <c r="B51" s="7" t="s">
        <v>25</v>
      </c>
      <c r="C51" s="9">
        <v>9.59</v>
      </c>
      <c r="D51" s="9">
        <v>9.23</v>
      </c>
      <c r="E51" s="9">
        <v>9.01</v>
      </c>
      <c r="F51" s="9">
        <v>9.59</v>
      </c>
      <c r="G51" s="9">
        <v>9.5500000000000007</v>
      </c>
      <c r="H51" s="9">
        <v>9.59</v>
      </c>
      <c r="I51" s="9">
        <v>9.59</v>
      </c>
      <c r="J51" s="9">
        <v>9.59</v>
      </c>
      <c r="K51" s="9">
        <v>9.5299999999999994</v>
      </c>
      <c r="L51" s="9">
        <v>9.01</v>
      </c>
      <c r="M51" s="9"/>
      <c r="N51" s="8">
        <v>9.4280000000000008</v>
      </c>
    </row>
    <row r="52" spans="1:14">
      <c r="B52" s="5" t="s">
        <v>17</v>
      </c>
      <c r="C52" s="8">
        <v>201.54</v>
      </c>
      <c r="D52" s="8">
        <v>193.97</v>
      </c>
      <c r="E52" s="8">
        <v>189.25</v>
      </c>
      <c r="F52" s="8">
        <v>201.54</v>
      </c>
      <c r="G52" s="8">
        <v>200.59</v>
      </c>
      <c r="H52" s="8">
        <v>201.54</v>
      </c>
      <c r="I52" s="8">
        <v>201.54</v>
      </c>
      <c r="J52" s="8">
        <v>201.54</v>
      </c>
      <c r="K52" s="8">
        <v>200.16</v>
      </c>
      <c r="L52" s="8">
        <v>189.25</v>
      </c>
      <c r="M52" s="8"/>
      <c r="N52" s="8">
        <v>198.09200000000001</v>
      </c>
    </row>
    <row r="53" spans="1:14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6" t="s">
        <v>34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B55" s="7" t="s">
        <v>35</v>
      </c>
      <c r="C55" s="8">
        <v>5483.52</v>
      </c>
      <c r="D55" s="8">
        <v>5367.84</v>
      </c>
      <c r="E55" s="8">
        <v>5317.84</v>
      </c>
      <c r="F55" s="8">
        <v>5667.68</v>
      </c>
      <c r="G55" s="8">
        <v>5570.4</v>
      </c>
      <c r="H55" s="8">
        <v>5550.96</v>
      </c>
      <c r="I55" s="8">
        <v>5663.52</v>
      </c>
      <c r="J55" s="8">
        <v>5694.4</v>
      </c>
      <c r="K55" s="8">
        <v>5567.28</v>
      </c>
      <c r="L55" s="8">
        <v>5363.96</v>
      </c>
      <c r="M55" s="8"/>
      <c r="N55" s="8">
        <v>5524.74</v>
      </c>
    </row>
    <row r="56" spans="1:14">
      <c r="B56" s="7" t="s">
        <v>28</v>
      </c>
      <c r="C56" s="8">
        <v>228.48</v>
      </c>
      <c r="D56" s="8">
        <v>223.66</v>
      </c>
      <c r="E56" s="8">
        <v>221.57666666666668</v>
      </c>
      <c r="F56" s="8">
        <v>236.15333333333334</v>
      </c>
      <c r="G56" s="8">
        <v>232.1</v>
      </c>
      <c r="H56" s="8">
        <v>231.29</v>
      </c>
      <c r="I56" s="8">
        <v>235.98</v>
      </c>
      <c r="J56" s="8">
        <v>237.26666666666665</v>
      </c>
      <c r="K56" s="8">
        <v>231.97</v>
      </c>
      <c r="L56" s="8">
        <v>223.49833333333333</v>
      </c>
      <c r="M56" s="8"/>
      <c r="N56" s="8">
        <v>230.19749999999999</v>
      </c>
    </row>
    <row r="57" spans="1:14">
      <c r="B57" s="13" t="s">
        <v>82</v>
      </c>
      <c r="C57" s="14">
        <v>0.11312481730488155</v>
      </c>
      <c r="D57" s="14">
        <v>0.11179599343838542</v>
      </c>
      <c r="E57" s="14">
        <v>0.10513890505245338</v>
      </c>
      <c r="F57" s="14">
        <v>0.12751058344208532</v>
      </c>
      <c r="G57" s="14">
        <v>0.10618625488513955</v>
      </c>
      <c r="H57" s="14">
        <v>0.11750495240856162</v>
      </c>
      <c r="I57" s="14">
        <v>0.10788732394366196</v>
      </c>
      <c r="J57" s="14">
        <v>0.1253665978925067</v>
      </c>
      <c r="K57" s="14">
        <v>0.11288620226444057</v>
      </c>
      <c r="L57" s="14">
        <v>0.12204530051124163</v>
      </c>
      <c r="M57" s="14"/>
      <c r="N57" s="48">
        <v>0.11494469311433578</v>
      </c>
    </row>
    <row r="58" spans="1:14">
      <c r="B58" s="13"/>
    </row>
    <row r="59" spans="1:14">
      <c r="A59" s="6" t="s">
        <v>36</v>
      </c>
    </row>
    <row r="60" spans="1:14">
      <c r="B60" s="7" t="s">
        <v>83</v>
      </c>
      <c r="C60" s="8">
        <v>817.13</v>
      </c>
      <c r="D60" s="8">
        <v>757.45</v>
      </c>
      <c r="E60" s="8">
        <v>771.76</v>
      </c>
      <c r="F60" s="8">
        <v>821.94</v>
      </c>
      <c r="G60" s="8">
        <v>798.07</v>
      </c>
      <c r="H60" s="8">
        <v>801.89</v>
      </c>
      <c r="I60" s="8">
        <v>801.9</v>
      </c>
      <c r="J60" s="8">
        <v>801.9</v>
      </c>
      <c r="K60" s="8">
        <v>763.34</v>
      </c>
      <c r="L60" s="8">
        <v>771.78</v>
      </c>
      <c r="M60" s="8"/>
      <c r="N60" s="8">
        <v>790.71600000000001</v>
      </c>
    </row>
    <row r="61" spans="1:14" ht="13.5" thickBot="1">
      <c r="B61" s="7" t="s">
        <v>25</v>
      </c>
      <c r="C61" s="9">
        <v>40.85</v>
      </c>
      <c r="D61" s="9">
        <v>37.86</v>
      </c>
      <c r="E61" s="9">
        <v>38.58</v>
      </c>
      <c r="F61" s="9">
        <v>41.09</v>
      </c>
      <c r="G61" s="9">
        <v>39.9</v>
      </c>
      <c r="H61" s="9">
        <v>40.090000000000003</v>
      </c>
      <c r="I61" s="9">
        <v>40.090000000000003</v>
      </c>
      <c r="J61" s="9">
        <v>40.090000000000003</v>
      </c>
      <c r="K61" s="9">
        <v>38.159999999999997</v>
      </c>
      <c r="L61" s="9">
        <v>38.58</v>
      </c>
      <c r="M61" s="9"/>
      <c r="N61" s="8">
        <v>39.529000000000003</v>
      </c>
    </row>
    <row r="62" spans="1:14">
      <c r="B62" s="5" t="s">
        <v>17</v>
      </c>
      <c r="C62" s="8">
        <v>857.98</v>
      </c>
      <c r="D62" s="8">
        <v>795.31</v>
      </c>
      <c r="E62" s="8">
        <v>810.34</v>
      </c>
      <c r="F62" s="8">
        <v>863.03</v>
      </c>
      <c r="G62" s="8">
        <v>837.97</v>
      </c>
      <c r="H62" s="8">
        <v>841.98</v>
      </c>
      <c r="I62" s="8">
        <v>841.99</v>
      </c>
      <c r="J62" s="8">
        <v>841.99</v>
      </c>
      <c r="K62" s="8">
        <v>801.5</v>
      </c>
      <c r="L62" s="8">
        <v>810.36</v>
      </c>
      <c r="M62" s="8"/>
      <c r="N62" s="8">
        <v>830.245</v>
      </c>
    </row>
    <row r="63" spans="1:14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6" t="s">
        <v>37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B65" s="7" t="s">
        <v>35</v>
      </c>
      <c r="C65" s="8">
        <v>21238.080000000002</v>
      </c>
      <c r="D65" s="8">
        <v>19800</v>
      </c>
      <c r="E65" s="8">
        <v>20224</v>
      </c>
      <c r="F65" s="8">
        <v>21543.439999999999</v>
      </c>
      <c r="G65" s="8">
        <v>20867.52</v>
      </c>
      <c r="H65" s="8">
        <v>20921.52</v>
      </c>
      <c r="I65" s="8">
        <v>21034.32</v>
      </c>
      <c r="J65" s="8">
        <v>21065.200000000001</v>
      </c>
      <c r="K65" s="8">
        <v>19999.439999999999</v>
      </c>
      <c r="L65" s="8">
        <v>20270.599999999999</v>
      </c>
      <c r="M65" s="8"/>
      <c r="N65" s="8">
        <v>20696.412000000004</v>
      </c>
    </row>
    <row r="66" spans="1:14">
      <c r="B66" s="7" t="s">
        <v>28</v>
      </c>
      <c r="C66" s="8">
        <v>884.92</v>
      </c>
      <c r="D66" s="8">
        <v>825</v>
      </c>
      <c r="E66" s="8">
        <v>842.66666666666663</v>
      </c>
      <c r="F66" s="8">
        <v>897.64333333333343</v>
      </c>
      <c r="G66" s="8">
        <v>869.48</v>
      </c>
      <c r="H66" s="8">
        <v>871.73</v>
      </c>
      <c r="I66" s="8">
        <v>876.43</v>
      </c>
      <c r="J66" s="8">
        <v>877.71666666666658</v>
      </c>
      <c r="K66" s="8">
        <v>833.31</v>
      </c>
      <c r="L66" s="8">
        <v>844.60833333333323</v>
      </c>
      <c r="M66" s="8"/>
      <c r="N66" s="8">
        <v>862.35050000000012</v>
      </c>
    </row>
    <row r="67" spans="1:14">
      <c r="B67" s="13" t="s">
        <v>82</v>
      </c>
      <c r="C67" s="14">
        <v>0.14252514428104779</v>
      </c>
      <c r="D67" s="14">
        <v>0.12138099768927568</v>
      </c>
      <c r="E67" s="14">
        <v>0.14644366644294093</v>
      </c>
      <c r="F67" s="14">
        <v>0.15272135778952567</v>
      </c>
      <c r="G67" s="14">
        <v>0.12169257563052316</v>
      </c>
      <c r="H67" s="14">
        <v>0.12301607750180366</v>
      </c>
      <c r="I67" s="14">
        <v>0.12036764799877275</v>
      </c>
      <c r="J67" s="14">
        <v>0.12512631846567657</v>
      </c>
      <c r="K67" s="14">
        <v>0.12159306566886952</v>
      </c>
      <c r="L67" s="14">
        <v>0.15113429086093433</v>
      </c>
      <c r="M67" s="14"/>
      <c r="N67" s="48">
        <v>0.13260011423293699</v>
      </c>
    </row>
    <row r="68" spans="1:14">
      <c r="B68" s="13"/>
    </row>
    <row r="69" spans="1:14" ht="15.75">
      <c r="A69" s="11" t="s">
        <v>38</v>
      </c>
      <c r="B69" s="15"/>
    </row>
    <row r="70" spans="1:14">
      <c r="A70" s="6" t="s">
        <v>39</v>
      </c>
    </row>
    <row r="71" spans="1:14">
      <c r="B71" s="7" t="s">
        <v>30</v>
      </c>
      <c r="C71" s="8">
        <v>218.16</v>
      </c>
      <c r="D71" s="8">
        <v>209.97</v>
      </c>
      <c r="E71" s="8">
        <v>204.85</v>
      </c>
      <c r="F71" s="8"/>
      <c r="G71" s="8"/>
      <c r="H71" s="8"/>
      <c r="I71" s="8"/>
      <c r="J71" s="8">
        <v>218.16</v>
      </c>
      <c r="K71" s="8"/>
      <c r="L71" s="8"/>
      <c r="M71" s="8"/>
      <c r="N71" s="8">
        <v>212.785</v>
      </c>
    </row>
    <row r="72" spans="1:14" ht="13.5" thickBot="1">
      <c r="B72" s="7" t="s">
        <v>25</v>
      </c>
      <c r="C72" s="9">
        <v>10.9</v>
      </c>
      <c r="D72" s="9">
        <v>10.49</v>
      </c>
      <c r="E72" s="9">
        <v>10.24</v>
      </c>
      <c r="F72" s="9"/>
      <c r="G72" s="9"/>
      <c r="H72" s="9"/>
      <c r="I72" s="9"/>
      <c r="J72" s="9">
        <v>10.9</v>
      </c>
      <c r="K72" s="9"/>
      <c r="L72" s="9"/>
      <c r="M72" s="9"/>
      <c r="N72" s="9">
        <v>10.6325</v>
      </c>
    </row>
    <row r="73" spans="1:14">
      <c r="B73" s="5" t="s">
        <v>17</v>
      </c>
      <c r="C73" s="8">
        <v>229.06</v>
      </c>
      <c r="D73" s="8">
        <v>220.46</v>
      </c>
      <c r="E73" s="8">
        <v>215.09</v>
      </c>
      <c r="F73" s="8"/>
      <c r="G73" s="8"/>
      <c r="H73" s="8"/>
      <c r="I73" s="8"/>
      <c r="J73" s="8">
        <v>229.06</v>
      </c>
      <c r="K73" s="8"/>
      <c r="L73" s="8"/>
      <c r="M73" s="8"/>
      <c r="N73" s="8">
        <v>223.41749999999999</v>
      </c>
    </row>
    <row r="74" spans="1:14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6" t="s">
        <v>40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B76" s="7" t="s">
        <v>35</v>
      </c>
      <c r="C76" s="8">
        <v>6144</v>
      </c>
      <c r="D76" s="8">
        <v>6003.6</v>
      </c>
      <c r="E76" s="8">
        <v>5938</v>
      </c>
      <c r="F76" s="8"/>
      <c r="G76" s="8"/>
      <c r="H76" s="8"/>
      <c r="I76" s="8"/>
      <c r="J76" s="8">
        <v>6354.88</v>
      </c>
      <c r="K76" s="8"/>
      <c r="L76" s="8"/>
      <c r="M76" s="8"/>
      <c r="N76" s="8">
        <v>6110.12</v>
      </c>
    </row>
    <row r="77" spans="1:14">
      <c r="B77" s="7" t="s">
        <v>28</v>
      </c>
      <c r="C77" s="8">
        <v>256</v>
      </c>
      <c r="D77" s="8">
        <v>250.15</v>
      </c>
      <c r="E77" s="8">
        <v>247.41666666666666</v>
      </c>
      <c r="F77" s="8"/>
      <c r="G77" s="8"/>
      <c r="H77" s="8"/>
      <c r="I77" s="8"/>
      <c r="J77" s="8">
        <v>264.78666666666669</v>
      </c>
      <c r="K77" s="8"/>
      <c r="L77" s="8"/>
      <c r="M77" s="8"/>
      <c r="N77" s="8">
        <v>254.58833333333334</v>
      </c>
    </row>
    <row r="78" spans="1:14">
      <c r="B78" s="13" t="s">
        <v>82</v>
      </c>
      <c r="C78" s="14">
        <v>0.11444865264899207</v>
      </c>
      <c r="D78" s="14">
        <v>0.11321258510969701</v>
      </c>
      <c r="E78" s="14">
        <v>0.10722436863224805</v>
      </c>
      <c r="F78" s="14"/>
      <c r="G78" s="14"/>
      <c r="H78" s="14"/>
      <c r="I78" s="14"/>
      <c r="J78" s="14">
        <v>0.12538694207733903</v>
      </c>
      <c r="N78" s="48">
        <v>0.11506813711706904</v>
      </c>
    </row>
    <row r="79" spans="1:14">
      <c r="B79" s="13"/>
    </row>
    <row r="80" spans="1:14">
      <c r="A80" s="6" t="s">
        <v>41</v>
      </c>
    </row>
    <row r="81" spans="1:14">
      <c r="B81" s="7" t="s">
        <v>83</v>
      </c>
      <c r="C81" s="8">
        <v>869.36</v>
      </c>
      <c r="D81" s="8">
        <v>845.29</v>
      </c>
      <c r="E81" s="8">
        <v>821.33</v>
      </c>
      <c r="F81" s="8"/>
      <c r="G81" s="8"/>
      <c r="H81" s="8"/>
      <c r="I81" s="8"/>
      <c r="J81" s="8">
        <v>853.48</v>
      </c>
      <c r="K81" s="8"/>
      <c r="L81" s="8"/>
      <c r="M81" s="8"/>
      <c r="N81" s="8">
        <v>847.36500000000001</v>
      </c>
    </row>
    <row r="82" spans="1:14" ht="13.5" thickBot="1">
      <c r="B82" s="7" t="s">
        <v>25</v>
      </c>
      <c r="C82" s="9">
        <v>43.46</v>
      </c>
      <c r="D82" s="9">
        <v>42.25</v>
      </c>
      <c r="E82" s="9">
        <v>41.06</v>
      </c>
      <c r="F82" s="9"/>
      <c r="G82" s="9"/>
      <c r="H82" s="9"/>
      <c r="I82" s="9"/>
      <c r="J82" s="9">
        <v>42.67</v>
      </c>
      <c r="K82" s="9"/>
      <c r="L82" s="9"/>
      <c r="M82" s="9"/>
      <c r="N82" s="9">
        <v>42.36</v>
      </c>
    </row>
    <row r="83" spans="1:14">
      <c r="B83" s="5" t="s">
        <v>17</v>
      </c>
      <c r="C83" s="8">
        <v>912.82</v>
      </c>
      <c r="D83" s="8">
        <v>887.54</v>
      </c>
      <c r="E83" s="8">
        <v>862.39</v>
      </c>
      <c r="F83" s="8"/>
      <c r="G83" s="8"/>
      <c r="H83" s="8"/>
      <c r="I83" s="8"/>
      <c r="J83" s="8">
        <v>896.15</v>
      </c>
      <c r="K83" s="8"/>
      <c r="L83" s="8"/>
      <c r="M83" s="8"/>
      <c r="N83" s="8">
        <v>889.72500000000002</v>
      </c>
    </row>
    <row r="84" spans="1:14"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6" t="s">
        <v>42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>
      <c r="B86" s="7" t="s">
        <v>35</v>
      </c>
      <c r="C86" s="8">
        <v>22554.240000000002</v>
      </c>
      <c r="D86" s="8">
        <v>22013.52</v>
      </c>
      <c r="E86" s="8">
        <v>21473.200000000001</v>
      </c>
      <c r="F86" s="8"/>
      <c r="G86" s="8"/>
      <c r="H86" s="8"/>
      <c r="I86" s="8"/>
      <c r="J86" s="8">
        <v>22365.040000000001</v>
      </c>
      <c r="K86" s="8"/>
      <c r="L86" s="8"/>
      <c r="M86" s="8"/>
      <c r="N86" s="8">
        <v>22101.5</v>
      </c>
    </row>
    <row r="87" spans="1:14">
      <c r="B87" s="7" t="s">
        <v>28</v>
      </c>
      <c r="C87" s="8">
        <v>939.76</v>
      </c>
      <c r="D87" s="8">
        <v>917.23</v>
      </c>
      <c r="E87" s="8">
        <v>894.7166666666667</v>
      </c>
      <c r="F87" s="8"/>
      <c r="G87" s="8"/>
      <c r="H87" s="8"/>
      <c r="I87" s="8"/>
      <c r="J87" s="8">
        <v>931.87666666666667</v>
      </c>
      <c r="K87" s="8"/>
      <c r="L87" s="8"/>
      <c r="M87" s="8"/>
      <c r="N87" s="8">
        <v>920.89583333333337</v>
      </c>
    </row>
    <row r="88" spans="1:14">
      <c r="B88" s="13" t="s">
        <v>82</v>
      </c>
      <c r="C88" s="14">
        <v>0.1423292450192668</v>
      </c>
      <c r="D88" s="14">
        <v>0.1217606124720243</v>
      </c>
      <c r="E88" s="14">
        <v>0.1467247117327648</v>
      </c>
      <c r="F88" s="14"/>
      <c r="G88" s="14"/>
      <c r="H88" s="14"/>
      <c r="I88" s="14"/>
      <c r="J88" s="14">
        <v>0.12512199490086462</v>
      </c>
      <c r="N88" s="48">
        <v>0.13398414103123013</v>
      </c>
    </row>
    <row r="89" spans="1:14">
      <c r="B89" s="13"/>
    </row>
    <row r="90" spans="1:14" ht="15.75">
      <c r="A90" s="11" t="s">
        <v>43</v>
      </c>
      <c r="B90" s="15"/>
    </row>
    <row r="91" spans="1:14">
      <c r="A91" s="6" t="s">
        <v>44</v>
      </c>
    </row>
    <row r="92" spans="1:14">
      <c r="B92" s="7" t="s">
        <v>30</v>
      </c>
      <c r="C92" s="8">
        <v>15666.04</v>
      </c>
      <c r="D92" s="8">
        <v>15077.65</v>
      </c>
      <c r="E92" s="8"/>
      <c r="F92" s="8">
        <v>15666.06</v>
      </c>
      <c r="G92" s="8"/>
      <c r="H92" s="8"/>
      <c r="I92" s="8"/>
      <c r="J92" s="8"/>
      <c r="K92" s="8"/>
      <c r="L92" s="8"/>
      <c r="M92" s="8"/>
      <c r="N92" s="8">
        <v>15469.916666666666</v>
      </c>
    </row>
    <row r="93" spans="1:14" ht="13.5" thickBot="1">
      <c r="B93" s="7" t="s">
        <v>25</v>
      </c>
      <c r="C93" s="9">
        <v>783.3</v>
      </c>
      <c r="D93" s="9">
        <v>753.88</v>
      </c>
      <c r="E93" s="9"/>
      <c r="F93" s="9">
        <v>783.3</v>
      </c>
      <c r="G93" s="9"/>
      <c r="H93" s="9"/>
      <c r="I93" s="9"/>
      <c r="J93" s="9"/>
      <c r="K93" s="9"/>
      <c r="L93" s="9"/>
      <c r="M93" s="9"/>
      <c r="N93" s="9">
        <v>773.49333333333323</v>
      </c>
    </row>
    <row r="94" spans="1:14">
      <c r="B94" s="5" t="s">
        <v>17</v>
      </c>
      <c r="C94" s="8">
        <v>16449.34</v>
      </c>
      <c r="D94" s="8">
        <v>15831.53</v>
      </c>
      <c r="E94" s="8"/>
      <c r="F94" s="8">
        <v>16449.36</v>
      </c>
      <c r="G94" s="8"/>
      <c r="H94" s="8"/>
      <c r="I94" s="8"/>
      <c r="J94" s="8"/>
      <c r="K94" s="8"/>
      <c r="L94" s="8"/>
      <c r="M94" s="8"/>
      <c r="N94" s="8">
        <v>16243.41</v>
      </c>
    </row>
    <row r="95" spans="1:14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6" t="s">
        <v>45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B97" s="7" t="s">
        <v>85</v>
      </c>
      <c r="C97" s="8">
        <v>16639.740000000002</v>
      </c>
      <c r="D97" s="8">
        <v>16919.41</v>
      </c>
      <c r="E97" s="8"/>
      <c r="F97" s="8">
        <v>17570.400000000001</v>
      </c>
      <c r="G97" s="8"/>
      <c r="H97" s="8"/>
      <c r="I97" s="8"/>
      <c r="J97" s="8"/>
      <c r="K97" s="8"/>
      <c r="L97" s="8"/>
      <c r="M97" s="8"/>
      <c r="N97" s="8">
        <v>17043.183333333334</v>
      </c>
    </row>
    <row r="98" spans="1:14">
      <c r="B98" s="13" t="s">
        <v>82</v>
      </c>
      <c r="C98" s="14">
        <v>6.2180670563092288E-2</v>
      </c>
      <c r="D98" s="14">
        <v>0.11855363063304281</v>
      </c>
      <c r="E98" s="14"/>
      <c r="F98" s="14">
        <v>0.1187354311426696</v>
      </c>
      <c r="N98" s="48">
        <v>9.9823244112934903E-2</v>
      </c>
    </row>
    <row r="99" spans="1:14">
      <c r="B99" s="13"/>
      <c r="C99" s="48"/>
    </row>
    <row r="100" spans="1:14">
      <c r="A100" s="6" t="s">
        <v>47</v>
      </c>
    </row>
    <row r="101" spans="1:14">
      <c r="B101" s="7" t="s">
        <v>83</v>
      </c>
      <c r="C101" s="8">
        <v>45092.3</v>
      </c>
      <c r="D101" s="8">
        <v>46416.61</v>
      </c>
      <c r="E101" s="8"/>
      <c r="F101" s="8">
        <v>47005.04</v>
      </c>
      <c r="G101" s="8"/>
      <c r="H101" s="8"/>
      <c r="I101" s="8"/>
      <c r="J101" s="8"/>
      <c r="K101" s="8"/>
      <c r="L101" s="8"/>
      <c r="M101" s="8"/>
      <c r="N101" s="8">
        <v>46171.316666666673</v>
      </c>
    </row>
    <row r="102" spans="1:14" ht="13.5" thickBot="1">
      <c r="B102" s="7" t="s">
        <v>25</v>
      </c>
      <c r="C102" s="9">
        <v>2254.61</v>
      </c>
      <c r="D102" s="9">
        <v>2320.8200000000002</v>
      </c>
      <c r="E102" s="9"/>
      <c r="F102" s="9">
        <v>2350.25</v>
      </c>
      <c r="G102" s="9"/>
      <c r="H102" s="9"/>
      <c r="I102" s="9"/>
      <c r="J102" s="9"/>
      <c r="K102" s="9"/>
      <c r="L102" s="9"/>
      <c r="M102" s="9"/>
      <c r="N102" s="9">
        <v>2308.56</v>
      </c>
    </row>
    <row r="103" spans="1:14">
      <c r="B103" s="5" t="s">
        <v>17</v>
      </c>
      <c r="C103" s="8">
        <v>47346.91</v>
      </c>
      <c r="D103" s="8">
        <v>48737.43</v>
      </c>
      <c r="E103" s="8"/>
      <c r="F103" s="8">
        <v>49355.29</v>
      </c>
      <c r="G103" s="8"/>
      <c r="H103" s="8"/>
      <c r="I103" s="8"/>
      <c r="J103" s="8"/>
      <c r="K103" s="8"/>
      <c r="L103" s="8"/>
      <c r="M103" s="8"/>
      <c r="N103" s="8">
        <v>48479.876666666671</v>
      </c>
    </row>
    <row r="104" spans="1:14"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6" t="s">
        <v>48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B106" s="7" t="s">
        <v>85</v>
      </c>
      <c r="C106" s="8">
        <v>47537.31</v>
      </c>
      <c r="D106" s="8">
        <v>49825.31</v>
      </c>
      <c r="E106" s="8"/>
      <c r="F106" s="8">
        <v>50476.33</v>
      </c>
      <c r="G106" s="8"/>
      <c r="H106" s="8"/>
      <c r="I106" s="8"/>
      <c r="J106" s="8"/>
      <c r="K106" s="8"/>
      <c r="L106" s="8"/>
      <c r="M106" s="8"/>
      <c r="N106" s="8">
        <v>49279.65</v>
      </c>
    </row>
    <row r="107" spans="1:14">
      <c r="B107" s="13" t="s">
        <v>82</v>
      </c>
      <c r="C107" s="14">
        <v>0.10218281179175137</v>
      </c>
      <c r="D107" s="14">
        <v>0.12280238012342304</v>
      </c>
      <c r="E107" s="14"/>
      <c r="F107" s="14">
        <v>0.12281154836026009</v>
      </c>
      <c r="N107" s="48">
        <v>0.11593224675847817</v>
      </c>
    </row>
    <row r="108" spans="1:14">
      <c r="B108" s="13"/>
    </row>
    <row r="109" spans="1:14" ht="15.75">
      <c r="A109" s="11" t="s">
        <v>49</v>
      </c>
      <c r="B109" s="15"/>
      <c r="C109" s="3"/>
    </row>
    <row r="110" spans="1:14">
      <c r="A110" s="6" t="s">
        <v>50</v>
      </c>
    </row>
    <row r="111" spans="1:14">
      <c r="B111" s="7" t="s">
        <v>30</v>
      </c>
      <c r="C111" s="8">
        <v>11442.92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>
        <v>11442.92</v>
      </c>
    </row>
    <row r="112" spans="1:14" ht="13.5" thickBot="1">
      <c r="B112" s="7" t="s">
        <v>25</v>
      </c>
      <c r="C112" s="9">
        <v>572.14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>
        <v>572.14</v>
      </c>
    </row>
    <row r="113" spans="1:14">
      <c r="B113" s="5" t="s">
        <v>17</v>
      </c>
      <c r="C113" s="8">
        <v>12015.06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>
        <v>12015.06</v>
      </c>
    </row>
    <row r="114" spans="1:14"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>
      <c r="A115" s="6" t="s">
        <v>51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>
      <c r="B116" s="7" t="s">
        <v>86</v>
      </c>
      <c r="C116" s="8">
        <v>12205.46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>
        <v>12205.46</v>
      </c>
    </row>
    <row r="117" spans="1:14">
      <c r="B117" s="13" t="s">
        <v>82</v>
      </c>
      <c r="C117" s="14">
        <v>4.106086116925356E-2</v>
      </c>
      <c r="N117" s="48">
        <v>4.106086116925356E-2</v>
      </c>
    </row>
    <row r="118" spans="1:14">
      <c r="B118" s="13"/>
    </row>
    <row r="119" spans="1:14">
      <c r="A119" s="6" t="s">
        <v>52</v>
      </c>
    </row>
    <row r="120" spans="1:14">
      <c r="B120" s="7" t="s">
        <v>83</v>
      </c>
      <c r="C120" s="8">
        <v>32936.839999999997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>
        <v>32936.839999999997</v>
      </c>
    </row>
    <row r="121" spans="1:14" ht="13.5" thickBot="1">
      <c r="B121" s="7" t="s">
        <v>25</v>
      </c>
      <c r="C121" s="9">
        <v>1646.84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>
        <v>1646.84</v>
      </c>
    </row>
    <row r="122" spans="1:14">
      <c r="B122" s="5" t="s">
        <v>17</v>
      </c>
      <c r="C122" s="8">
        <v>34583.68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>
        <v>34583.68</v>
      </c>
    </row>
    <row r="123" spans="1:14"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6" t="s">
        <v>53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B125" s="7" t="s">
        <v>86</v>
      </c>
      <c r="C125" s="8">
        <v>34774.080000000002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>
        <v>34774.080000000002</v>
      </c>
    </row>
    <row r="126" spans="1:14">
      <c r="B126" s="13" t="s">
        <v>82</v>
      </c>
      <c r="C126" s="14">
        <v>9.4038519983916657E-2</v>
      </c>
      <c r="N126" s="48">
        <v>9.4038519983916657E-2</v>
      </c>
    </row>
    <row r="127" spans="1:14">
      <c r="B127" s="13"/>
    </row>
    <row r="128" spans="1:14" ht="15.75">
      <c r="A128" s="11" t="s">
        <v>54</v>
      </c>
      <c r="B128" s="15"/>
      <c r="C128" s="3"/>
    </row>
    <row r="129" spans="1:14">
      <c r="A129" s="6" t="s">
        <v>55</v>
      </c>
    </row>
    <row r="130" spans="1:14">
      <c r="B130" s="7" t="s">
        <v>30</v>
      </c>
      <c r="C130" s="8">
        <v>13622.7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>
        <v>13622.7</v>
      </c>
    </row>
    <row r="131" spans="1:14" ht="13.5" thickBot="1">
      <c r="B131" s="7" t="s">
        <v>25</v>
      </c>
      <c r="C131" s="9">
        <v>681.12</v>
      </c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>
        <v>681.12</v>
      </c>
    </row>
    <row r="132" spans="1:14">
      <c r="B132" s="5" t="s">
        <v>17</v>
      </c>
      <c r="C132" s="8">
        <v>14303.82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>
        <v>14303.82</v>
      </c>
    </row>
    <row r="133" spans="1:14"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6" t="s">
        <v>56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B135" s="7" t="s">
        <v>86</v>
      </c>
      <c r="C135" s="8">
        <v>14494.22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>
        <v>14494.22</v>
      </c>
    </row>
    <row r="136" spans="1:14">
      <c r="B136" s="13" t="s">
        <v>82</v>
      </c>
      <c r="C136" s="14">
        <v>5.3472321150821456E-2</v>
      </c>
      <c r="N136" s="48">
        <v>5.3472321150821456E-2</v>
      </c>
    </row>
    <row r="137" spans="1:14">
      <c r="B137" s="13"/>
    </row>
    <row r="138" spans="1:14">
      <c r="A138" s="6" t="s">
        <v>57</v>
      </c>
    </row>
    <row r="139" spans="1:14">
      <c r="B139" s="7" t="s">
        <v>83</v>
      </c>
      <c r="C139" s="8">
        <v>39850.379999999997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>
        <v>39850.379999999997</v>
      </c>
    </row>
    <row r="140" spans="1:14" ht="13.5" thickBot="1">
      <c r="B140" s="7" t="s">
        <v>25</v>
      </c>
      <c r="C140" s="9">
        <v>1992.51</v>
      </c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>
        <v>1992.51</v>
      </c>
    </row>
    <row r="141" spans="1:14">
      <c r="B141" s="5" t="s">
        <v>17</v>
      </c>
      <c r="C141" s="8">
        <v>41842.89</v>
      </c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>
        <v>41842.89</v>
      </c>
    </row>
    <row r="142" spans="1:14"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>
      <c r="A143" s="6" t="s">
        <v>58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>
      <c r="B144" s="7" t="s">
        <v>86</v>
      </c>
      <c r="C144" s="8">
        <v>42033.29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>
        <v>42033.29</v>
      </c>
    </row>
    <row r="145" spans="2:14">
      <c r="B145" s="13" t="s">
        <v>82</v>
      </c>
      <c r="C145" s="14">
        <v>0.11669966291752765</v>
      </c>
      <c r="N145" s="48">
        <v>0.11669966291752765</v>
      </c>
    </row>
    <row r="146" spans="2:14">
      <c r="B146" s="13"/>
      <c r="C146" s="14"/>
      <c r="N146" s="48"/>
    </row>
  </sheetData>
  <phoneticPr fontId="0" type="noConversion"/>
  <printOptions horizontalCentered="1"/>
  <pageMargins left="0.25" right="0.25" top="0.5" bottom="0.25" header="0.25" footer="0.25"/>
  <pageSetup scale="90" fitToHeight="4" orientation="landscape" r:id="rId1"/>
  <headerFooter alignWithMargins="0">
    <oddFooter>&amp;ROffice of Data Analysis and Institutional Research, DCU, &amp;F, &amp;D</oddFooter>
  </headerFooter>
  <rowBreaks count="3" manualBreakCount="3">
    <brk id="69" max="13" man="1"/>
    <brk id="92" max="13" man="1"/>
    <brk id="135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Summary T&amp;F</vt:lpstr>
      <vt:lpstr>Undergraduate T&amp;F</vt:lpstr>
      <vt:lpstr>Graduate T&amp;F</vt:lpstr>
      <vt:lpstr>Professional T&amp;F</vt:lpstr>
      <vt:lpstr>T&amp;F-All</vt:lpstr>
      <vt:lpstr>Survey Template</vt:lpstr>
      <vt:lpstr>2009-10 Max T&amp;F for VA Office</vt:lpstr>
      <vt:lpstr>WeightedAvg</vt:lpstr>
      <vt:lpstr>2006-07 Current Stu Survey</vt:lpstr>
      <vt:lpstr>2005-06 Survey Form</vt:lpstr>
      <vt:lpstr>Previous Year T&amp;F (2004-05)</vt:lpstr>
      <vt:lpstr>'2005-06 Survey Form'!Print_Area</vt:lpstr>
      <vt:lpstr>'2006-07 Current Stu Survey'!Print_Area</vt:lpstr>
      <vt:lpstr>'Graduate T&amp;F'!Print_Area</vt:lpstr>
      <vt:lpstr>'Previous Year T&amp;F (2004-05)'!Print_Area</vt:lpstr>
      <vt:lpstr>'Professional T&amp;F'!Print_Area</vt:lpstr>
      <vt:lpstr>'Summary T&amp;F'!Print_Area</vt:lpstr>
      <vt:lpstr>'Survey Template'!Print_Area</vt:lpstr>
      <vt:lpstr>'T&amp;F-All'!Print_Area</vt:lpstr>
      <vt:lpstr>'Undergraduate T&amp;F'!Print_Area</vt:lpstr>
      <vt:lpstr>'2005-06 Survey Form'!Print_Titles</vt:lpstr>
      <vt:lpstr>'2006-07 Current Stu Survey'!Print_Titles</vt:lpstr>
      <vt:lpstr>'Graduate T&amp;F'!Print_Titles</vt:lpstr>
      <vt:lpstr>'Previous Year T&amp;F (2004-05)'!Print_Titles</vt:lpstr>
      <vt:lpstr>'Professional T&amp;F'!Print_Titles</vt:lpstr>
      <vt:lpstr>'Survey Template'!Print_Titles</vt:lpstr>
      <vt:lpstr>'T&amp;F-All'!Print_Titles</vt:lpstr>
      <vt:lpstr>'Undergraduate T&amp;F'!Print_Titles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GRP</dc:creator>
  <cp:lastModifiedBy>jennifer.nabors</cp:lastModifiedBy>
  <cp:lastPrinted>2012-07-20T18:31:18Z</cp:lastPrinted>
  <dcterms:created xsi:type="dcterms:W3CDTF">1998-10-30T17:58:35Z</dcterms:created>
  <dcterms:modified xsi:type="dcterms:W3CDTF">2013-07-22T15:40:25Z</dcterms:modified>
</cp:coreProperties>
</file>