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640" activeTab="0"/>
  </bookViews>
  <sheets>
    <sheet name="Coverage Table " sheetId="1" r:id="rId1"/>
    <sheet name="Sample Coverage Table" sheetId="2" state="hidden" r:id="rId2"/>
    <sheet name="Sheet1" sheetId="3" r:id="rId3"/>
  </sheets>
  <externalReferences>
    <externalReference r:id="rId6"/>
  </externalReferences>
  <definedNames>
    <definedName name="_1">#REF!</definedName>
    <definedName name="_1A">#REF!</definedName>
    <definedName name="_2">#REF!</definedName>
    <definedName name="_3">#REF!</definedName>
    <definedName name="_4">#REF!</definedName>
    <definedName name="ADD">#REF!</definedName>
    <definedName name="CONCOV">#REF!</definedName>
    <definedName name="COV">#REF!</definedName>
    <definedName name="COV2">#REF!</definedName>
    <definedName name="HIST">#REF!</definedName>
    <definedName name="PARITY">#REF!</definedName>
    <definedName name="Print_Area_MI">'[1]lott8038'!$M$1:$R$36</definedName>
    <definedName name="RATIOS">#REF!</definedName>
    <definedName name="SU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<sst xmlns="http://schemas.openxmlformats.org/spreadsheetml/2006/main" count="139" uniqueCount="84">
  <si>
    <t>STATE OF FLORIDA, BOARD OF GOVERNORS</t>
  </si>
  <si>
    <t xml:space="preserve">GROSS PLEDGE  BASIS  </t>
  </si>
  <si>
    <t>Historical</t>
  </si>
  <si>
    <t>Projected</t>
  </si>
  <si>
    <t>FY 2005-06</t>
  </si>
  <si>
    <t>FY 2006-07</t>
  </si>
  <si>
    <t>FY 2007-08</t>
  </si>
  <si>
    <t>FY 2008-09</t>
  </si>
  <si>
    <t>FY 2009-10</t>
  </si>
  <si>
    <t>FY 2010-11</t>
  </si>
  <si>
    <t>FY 2011-12</t>
  </si>
  <si>
    <t>FY 2012-13</t>
  </si>
  <si>
    <t>FY 2013-14</t>
  </si>
  <si>
    <t>Annual Debt Service:</t>
  </si>
  <si>
    <t>2010A Bonds</t>
  </si>
  <si>
    <t xml:space="preserve"> Estimated Max Annual Debt Service</t>
  </si>
  <si>
    <t>Coverage Ratios</t>
  </si>
  <si>
    <t>Annual Debt Service</t>
  </si>
  <si>
    <t>Maximum Annual Debt Service</t>
  </si>
  <si>
    <t>University of North Florida</t>
  </si>
  <si>
    <t>HEALTH CENTER REVENUE BONDS</t>
  </si>
  <si>
    <t>5-YEAR HISTORICAL AND PROJECTED DEBT SERVICE COVERAGE</t>
  </si>
  <si>
    <t>FY 2014-15</t>
  </si>
  <si>
    <t xml:space="preserve">Student Health Fee Revenues  </t>
  </si>
  <si>
    <t>Health Fee</t>
  </si>
  <si>
    <t>Student Health</t>
  </si>
  <si>
    <t>Medical Compliance</t>
  </si>
  <si>
    <t>Health Promotions</t>
  </si>
  <si>
    <t>Counseling</t>
  </si>
  <si>
    <t>Total Revenue</t>
  </si>
  <si>
    <t>Credit Hours</t>
  </si>
  <si>
    <t>Fee</t>
  </si>
  <si>
    <t>FY 05-06:  395,215 Credit Hours, Fee $5.07</t>
  </si>
  <si>
    <t>FY 06-07:  409,823 Credit Hours, Fee $5.62, Increase in fee for Student Health and Counseling Center</t>
  </si>
  <si>
    <t>FY 07-08:  415,138 Credit Hours, Fee $5.62</t>
  </si>
  <si>
    <t>FY 09-10:  411,212 Credit Hours, Fee $6.17, Increase in fee for Counseling Center</t>
  </si>
  <si>
    <t>FY 08-09:  397,495 Credit Hours, Fee $5.86, Increase in fee for Student Health and Counseling Center, Drop in Credit Hours due to planned enrollment cutback</t>
  </si>
  <si>
    <t>FY 10-11:  398,720 Credit Hours, Fee $9.51, Increase in fee for Counseling Center of $.40 and an increase of $2.94 for Health Promotions to fund a Student Wellness Center</t>
  </si>
  <si>
    <t xml:space="preserve">     Drop in Credit Hours:  Conservative estimate based on target FTE.  </t>
  </si>
  <si>
    <t>Expenses</t>
  </si>
  <si>
    <t>Other Revenues</t>
  </si>
  <si>
    <t>Other Health Revenues, including interest</t>
  </si>
  <si>
    <t>Total Revenues</t>
  </si>
  <si>
    <t>Health Operating Expenses</t>
  </si>
  <si>
    <t>Wellness Center Operating and Maintenance</t>
  </si>
  <si>
    <t>Other Health Revenues, Including Interest remained flat for the projections</t>
  </si>
  <si>
    <t>Health Operating Expenses, Increased 3% per year</t>
  </si>
  <si>
    <t>Net Operating Income</t>
  </si>
  <si>
    <t>Operating Expenses for the new Wellness Center will be funded by A&amp;S Funds</t>
  </si>
  <si>
    <t>*Wellness Center opens Feb 2012</t>
  </si>
  <si>
    <t>Plant, Operation and Maintenance Expenses are reflected in full in the pro forma but anticipate receiving at least 50% in POM dollars from the State, Increase 3% each year</t>
  </si>
  <si>
    <t>FY 13-14:  424,072 Credit Hours, Fee $10.26</t>
  </si>
  <si>
    <t>FY 14-15:  432,936 Credit Hours, Fee $10.26</t>
  </si>
  <si>
    <t>FY 11-12:  407,000 Credit Hours, Fee $9.71, Increase $.20 for Maintenance and Utilities if POM not received for Wellness Center</t>
  </si>
  <si>
    <t>FY 12-13:  415,440 Credit Hours, Fee $10.26, Increase $.55 for Maintenance and Utilities if POM not received for Wellness Center</t>
  </si>
  <si>
    <t>Implied Net Debt Service Coverage</t>
  </si>
  <si>
    <t>Attachment 2</t>
  </si>
  <si>
    <t xml:space="preserve"> 2010A Bonds</t>
  </si>
  <si>
    <t>Available for Operations after Pledge</t>
  </si>
  <si>
    <t>Total Health Center Operating Expenses</t>
  </si>
  <si>
    <t>Health Center Expenses</t>
  </si>
  <si>
    <t>Operating Income (Loss)</t>
  </si>
  <si>
    <t>For Informational Purposes Only, Pledge is Gross</t>
  </si>
  <si>
    <t xml:space="preserve">Annual Debt Service </t>
  </si>
  <si>
    <t>Max Annual Debt Service</t>
  </si>
  <si>
    <t>Total Health Center</t>
  </si>
  <si>
    <t>STATE UNIVERSITY SYSTEM OF FLORIDA</t>
  </si>
  <si>
    <t>BOARD OF GOVERNORS</t>
  </si>
  <si>
    <t xml:space="preserve">      Total Health Fees</t>
  </si>
  <si>
    <t>Projected Net Income (Loss)</t>
  </si>
  <si>
    <t>Less: Debt Service 2010A Bonds</t>
  </si>
  <si>
    <t>NET PLEDGE BASIS</t>
  </si>
  <si>
    <t>Health Center Revenues</t>
  </si>
  <si>
    <t>FY 11-12:  407,000 Credit Hours, Fee $9.51</t>
  </si>
  <si>
    <t xml:space="preserve">FY 12-13:  415,440 Credit Hours, Fee $9.51 </t>
  </si>
  <si>
    <t>FY 13-14:  424,072 Credit Hours, Fee $9.51</t>
  </si>
  <si>
    <t>FY 14-15:  432,936 Credit Hours, Fee $9.51</t>
  </si>
  <si>
    <r>
      <rPr>
        <vertAlign val="superscript"/>
        <sz val="12"/>
        <rFont val="Book Antiqua"/>
        <family val="1"/>
      </rPr>
      <t xml:space="preserve">2 </t>
    </r>
    <r>
      <rPr>
        <sz val="12"/>
        <rFont val="Book Antiqua"/>
        <family val="1"/>
      </rPr>
      <t>Expenses projected to increase 3% annually.</t>
    </r>
  </si>
  <si>
    <r>
      <t xml:space="preserve">     Wellness Center Operating and Maintenance</t>
    </r>
    <r>
      <rPr>
        <vertAlign val="superscript"/>
        <sz val="12"/>
        <rFont val="Book Antiqua"/>
        <family val="1"/>
      </rPr>
      <t>2</t>
    </r>
  </si>
  <si>
    <r>
      <t xml:space="preserve">     Health Operating Expenses</t>
    </r>
    <r>
      <rPr>
        <vertAlign val="superscript"/>
        <sz val="12"/>
        <rFont val="Book Antiqua"/>
        <family val="1"/>
      </rPr>
      <t>2</t>
    </r>
  </si>
  <si>
    <r>
      <t xml:space="preserve">       Miscellaneous Revenues/Interest Income</t>
    </r>
    <r>
      <rPr>
        <vertAlign val="superscript"/>
        <sz val="12"/>
        <rFont val="Book Antiqua"/>
        <family val="1"/>
      </rPr>
      <t>1</t>
    </r>
  </si>
  <si>
    <r>
      <t xml:space="preserve">     Expected POM Operating and Maintenance (from State)</t>
    </r>
    <r>
      <rPr>
        <vertAlign val="superscript"/>
        <sz val="12"/>
        <rFont val="Book Antiqua"/>
        <family val="1"/>
      </rPr>
      <t>3</t>
    </r>
  </si>
  <si>
    <r>
      <rPr>
        <vertAlign val="superscript"/>
        <sz val="12"/>
        <rFont val="Book Antiqua"/>
        <family val="1"/>
      </rPr>
      <t xml:space="preserve">3 </t>
    </r>
    <r>
      <rPr>
        <sz val="12"/>
        <rFont val="Book Antiqua"/>
        <family val="1"/>
      </rPr>
      <t>The University anticipates requesting Plant Operation and Maintenance funding for E&amp;G eligible space in the new Wellness Center. Additional fee increases may be necessary to cover expense if POM is not appropriated.</t>
    </r>
  </si>
  <si>
    <r>
      <rPr>
        <vertAlign val="superscript"/>
        <sz val="12"/>
        <rFont val="Book Antiqua"/>
        <family val="1"/>
      </rPr>
      <t xml:space="preserve">1 </t>
    </r>
    <r>
      <rPr>
        <sz val="12"/>
        <rFont val="Book Antiqua"/>
        <family val="1"/>
      </rPr>
      <t>Miscellaneous</t>
    </r>
    <r>
      <rPr>
        <vertAlign val="superscript"/>
        <sz val="12"/>
        <rFont val="Book Antiqua"/>
        <family val="1"/>
      </rPr>
      <t xml:space="preserve"> </t>
    </r>
    <r>
      <rPr>
        <sz val="12"/>
        <rFont val="Book Antiqua"/>
        <family val="1"/>
      </rPr>
      <t>Revenues, including Interest Income remained flat for the projections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</si>
</sst>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0\x"/>
    <numFmt numFmtId="167" formatCode="_(* #,##0_);_(* \(#,##0\);_(* &quot;-&quot;??_);_(@_)"/>
    <numFmt numFmtId="168" formatCode="0.000"/>
    <numFmt numFmtId="169" formatCode="0.0000%"/>
    <numFmt numFmtId="170" formatCode="0_)"/>
    <numFmt numFmtId="171" formatCode="0.00_)"/>
    <numFmt numFmtId="172" formatCode="dd\-mmm\-yy_)"/>
    <numFmt numFmtId="173" formatCode="0.0000_)"/>
    <numFmt numFmtId="174" formatCode="[$$-C09]#,##0"/>
    <numFmt numFmtId="175" formatCode="&quot;$&quot;#,##0.00"/>
    <numFmt numFmtId="176" formatCode="#,##0.0"/>
    <numFmt numFmtId="177" formatCode="#,##0.000_);\(#,##0.000\)"/>
    <numFmt numFmtId="178" formatCode="#,##0.000"/>
    <numFmt numFmtId="179" formatCode="0.0000000%"/>
    <numFmt numFmtId="180" formatCode="#,##0.0000_);\(#,##0.0000\)"/>
    <numFmt numFmtId="181" formatCode="_(* #,##0.0_);_(* \(#,##0.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%"/>
    <numFmt numFmtId="189" formatCode="&quot;$&quot;#,##0.0"/>
    <numFmt numFmtId="190" formatCode="#,##0.000_);[Red]\(#,##0.000\)"/>
    <numFmt numFmtId="191" formatCode="&quot;$&quot;#,##0.000"/>
    <numFmt numFmtId="192" formatCode="#,##0.0000_);[Red]\(#,##0.0000\)"/>
    <numFmt numFmtId="193" formatCode="#,##0.00000_);[Red]\(#,##0.00000\)"/>
    <numFmt numFmtId="194" formatCode="0.00000%"/>
    <numFmt numFmtId="195" formatCode="[$-409]dddd\,\ mmmm\ dd\,\ yyyy"/>
    <numFmt numFmtId="196" formatCode="mm/dd/yy;@"/>
    <numFmt numFmtId="197" formatCode="0.000000%"/>
    <numFmt numFmtId="198" formatCode="[$-409]mmm\-yy;@"/>
    <numFmt numFmtId="199" formatCode="m/d/yy;@"/>
    <numFmt numFmtId="200" formatCode="0.00_);\(0.00\)"/>
    <numFmt numFmtId="201" formatCode="mmm\-yyyy"/>
    <numFmt numFmtId="202" formatCode="_(&quot;$&quot;* #,##0.0_);_(&quot;$&quot;* \(#,##0.0\);_(&quot;$&quot;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_(* #,##0.000000_);_(* \(#,##0.000000\);_(* &quot;-&quot;??_);_(@_)"/>
    <numFmt numFmtId="207" formatCode="#,##0.0_);[Red]\(#,##0.0\)"/>
    <numFmt numFmtId="208" formatCode="#,##0.0_);\(#,##0.0\)"/>
    <numFmt numFmtId="209" formatCode="_(&quot;$&quot;* #,##0.0000_);_(&quot;$&quot;* \(#,##0.0000\);_(&quot;$&quot;* &quot;-&quot;????_);_(@_)"/>
    <numFmt numFmtId="210" formatCode="0.000000"/>
    <numFmt numFmtId="211" formatCode="0.00000"/>
    <numFmt numFmtId="212" formatCode="0.0000"/>
    <numFmt numFmtId="213" formatCode="0_);\(0\)"/>
    <numFmt numFmtId="214" formatCode="0.00000000"/>
    <numFmt numFmtId="215" formatCode="0.0000000"/>
    <numFmt numFmtId="216" formatCode="0.0\x"/>
    <numFmt numFmtId="217" formatCode="General_)"/>
    <numFmt numFmtId="218" formatCode="mmmm\ d\,\ yyyy"/>
  </numFmts>
  <fonts count="34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u val="single"/>
      <sz val="12"/>
      <name val="Book Antiqua"/>
      <family val="1"/>
    </font>
    <font>
      <u val="single"/>
      <sz val="10"/>
      <name val="Arial"/>
      <family val="2"/>
    </font>
    <font>
      <b/>
      <i/>
      <sz val="12"/>
      <name val="Book Antiqua"/>
      <family val="1"/>
    </font>
    <font>
      <i/>
      <sz val="12"/>
      <name val="Book Antiqua"/>
      <family val="1"/>
    </font>
    <font>
      <i/>
      <sz val="12"/>
      <color indexed="12"/>
      <name val="Book Antiqua"/>
      <family val="1"/>
    </font>
    <font>
      <u val="singleAccounting"/>
      <sz val="12"/>
      <name val="Book Antiqua"/>
      <family val="1"/>
    </font>
    <font>
      <u val="singleAccounting"/>
      <sz val="12"/>
      <color indexed="12"/>
      <name val="Book Antiqua"/>
      <family val="1"/>
    </font>
    <font>
      <vertAlign val="superscript"/>
      <sz val="12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6" fillId="0" borderId="0" xfId="42" applyNumberFormat="1" applyFont="1" applyFill="1" applyAlignment="1">
      <alignment horizontal="center"/>
    </xf>
    <xf numFmtId="0" fontId="24" fillId="0" borderId="0" xfId="42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64" fontId="21" fillId="0" borderId="0" xfId="44" applyNumberFormat="1" applyFont="1" applyFill="1" applyAlignment="1">
      <alignment horizontal="center"/>
    </xf>
    <xf numFmtId="164" fontId="24" fillId="0" borderId="0" xfId="44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Fill="1" applyAlignment="1">
      <alignment horizontal="left" indent="2"/>
    </xf>
    <xf numFmtId="9" fontId="24" fillId="0" borderId="0" xfId="59" applyFont="1" applyFill="1" applyAlignment="1">
      <alignment/>
    </xf>
    <xf numFmtId="0" fontId="22" fillId="0" borderId="0" xfId="0" applyFont="1" applyFill="1" applyBorder="1" applyAlignment="1">
      <alignment/>
    </xf>
    <xf numFmtId="166" fontId="22" fillId="0" borderId="0" xfId="0" applyNumberFormat="1" applyFont="1" applyFill="1" applyBorder="1" applyAlignment="1">
      <alignment/>
    </xf>
    <xf numFmtId="166" fontId="2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7" fillId="0" borderId="0" xfId="0" applyNumberFormat="1" applyFont="1" applyAlignment="1">
      <alignment/>
    </xf>
    <xf numFmtId="44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left" indent="2"/>
    </xf>
    <xf numFmtId="0" fontId="22" fillId="0" borderId="10" xfId="0" applyFont="1" applyFill="1" applyBorder="1" applyAlignment="1">
      <alignment/>
    </xf>
    <xf numFmtId="166" fontId="22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42" applyNumberFormat="1" applyFont="1" applyFill="1" applyBorder="1" applyAlignment="1">
      <alignment horizontal="center"/>
    </xf>
    <xf numFmtId="42" fontId="24" fillId="0" borderId="0" xfId="42" applyNumberFormat="1" applyFont="1" applyFill="1" applyBorder="1" applyAlignment="1">
      <alignment horizontal="center"/>
    </xf>
    <xf numFmtId="42" fontId="21" fillId="0" borderId="10" xfId="42" applyNumberFormat="1" applyFont="1" applyFill="1" applyBorder="1" applyAlignment="1">
      <alignment horizontal="center"/>
    </xf>
    <xf numFmtId="42" fontId="21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8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9" fontId="30" fillId="0" borderId="0" xfId="59" applyFont="1" applyFill="1" applyAlignment="1">
      <alignment/>
    </xf>
    <xf numFmtId="0" fontId="28" fillId="0" borderId="0" xfId="0" applyFont="1" applyFill="1" applyAlignment="1">
      <alignment/>
    </xf>
    <xf numFmtId="166" fontId="29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 horizontal="left" indent="2"/>
    </xf>
    <xf numFmtId="42" fontId="22" fillId="0" borderId="0" xfId="0" applyNumberFormat="1" applyFont="1" applyFill="1" applyBorder="1" applyAlignment="1">
      <alignment/>
    </xf>
    <xf numFmtId="42" fontId="25" fillId="0" borderId="0" xfId="0" applyNumberFormat="1" applyFont="1" applyFill="1" applyBorder="1" applyAlignment="1">
      <alignment/>
    </xf>
    <xf numFmtId="42" fontId="21" fillId="0" borderId="0" xfId="0" applyNumberFormat="1" applyFont="1" applyFill="1" applyAlignment="1">
      <alignment/>
    </xf>
    <xf numFmtId="42" fontId="22" fillId="0" borderId="0" xfId="0" applyNumberFormat="1" applyFont="1" applyFill="1" applyBorder="1" applyAlignment="1">
      <alignment/>
    </xf>
    <xf numFmtId="164" fontId="21" fillId="0" borderId="0" xfId="44" applyNumberFormat="1" applyFont="1" applyFill="1" applyBorder="1" applyAlignment="1">
      <alignment horizontal="center"/>
    </xf>
    <xf numFmtId="164" fontId="24" fillId="0" borderId="0" xfId="44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left" indent="2"/>
    </xf>
    <xf numFmtId="9" fontId="25" fillId="0" borderId="0" xfId="59" applyFont="1" applyFill="1" applyAlignment="1">
      <alignment/>
    </xf>
    <xf numFmtId="42" fontId="21" fillId="0" borderId="0" xfId="0" applyNumberFormat="1" applyFont="1" applyFill="1" applyBorder="1" applyAlignment="1">
      <alignment/>
    </xf>
    <xf numFmtId="42" fontId="21" fillId="0" borderId="0" xfId="0" applyNumberFormat="1" applyFont="1" applyFill="1" applyBorder="1" applyAlignment="1">
      <alignment/>
    </xf>
    <xf numFmtId="42" fontId="24" fillId="0" borderId="0" xfId="0" applyNumberFormat="1" applyFont="1" applyFill="1" applyBorder="1" applyAlignment="1">
      <alignment/>
    </xf>
    <xf numFmtId="0" fontId="21" fillId="20" borderId="0" xfId="0" applyFont="1" applyFill="1" applyBorder="1" applyAlignment="1">
      <alignment horizontal="left" indent="2"/>
    </xf>
    <xf numFmtId="0" fontId="22" fillId="20" borderId="0" xfId="0" applyFont="1" applyFill="1" applyBorder="1" applyAlignment="1">
      <alignment/>
    </xf>
    <xf numFmtId="166" fontId="22" fillId="20" borderId="0" xfId="0" applyNumberFormat="1" applyFont="1" applyFill="1" applyBorder="1" applyAlignment="1">
      <alignment/>
    </xf>
    <xf numFmtId="166" fontId="25" fillId="20" borderId="0" xfId="0" applyNumberFormat="1" applyFont="1" applyFill="1" applyBorder="1" applyAlignment="1">
      <alignment/>
    </xf>
    <xf numFmtId="164" fontId="21" fillId="0" borderId="0" xfId="0" applyNumberFormat="1" applyFont="1" applyFill="1" applyAlignment="1">
      <alignment/>
    </xf>
    <xf numFmtId="164" fontId="24" fillId="0" borderId="0" xfId="59" applyNumberFormat="1" applyFont="1" applyFill="1" applyAlignment="1">
      <alignment/>
    </xf>
    <xf numFmtId="41" fontId="21" fillId="0" borderId="0" xfId="44" applyNumberFormat="1" applyFont="1" applyFill="1" applyBorder="1" applyAlignment="1">
      <alignment horizontal="center"/>
    </xf>
    <xf numFmtId="41" fontId="24" fillId="0" borderId="0" xfId="44" applyNumberFormat="1" applyFont="1" applyFill="1" applyBorder="1" applyAlignment="1">
      <alignment horizontal="center"/>
    </xf>
    <xf numFmtId="41" fontId="31" fillId="0" borderId="0" xfId="44" applyNumberFormat="1" applyFont="1" applyFill="1" applyBorder="1" applyAlignment="1">
      <alignment horizontal="center"/>
    </xf>
    <xf numFmtId="41" fontId="31" fillId="0" borderId="0" xfId="44" applyNumberFormat="1" applyFont="1" applyFill="1" applyAlignment="1">
      <alignment horizontal="center"/>
    </xf>
    <xf numFmtId="41" fontId="32" fillId="0" borderId="0" xfId="44" applyNumberFormat="1" applyFont="1" applyFill="1" applyAlignment="1">
      <alignment horizontal="center"/>
    </xf>
    <xf numFmtId="41" fontId="24" fillId="0" borderId="0" xfId="44" applyNumberFormat="1" applyFont="1" applyFill="1" applyAlignment="1">
      <alignment horizontal="center"/>
    </xf>
    <xf numFmtId="41" fontId="32" fillId="0" borderId="0" xfId="44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EP%20SRL%20803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t8038"/>
      <sheetName val="Sheet1"/>
      <sheetName val="Sheet2"/>
      <sheetName val="Sheet3"/>
    </sheetNames>
    <sheetDataSet>
      <sheetData sheetId="0">
        <row r="1">
          <cell r="M1" t="str">
            <v>State of Florida</v>
          </cell>
        </row>
        <row r="2">
          <cell r="M2" t="str">
            <v>Department of Education</v>
          </cell>
        </row>
        <row r="3">
          <cell r="M3" t="str">
            <v>Lottery Revenue Bonds, Series 2001B</v>
          </cell>
        </row>
        <row r="8">
          <cell r="M8" t="str">
            <v>Net Interest Cost Calculation</v>
          </cell>
        </row>
        <row r="9">
          <cell r="M9" t="str">
            <v>Form 8038-G</v>
          </cell>
        </row>
        <row r="13">
          <cell r="M13" t="str">
            <v>Total Interest</v>
          </cell>
          <cell r="Q13">
            <v>127683068.75</v>
          </cell>
        </row>
        <row r="15">
          <cell r="M15" t="str">
            <v>Net Original Issue Discount/(Premium)</v>
          </cell>
          <cell r="Q15">
            <v>-6234274.85</v>
          </cell>
        </row>
        <row r="20">
          <cell r="M20" t="str">
            <v>Insurance Premium</v>
          </cell>
          <cell r="Q20">
            <v>606442</v>
          </cell>
        </row>
        <row r="22">
          <cell r="M22" t="str">
            <v>Surety Bond Premium</v>
          </cell>
        </row>
        <row r="24">
          <cell r="M24" t="str">
            <v>Less Accrued Interest</v>
          </cell>
          <cell r="Q24">
            <v>-1121923.13</v>
          </cell>
        </row>
        <row r="25">
          <cell r="Q25">
            <v>120933312.77000001</v>
          </cell>
        </row>
        <row r="29">
          <cell r="M29" t="str">
            <v>Issue Price</v>
          </cell>
          <cell r="Q29">
            <v>27350513.450000003</v>
          </cell>
        </row>
        <row r="31">
          <cell r="M31" t="str">
            <v>Weighted Average</v>
          </cell>
          <cell r="Q31">
            <v>8.500062007027065</v>
          </cell>
        </row>
        <row r="32">
          <cell r="Q32" t="str">
            <v> </v>
          </cell>
        </row>
        <row r="33">
          <cell r="Q33">
            <v>232481060.24902776</v>
          </cell>
        </row>
        <row r="36">
          <cell r="M36" t="str">
            <v>Net Interest Cost</v>
          </cell>
          <cell r="Q36">
            <v>52.01856557280809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showGridLine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73" sqref="A73"/>
    </sheetView>
  </sheetViews>
  <sheetFormatPr defaultColWidth="9.140625" defaultRowHeight="12.75"/>
  <cols>
    <col min="1" max="1" width="46.00390625" style="1" customWidth="1"/>
    <col min="2" max="2" width="17.00390625" style="1" customWidth="1"/>
    <col min="3" max="3" width="12.421875" style="1" customWidth="1"/>
    <col min="4" max="4" width="4.28125" style="1" customWidth="1"/>
    <col min="5" max="5" width="12.421875" style="1" customWidth="1"/>
    <col min="6" max="6" width="4.28125" style="1" customWidth="1"/>
    <col min="7" max="7" width="12.421875" style="1" customWidth="1"/>
    <col min="8" max="8" width="4.28125" style="1" customWidth="1"/>
    <col min="9" max="9" width="12.421875" style="1" customWidth="1"/>
    <col min="10" max="10" width="4.28125" style="1" customWidth="1"/>
    <col min="11" max="11" width="12.421875" style="1" customWidth="1"/>
    <col min="12" max="12" width="4.28125" style="1" customWidth="1"/>
    <col min="13" max="13" width="14.00390625" style="1" bestFit="1" customWidth="1"/>
    <col min="14" max="14" width="4.28125" style="1" customWidth="1"/>
    <col min="15" max="15" width="12.421875" style="1" customWidth="1"/>
    <col min="16" max="16" width="4.28125" style="1" customWidth="1"/>
    <col min="17" max="17" width="12.421875" style="1" customWidth="1"/>
    <col min="18" max="18" width="4.28125" style="1" customWidth="1"/>
    <col min="19" max="19" width="14.00390625" style="1" bestFit="1" customWidth="1"/>
    <col min="20" max="20" width="4.28125" style="1" customWidth="1"/>
    <col min="21" max="21" width="14.8515625" style="1" bestFit="1" customWidth="1"/>
    <col min="22" max="16384" width="9.140625" style="1" customWidth="1"/>
  </cols>
  <sheetData>
    <row r="1" spans="2:21" ht="16.5">
      <c r="B1" s="76" t="s">
        <v>66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3" t="s">
        <v>56</v>
      </c>
    </row>
    <row r="2" spans="2:20" ht="16.5">
      <c r="B2" s="76" t="s">
        <v>67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16.5">
      <c r="B3" s="76" t="s">
        <v>19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8"/>
    </row>
    <row r="4" spans="2:20" ht="16.5">
      <c r="B4" s="76" t="s">
        <v>20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8"/>
      <c r="T4" s="78"/>
    </row>
    <row r="5" spans="2:20" ht="16.5">
      <c r="B5" s="76" t="s">
        <v>21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ht="15.75">
      <c r="C6" s="5"/>
      <c r="D6" s="5"/>
      <c r="G6" s="6"/>
      <c r="H6" s="6"/>
      <c r="I6" s="6"/>
      <c r="K6" s="7"/>
      <c r="L6" s="8"/>
      <c r="M6" s="5"/>
      <c r="N6" s="5"/>
      <c r="O6" s="9"/>
      <c r="P6" s="9"/>
      <c r="Q6" s="7"/>
      <c r="R6" s="7"/>
      <c r="S6" s="7"/>
      <c r="T6" s="9"/>
    </row>
    <row r="7" spans="1:21" ht="16.5">
      <c r="A7" s="2"/>
      <c r="B7" s="75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6.5">
      <c r="A8" s="2"/>
      <c r="B8" s="2"/>
      <c r="C8" s="77" t="s">
        <v>2</v>
      </c>
      <c r="D8" s="77"/>
      <c r="E8" s="77"/>
      <c r="F8" s="77"/>
      <c r="G8" s="77"/>
      <c r="H8" s="77"/>
      <c r="I8" s="77"/>
      <c r="J8" s="77"/>
      <c r="K8" s="77"/>
      <c r="L8" s="11"/>
      <c r="M8" s="77" t="s">
        <v>3</v>
      </c>
      <c r="N8" s="77"/>
      <c r="O8" s="77"/>
      <c r="P8" s="77"/>
      <c r="Q8" s="77"/>
      <c r="R8" s="77"/>
      <c r="S8" s="77"/>
      <c r="T8" s="77"/>
      <c r="U8" s="77"/>
    </row>
    <row r="9" spans="1:21" ht="16.5">
      <c r="A9" s="2"/>
      <c r="B9" s="12"/>
      <c r="C9" s="12" t="s">
        <v>4</v>
      </c>
      <c r="D9" s="13"/>
      <c r="E9" s="12" t="s">
        <v>5</v>
      </c>
      <c r="F9" s="13"/>
      <c r="G9" s="12" t="s">
        <v>6</v>
      </c>
      <c r="H9" s="13"/>
      <c r="I9" s="12" t="s">
        <v>7</v>
      </c>
      <c r="J9" s="13"/>
      <c r="K9" s="12" t="s">
        <v>8</v>
      </c>
      <c r="L9" s="13"/>
      <c r="M9" s="12" t="s">
        <v>9</v>
      </c>
      <c r="N9" s="13"/>
      <c r="O9" s="12" t="s">
        <v>10</v>
      </c>
      <c r="P9" s="13"/>
      <c r="Q9" s="14" t="s">
        <v>11</v>
      </c>
      <c r="R9" s="13"/>
      <c r="S9" s="12" t="s">
        <v>12</v>
      </c>
      <c r="T9" s="13"/>
      <c r="U9" s="14" t="s">
        <v>22</v>
      </c>
    </row>
    <row r="10" spans="1:21" ht="16.5">
      <c r="A10" s="4" t="s">
        <v>23</v>
      </c>
      <c r="B10" s="12"/>
      <c r="C10" s="54">
        <v>2003742</v>
      </c>
      <c r="D10" s="54"/>
      <c r="E10" s="54">
        <v>2303204</v>
      </c>
      <c r="F10" s="54"/>
      <c r="G10" s="54">
        <v>2333075</v>
      </c>
      <c r="H10" s="54"/>
      <c r="I10" s="54">
        <v>2329321</v>
      </c>
      <c r="J10" s="55"/>
      <c r="K10" s="54">
        <v>2537176</v>
      </c>
      <c r="L10" s="55"/>
      <c r="M10" s="54">
        <f>9.51*398720</f>
        <v>3791827.1999999997</v>
      </c>
      <c r="N10" s="55"/>
      <c r="O10" s="54">
        <v>3870570</v>
      </c>
      <c r="P10" s="54"/>
      <c r="Q10" s="54">
        <v>3950834</v>
      </c>
      <c r="R10" s="15"/>
      <c r="S10" s="54">
        <v>4032925</v>
      </c>
      <c r="T10" s="54"/>
      <c r="U10" s="54">
        <v>4211941</v>
      </c>
    </row>
    <row r="11" spans="1:21" ht="16.5">
      <c r="A11" s="4"/>
      <c r="B11" s="12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5"/>
      <c r="N11" s="16"/>
      <c r="O11" s="15"/>
      <c r="P11" s="15"/>
      <c r="Q11" s="15"/>
      <c r="R11" s="15"/>
      <c r="S11" s="15"/>
      <c r="T11" s="15"/>
      <c r="U11" s="15"/>
    </row>
    <row r="12" spans="1:21" ht="16.5">
      <c r="A12" s="17" t="s">
        <v>13</v>
      </c>
      <c r="C12" s="18"/>
      <c r="D12" s="18"/>
      <c r="E12" s="18"/>
      <c r="F12" s="18"/>
      <c r="G12" s="18"/>
      <c r="H12" s="18"/>
      <c r="I12" s="18"/>
      <c r="K12" s="18"/>
      <c r="L12" s="19"/>
      <c r="M12" s="18"/>
      <c r="N12" s="18"/>
      <c r="O12" s="18"/>
      <c r="P12" s="18"/>
      <c r="Q12" s="18"/>
      <c r="R12" s="18"/>
      <c r="S12" s="18"/>
      <c r="U12" s="6"/>
    </row>
    <row r="13" spans="1:21" ht="15.75">
      <c r="A13" s="20" t="s">
        <v>57</v>
      </c>
      <c r="B13" s="6"/>
      <c r="C13" s="6"/>
      <c r="D13" s="6"/>
      <c r="E13" s="6"/>
      <c r="F13" s="6"/>
      <c r="G13" s="6"/>
      <c r="H13" s="6"/>
      <c r="I13" s="6"/>
      <c r="K13" s="6"/>
      <c r="L13" s="21"/>
      <c r="M13" s="6">
        <v>360416.67</v>
      </c>
      <c r="N13" s="21"/>
      <c r="O13" s="6">
        <f>672500+426500</f>
        <v>1099000</v>
      </c>
      <c r="P13" s="21"/>
      <c r="Q13" s="6">
        <f>701500+419625</f>
        <v>1121125</v>
      </c>
      <c r="R13" s="21"/>
      <c r="S13" s="6">
        <f>709625+412375</f>
        <v>1122000</v>
      </c>
      <c r="T13" s="21"/>
      <c r="U13" s="6">
        <f>712375+404875</f>
        <v>1117250</v>
      </c>
    </row>
    <row r="14" spans="1:21" ht="15.75">
      <c r="A14" s="20" t="s">
        <v>15</v>
      </c>
      <c r="B14" s="6"/>
      <c r="C14" s="6"/>
      <c r="D14" s="6"/>
      <c r="E14" s="6"/>
      <c r="F14" s="6"/>
      <c r="G14" s="6"/>
      <c r="H14" s="6"/>
      <c r="I14" s="6"/>
      <c r="K14" s="6"/>
      <c r="L14" s="21"/>
      <c r="M14" s="6">
        <v>1122000</v>
      </c>
      <c r="N14" s="21"/>
      <c r="O14" s="6">
        <v>1122000</v>
      </c>
      <c r="P14" s="21"/>
      <c r="Q14" s="6">
        <v>1122000</v>
      </c>
      <c r="R14" s="21"/>
      <c r="S14" s="6">
        <v>1122000</v>
      </c>
      <c r="T14" s="21"/>
      <c r="U14" s="6">
        <v>1122000</v>
      </c>
    </row>
    <row r="15" spans="1:21" ht="15.75">
      <c r="A15" s="20"/>
      <c r="B15" s="6"/>
      <c r="C15" s="6"/>
      <c r="D15" s="6"/>
      <c r="E15" s="6"/>
      <c r="F15" s="6"/>
      <c r="G15" s="6"/>
      <c r="H15" s="6"/>
      <c r="I15" s="6"/>
      <c r="K15" s="6"/>
      <c r="L15" s="21"/>
      <c r="M15" s="6"/>
      <c r="N15" s="21"/>
      <c r="O15" s="6"/>
      <c r="P15" s="21"/>
      <c r="Q15" s="6"/>
      <c r="R15" s="21"/>
      <c r="S15" s="6"/>
      <c r="T15" s="21"/>
      <c r="U15" s="6"/>
    </row>
    <row r="16" spans="1:21" s="17" customFormat="1" ht="16.5">
      <c r="A16" s="56" t="s">
        <v>58</v>
      </c>
      <c r="B16" s="48"/>
      <c r="C16" s="48"/>
      <c r="D16" s="48"/>
      <c r="E16" s="48"/>
      <c r="F16" s="48"/>
      <c r="G16" s="48"/>
      <c r="H16" s="48"/>
      <c r="I16" s="48"/>
      <c r="K16" s="48"/>
      <c r="L16" s="57"/>
      <c r="M16" s="48">
        <f>M10-M13</f>
        <v>3431410.53</v>
      </c>
      <c r="N16" s="57"/>
      <c r="O16" s="48">
        <f>O10-O13</f>
        <v>2771570</v>
      </c>
      <c r="P16" s="57"/>
      <c r="Q16" s="48">
        <f>Q10-Q13</f>
        <v>2829709</v>
      </c>
      <c r="R16" s="57"/>
      <c r="S16" s="48">
        <f>S10-S13</f>
        <v>2910925</v>
      </c>
      <c r="T16" s="57"/>
      <c r="U16" s="48">
        <f>U10-U13</f>
        <v>3094691</v>
      </c>
    </row>
    <row r="17" spans="1:21" ht="16.5">
      <c r="A17" s="4"/>
      <c r="B17" s="12"/>
      <c r="C17" s="15"/>
      <c r="D17" s="15"/>
      <c r="E17" s="15"/>
      <c r="F17" s="15"/>
      <c r="G17" s="15"/>
      <c r="H17" s="15"/>
      <c r="I17" s="15"/>
      <c r="J17" s="16"/>
      <c r="K17" s="15"/>
      <c r="L17" s="16"/>
      <c r="M17" s="15"/>
      <c r="N17" s="16"/>
      <c r="O17" s="15"/>
      <c r="P17" s="15"/>
      <c r="Q17" s="15"/>
      <c r="R17" s="15"/>
      <c r="S17" s="15"/>
      <c r="T17" s="15"/>
      <c r="U17" s="15"/>
    </row>
    <row r="18" spans="1:19" ht="16.5">
      <c r="A18" s="17" t="s">
        <v>16</v>
      </c>
      <c r="C18" s="18"/>
      <c r="D18" s="18"/>
      <c r="E18" s="18"/>
      <c r="F18" s="18"/>
      <c r="G18" s="18"/>
      <c r="H18" s="18"/>
      <c r="I18" s="18"/>
      <c r="K18" s="18"/>
      <c r="L18" s="19"/>
      <c r="M18" s="18"/>
      <c r="N18" s="18"/>
      <c r="O18" s="18"/>
      <c r="P18" s="18"/>
      <c r="Q18" s="18"/>
      <c r="R18" s="18"/>
      <c r="S18" s="18"/>
    </row>
    <row r="19" spans="1:21" ht="16.5">
      <c r="A19" s="20" t="s">
        <v>17</v>
      </c>
      <c r="B19" s="22"/>
      <c r="C19" s="23"/>
      <c r="D19" s="23"/>
      <c r="E19" s="23"/>
      <c r="F19" s="23"/>
      <c r="G19" s="23"/>
      <c r="H19" s="23"/>
      <c r="I19" s="23"/>
      <c r="K19" s="23"/>
      <c r="L19" s="24"/>
      <c r="M19" s="23">
        <f>M10/M13</f>
        <v>10.520676526976402</v>
      </c>
      <c r="N19" s="23"/>
      <c r="O19" s="23">
        <f>O10/O13</f>
        <v>3.521901728844404</v>
      </c>
      <c r="P19" s="23"/>
      <c r="Q19" s="23">
        <f>Q10/Q13</f>
        <v>3.5239906344074035</v>
      </c>
      <c r="R19" s="23"/>
      <c r="S19" s="23">
        <f>S10/S13</f>
        <v>3.5944073083778965</v>
      </c>
      <c r="T19" s="23"/>
      <c r="U19" s="23">
        <f>U10/U13</f>
        <v>3.769918102483777</v>
      </c>
    </row>
    <row r="20" spans="1:21" ht="16.5">
      <c r="A20" s="20" t="s">
        <v>18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4"/>
      <c r="M20" s="23">
        <f>M10/M14</f>
        <v>3.3795251336898393</v>
      </c>
      <c r="N20" s="23"/>
      <c r="O20" s="23">
        <f>O10/O14</f>
        <v>3.449705882352941</v>
      </c>
      <c r="P20" s="23"/>
      <c r="Q20" s="23">
        <f>Q10/Q14</f>
        <v>3.5212424242424243</v>
      </c>
      <c r="R20" s="23"/>
      <c r="S20" s="23">
        <f>S10/S14</f>
        <v>3.5944073083778965</v>
      </c>
      <c r="T20" s="23"/>
      <c r="U20" s="23">
        <f>U10/U14</f>
        <v>3.753958110516934</v>
      </c>
    </row>
    <row r="21" spans="1:21" ht="16.5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2"/>
      <c r="N21" s="32"/>
      <c r="O21" s="32"/>
      <c r="P21" s="32"/>
      <c r="Q21" s="32"/>
      <c r="R21" s="32"/>
      <c r="S21" s="32"/>
      <c r="T21" s="32"/>
      <c r="U21" s="32"/>
    </row>
    <row r="22" spans="1:21" ht="9" customHeight="1">
      <c r="A22" s="61"/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4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9" customHeight="1">
      <c r="A23" s="49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3"/>
      <c r="N23" s="23"/>
      <c r="O23" s="23"/>
      <c r="P23" s="23"/>
      <c r="Q23" s="23"/>
      <c r="R23" s="23"/>
      <c r="S23" s="23"/>
      <c r="T23" s="23"/>
      <c r="U23" s="23"/>
    </row>
    <row r="24" spans="2:21" ht="16.5">
      <c r="B24" s="74" t="s">
        <v>71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1:21" s="52" customFormat="1" ht="16.5">
      <c r="A25" s="53" t="s">
        <v>72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0"/>
      <c r="S25" s="50"/>
      <c r="T25" s="50"/>
      <c r="U25" s="50"/>
    </row>
    <row r="26" spans="1:21" s="52" customFormat="1" ht="15.75">
      <c r="A26" s="58" t="s">
        <v>68</v>
      </c>
      <c r="B26" s="59"/>
      <c r="C26" s="59">
        <f>C10-C13</f>
        <v>2003742</v>
      </c>
      <c r="D26" s="59"/>
      <c r="E26" s="59">
        <f>E10-E13</f>
        <v>2303204</v>
      </c>
      <c r="F26" s="59"/>
      <c r="G26" s="59">
        <f>G10-G13</f>
        <v>2333075</v>
      </c>
      <c r="H26" s="59"/>
      <c r="I26" s="59">
        <f>I10-I13</f>
        <v>2329321</v>
      </c>
      <c r="J26" s="59"/>
      <c r="K26" s="59">
        <f>K10-K13</f>
        <v>2537176</v>
      </c>
      <c r="L26" s="60"/>
      <c r="M26" s="59">
        <f>M10</f>
        <v>3791827.1999999997</v>
      </c>
      <c r="N26" s="59"/>
      <c r="O26" s="59">
        <f>O10</f>
        <v>3870570</v>
      </c>
      <c r="P26" s="59"/>
      <c r="Q26" s="59">
        <f>Q10</f>
        <v>3950834</v>
      </c>
      <c r="R26" s="59"/>
      <c r="S26" s="59">
        <f>S10</f>
        <v>4032925</v>
      </c>
      <c r="T26" s="59"/>
      <c r="U26" s="59">
        <f>U10</f>
        <v>4211941</v>
      </c>
    </row>
    <row r="27" spans="1:21" s="18" customFormat="1" ht="18.75">
      <c r="A27" s="36" t="s">
        <v>80</v>
      </c>
      <c r="B27" s="37"/>
      <c r="C27" s="39">
        <v>300312</v>
      </c>
      <c r="D27" s="38"/>
      <c r="E27" s="39">
        <v>380976</v>
      </c>
      <c r="F27" s="38"/>
      <c r="G27" s="39">
        <v>341696</v>
      </c>
      <c r="H27" s="38"/>
      <c r="I27" s="39">
        <v>225858</v>
      </c>
      <c r="J27" s="38"/>
      <c r="K27" s="39">
        <v>232545</v>
      </c>
      <c r="L27" s="38"/>
      <c r="M27" s="39">
        <v>230000</v>
      </c>
      <c r="N27" s="38"/>
      <c r="O27" s="39">
        <v>230000</v>
      </c>
      <c r="P27" s="38"/>
      <c r="Q27" s="40">
        <v>230000</v>
      </c>
      <c r="R27" s="38"/>
      <c r="S27" s="39">
        <v>230000</v>
      </c>
      <c r="T27" s="38"/>
      <c r="U27" s="40">
        <v>230000</v>
      </c>
    </row>
    <row r="28" spans="1:23" s="52" customFormat="1" ht="16.5">
      <c r="A28" s="53" t="s">
        <v>65</v>
      </c>
      <c r="B28" s="50"/>
      <c r="C28" s="59">
        <f>SUM(C26:C27)</f>
        <v>2304054</v>
      </c>
      <c r="D28" s="59"/>
      <c r="E28" s="59">
        <f>SUM(E26:E27)</f>
        <v>2684180</v>
      </c>
      <c r="F28" s="59"/>
      <c r="G28" s="59">
        <f>SUM(G26:G27)</f>
        <v>2674771</v>
      </c>
      <c r="H28" s="59"/>
      <c r="I28" s="59">
        <f>SUM(I26:I27)</f>
        <v>2555179</v>
      </c>
      <c r="J28" s="59"/>
      <c r="K28" s="59">
        <f>SUM(K26:K27)</f>
        <v>2769721</v>
      </c>
      <c r="L28" s="60"/>
      <c r="M28" s="59">
        <f>SUM(M26:M27)</f>
        <v>4021827.1999999997</v>
      </c>
      <c r="N28" s="59"/>
      <c r="O28" s="59">
        <f>SUM(O26:O27)</f>
        <v>4100570</v>
      </c>
      <c r="P28" s="59"/>
      <c r="Q28" s="59">
        <f>SUM(Q26:Q27)</f>
        <v>4180834</v>
      </c>
      <c r="R28" s="59"/>
      <c r="S28" s="59">
        <f>SUM(S26:S27)</f>
        <v>4262925</v>
      </c>
      <c r="T28" s="59"/>
      <c r="U28" s="59">
        <f>SUM(U26:U27)</f>
        <v>4441941</v>
      </c>
      <c r="W28" s="50"/>
    </row>
    <row r="29" spans="1:23" s="52" customFormat="1" ht="16.5">
      <c r="A29" s="53"/>
      <c r="B29" s="50"/>
      <c r="C29" s="59"/>
      <c r="D29" s="59"/>
      <c r="E29" s="59"/>
      <c r="F29" s="59"/>
      <c r="G29" s="59"/>
      <c r="H29" s="59"/>
      <c r="I29" s="59"/>
      <c r="J29" s="59"/>
      <c r="K29" s="59"/>
      <c r="L29" s="60"/>
      <c r="M29" s="59"/>
      <c r="N29" s="59"/>
      <c r="O29" s="59"/>
      <c r="P29" s="59"/>
      <c r="Q29" s="59"/>
      <c r="R29" s="59"/>
      <c r="S29" s="59"/>
      <c r="T29" s="59"/>
      <c r="U29" s="59"/>
      <c r="W29" s="50"/>
    </row>
    <row r="30" spans="1:21" ht="16.5">
      <c r="A30" s="4"/>
      <c r="B30" s="12"/>
      <c r="C30" s="15"/>
      <c r="D30" s="15"/>
      <c r="E30" s="15"/>
      <c r="F30" s="15"/>
      <c r="G30" s="15"/>
      <c r="H30" s="15"/>
      <c r="I30" s="15"/>
      <c r="J30" s="16"/>
      <c r="K30" s="15"/>
      <c r="L30" s="16"/>
      <c r="M30" s="15"/>
      <c r="N30" s="16"/>
      <c r="O30" s="15"/>
      <c r="P30" s="15"/>
      <c r="Q30" s="15"/>
      <c r="R30" s="15"/>
      <c r="S30" s="15"/>
      <c r="T30" s="15"/>
      <c r="U30" s="15"/>
    </row>
    <row r="31" spans="1:21" ht="16.5">
      <c r="A31" s="35" t="s">
        <v>60</v>
      </c>
      <c r="B31" s="12"/>
      <c r="C31" s="15"/>
      <c r="D31" s="15"/>
      <c r="E31" s="15"/>
      <c r="F31" s="15"/>
      <c r="G31" s="15"/>
      <c r="H31" s="15"/>
      <c r="I31" s="15"/>
      <c r="J31" s="16"/>
      <c r="K31" s="15"/>
      <c r="L31" s="16"/>
      <c r="M31" s="15"/>
      <c r="N31" s="16"/>
      <c r="O31" s="15"/>
      <c r="P31" s="15"/>
      <c r="Q31" s="15"/>
      <c r="R31" s="15"/>
      <c r="S31" s="15"/>
      <c r="T31" s="15"/>
      <c r="U31" s="15"/>
    </row>
    <row r="32" spans="1:21" ht="19.5">
      <c r="A32" s="34" t="s">
        <v>79</v>
      </c>
      <c r="B32" s="12"/>
      <c r="C32" s="15">
        <v>1841162</v>
      </c>
      <c r="D32" s="15"/>
      <c r="E32" s="15">
        <v>2051147</v>
      </c>
      <c r="F32" s="15"/>
      <c r="G32" s="15">
        <v>2214076</v>
      </c>
      <c r="H32" s="15"/>
      <c r="I32" s="15">
        <v>2362573</v>
      </c>
      <c r="J32" s="16"/>
      <c r="K32" s="15">
        <v>2501430</v>
      </c>
      <c r="L32" s="16"/>
      <c r="M32" s="15">
        <f>K32*1.03</f>
        <v>2576472.9</v>
      </c>
      <c r="N32" s="16"/>
      <c r="O32" s="15">
        <f>M32*1.03</f>
        <v>2653767.087</v>
      </c>
      <c r="P32" s="15"/>
      <c r="Q32" s="15">
        <f>O32*1.03</f>
        <v>2733380.09961</v>
      </c>
      <c r="R32" s="15"/>
      <c r="S32" s="15">
        <f>Q32*1.03</f>
        <v>2815381.5025983</v>
      </c>
      <c r="T32" s="15"/>
      <c r="U32" s="15">
        <f>S32*1.03</f>
        <v>2899842.9476762493</v>
      </c>
    </row>
    <row r="33" spans="1:21" ht="19.5">
      <c r="A33" s="9" t="s">
        <v>78</v>
      </c>
      <c r="B33" s="12"/>
      <c r="C33" s="67">
        <v>0</v>
      </c>
      <c r="D33" s="67"/>
      <c r="E33" s="67">
        <v>0</v>
      </c>
      <c r="F33" s="67"/>
      <c r="G33" s="67">
        <v>0</v>
      </c>
      <c r="H33" s="67"/>
      <c r="I33" s="67">
        <v>0</v>
      </c>
      <c r="J33" s="68"/>
      <c r="K33" s="67">
        <v>0</v>
      </c>
      <c r="L33" s="68"/>
      <c r="M33" s="67">
        <v>0</v>
      </c>
      <c r="N33" s="68"/>
      <c r="O33" s="67">
        <v>166666</v>
      </c>
      <c r="P33" s="67"/>
      <c r="Q33" s="67">
        <v>400000</v>
      </c>
      <c r="R33" s="67"/>
      <c r="S33" s="67">
        <f>Q33*1.03</f>
        <v>412000</v>
      </c>
      <c r="T33" s="67"/>
      <c r="U33" s="67">
        <f>S33*1.03</f>
        <v>424360</v>
      </c>
    </row>
    <row r="34" spans="1:21" ht="21">
      <c r="A34" s="9" t="s">
        <v>81</v>
      </c>
      <c r="B34" s="12"/>
      <c r="C34" s="69">
        <f>-(C33/2)</f>
        <v>0</v>
      </c>
      <c r="D34" s="70"/>
      <c r="E34" s="69">
        <f>-(E33/2)</f>
        <v>0</v>
      </c>
      <c r="F34" s="70"/>
      <c r="G34" s="69">
        <f>-(G33/2)</f>
        <v>0</v>
      </c>
      <c r="H34" s="70"/>
      <c r="I34" s="69">
        <f>-(I33/2)</f>
        <v>0</v>
      </c>
      <c r="J34" s="71"/>
      <c r="K34" s="69">
        <f>-(K33/2)</f>
        <v>0</v>
      </c>
      <c r="L34" s="72"/>
      <c r="M34" s="69">
        <f>-(M33/2)</f>
        <v>0</v>
      </c>
      <c r="N34" s="73"/>
      <c r="O34" s="69">
        <v>0</v>
      </c>
      <c r="P34" s="69"/>
      <c r="Q34" s="69">
        <f>-(Q33/2)</f>
        <v>-200000</v>
      </c>
      <c r="R34" s="69"/>
      <c r="S34" s="69">
        <f>-(S33/2)</f>
        <v>-206000</v>
      </c>
      <c r="T34" s="69"/>
      <c r="U34" s="69">
        <f>-(U33/2)</f>
        <v>-212180</v>
      </c>
    </row>
    <row r="35" spans="1:23" s="17" customFormat="1" ht="16.5">
      <c r="A35" s="35" t="s">
        <v>59</v>
      </c>
      <c r="B35" s="12"/>
      <c r="C35" s="15">
        <f>SUM(C32,C33)</f>
        <v>1841162</v>
      </c>
      <c r="D35" s="15"/>
      <c r="E35" s="15">
        <f>SUM(E32,E33)</f>
        <v>2051147</v>
      </c>
      <c r="F35" s="15"/>
      <c r="G35" s="15">
        <f>SUM(G32,G33)</f>
        <v>2214076</v>
      </c>
      <c r="H35" s="15"/>
      <c r="I35" s="15">
        <f>SUM(I32,I33)</f>
        <v>2362573</v>
      </c>
      <c r="J35" s="16"/>
      <c r="K35" s="15">
        <f>SUM(K32,K33)</f>
        <v>2501430</v>
      </c>
      <c r="L35" s="16"/>
      <c r="M35" s="15">
        <f>SUM(M32:M34)</f>
        <v>2576472.9</v>
      </c>
      <c r="N35" s="16"/>
      <c r="O35" s="15">
        <f>SUM(O32:O34)</f>
        <v>2820433.087</v>
      </c>
      <c r="P35" s="15"/>
      <c r="Q35" s="15">
        <f>SUM(Q32:Q34)</f>
        <v>2933380.09961</v>
      </c>
      <c r="R35" s="15"/>
      <c r="S35" s="15">
        <f>SUM(S32:S34)</f>
        <v>3021381.5025983</v>
      </c>
      <c r="T35" s="15"/>
      <c r="U35" s="15">
        <f>SUM(U32:U34)</f>
        <v>3112022.9476762493</v>
      </c>
      <c r="W35" s="15"/>
    </row>
    <row r="36" spans="1:21" s="17" customFormat="1" ht="16.5">
      <c r="A36" s="35"/>
      <c r="B36" s="12"/>
      <c r="C36" s="15"/>
      <c r="D36" s="15"/>
      <c r="E36" s="15"/>
      <c r="F36" s="15"/>
      <c r="G36" s="15"/>
      <c r="H36" s="15"/>
      <c r="I36" s="15"/>
      <c r="J36" s="16"/>
      <c r="K36" s="15"/>
      <c r="L36" s="16"/>
      <c r="M36" s="15"/>
      <c r="N36" s="16"/>
      <c r="O36" s="15"/>
      <c r="P36" s="15"/>
      <c r="Q36" s="15"/>
      <c r="R36" s="15"/>
      <c r="S36" s="15"/>
      <c r="T36" s="15"/>
      <c r="U36" s="15"/>
    </row>
    <row r="37" spans="1:21" s="17" customFormat="1" ht="16.5">
      <c r="A37" s="35" t="s">
        <v>61</v>
      </c>
      <c r="B37" s="12"/>
      <c r="C37" s="15">
        <f>C28-C35</f>
        <v>462892</v>
      </c>
      <c r="D37" s="15"/>
      <c r="E37" s="15">
        <f>E28-E35</f>
        <v>633033</v>
      </c>
      <c r="F37" s="15"/>
      <c r="G37" s="15">
        <f>G28-G35</f>
        <v>460695</v>
      </c>
      <c r="H37" s="15"/>
      <c r="I37" s="15">
        <f>I28-I35</f>
        <v>192606</v>
      </c>
      <c r="J37" s="16"/>
      <c r="K37" s="15">
        <f>K28-K35</f>
        <v>268291</v>
      </c>
      <c r="L37" s="16"/>
      <c r="M37" s="15">
        <f>M28-M35</f>
        <v>1445354.2999999998</v>
      </c>
      <c r="N37" s="16"/>
      <c r="O37" s="15">
        <f>O28-O35</f>
        <v>1280136.9130000002</v>
      </c>
      <c r="P37" s="15"/>
      <c r="Q37" s="15">
        <f>Q28-Q35</f>
        <v>1247453.90039</v>
      </c>
      <c r="R37" s="15"/>
      <c r="S37" s="15">
        <f>S28-S35</f>
        <v>1241543.4974017</v>
      </c>
      <c r="T37" s="15"/>
      <c r="U37" s="15">
        <f>U28-U35</f>
        <v>1329918.0523237507</v>
      </c>
    </row>
    <row r="38" spans="1:21" s="17" customFormat="1" ht="16.5">
      <c r="A38" s="35"/>
      <c r="B38" s="12"/>
      <c r="C38" s="15"/>
      <c r="D38" s="15"/>
      <c r="E38" s="15"/>
      <c r="F38" s="15"/>
      <c r="G38" s="15"/>
      <c r="H38" s="15"/>
      <c r="I38" s="15"/>
      <c r="J38" s="16"/>
      <c r="K38" s="15"/>
      <c r="L38" s="16"/>
      <c r="M38" s="15"/>
      <c r="N38" s="16"/>
      <c r="O38" s="15"/>
      <c r="P38" s="15"/>
      <c r="Q38" s="15"/>
      <c r="R38" s="15"/>
      <c r="S38" s="15"/>
      <c r="T38" s="15"/>
      <c r="U38" s="15"/>
    </row>
    <row r="39" spans="1:23" ht="16.5">
      <c r="A39" s="34" t="s">
        <v>70</v>
      </c>
      <c r="B39" s="12"/>
      <c r="C39" s="15"/>
      <c r="D39" s="15"/>
      <c r="E39" s="15"/>
      <c r="F39" s="15"/>
      <c r="G39" s="15"/>
      <c r="H39" s="15"/>
      <c r="I39" s="15"/>
      <c r="J39" s="16"/>
      <c r="K39" s="15"/>
      <c r="L39" s="16"/>
      <c r="M39" s="15">
        <v>360417</v>
      </c>
      <c r="N39" s="16"/>
      <c r="O39" s="15">
        <v>1099000</v>
      </c>
      <c r="P39" s="15"/>
      <c r="Q39" s="15">
        <v>1121125</v>
      </c>
      <c r="R39" s="15"/>
      <c r="S39" s="15">
        <v>1122000</v>
      </c>
      <c r="T39" s="15"/>
      <c r="U39" s="15">
        <v>1117250</v>
      </c>
      <c r="W39" s="15"/>
    </row>
    <row r="41" spans="1:21" s="17" customFormat="1" ht="16.5">
      <c r="A41" s="41" t="s">
        <v>69</v>
      </c>
      <c r="B41" s="48"/>
      <c r="C41" s="65">
        <f>C28-C35-C39</f>
        <v>462892</v>
      </c>
      <c r="D41" s="65"/>
      <c r="E41" s="65">
        <f>E28-E35-E39</f>
        <v>633033</v>
      </c>
      <c r="F41" s="65"/>
      <c r="G41" s="65">
        <f>G28-G35-G39</f>
        <v>460695</v>
      </c>
      <c r="H41" s="65"/>
      <c r="I41" s="65">
        <f>I28-I35-I39</f>
        <v>192606</v>
      </c>
      <c r="J41" s="65"/>
      <c r="K41" s="65">
        <f>K28-K35-K39</f>
        <v>268291</v>
      </c>
      <c r="L41" s="66"/>
      <c r="M41" s="65">
        <f>M28-M35-M39</f>
        <v>1084937.2999999998</v>
      </c>
      <c r="N41" s="66"/>
      <c r="O41" s="65">
        <f>O28-O35-O39</f>
        <v>181136.91300000018</v>
      </c>
      <c r="P41" s="66"/>
      <c r="Q41" s="65">
        <f>Q28-Q35-Q39</f>
        <v>126328.90039000008</v>
      </c>
      <c r="R41" s="66"/>
      <c r="S41" s="65">
        <f>S28-S35-S39</f>
        <v>119543.49740169989</v>
      </c>
      <c r="T41" s="66"/>
      <c r="U41" s="65">
        <f>U28-U35-U39</f>
        <v>212668.0523237507</v>
      </c>
    </row>
    <row r="42" spans="2:21" ht="15.75">
      <c r="B42" s="6"/>
      <c r="C42" s="6"/>
      <c r="D42" s="6"/>
      <c r="E42" s="6"/>
      <c r="F42" s="6"/>
      <c r="G42" s="6"/>
      <c r="H42" s="6"/>
      <c r="I42" s="6"/>
      <c r="K42" s="6"/>
      <c r="L42" s="21"/>
      <c r="M42" s="6"/>
      <c r="N42" s="21"/>
      <c r="O42" s="6"/>
      <c r="P42" s="6"/>
      <c r="Q42" s="6"/>
      <c r="R42" s="6"/>
      <c r="S42" s="6"/>
      <c r="T42" s="6"/>
      <c r="U42" s="6"/>
    </row>
    <row r="43" spans="1:21" ht="15.75">
      <c r="A43" s="42" t="s">
        <v>55</v>
      </c>
      <c r="B43" s="43"/>
      <c r="C43" s="43"/>
      <c r="D43" s="43"/>
      <c r="E43" s="43"/>
      <c r="F43" s="43"/>
      <c r="G43" s="43"/>
      <c r="H43" s="43"/>
      <c r="I43" s="43"/>
      <c r="J43" s="44"/>
      <c r="K43" s="43"/>
      <c r="L43" s="45"/>
      <c r="M43" s="43"/>
      <c r="N43" s="45"/>
      <c r="O43" s="43"/>
      <c r="P43" s="43"/>
      <c r="Q43" s="43"/>
      <c r="R43" s="43"/>
      <c r="S43" s="43"/>
      <c r="T43" s="43"/>
      <c r="U43" s="43"/>
    </row>
    <row r="44" spans="1:21" ht="15.75">
      <c r="A44" s="46" t="s">
        <v>62</v>
      </c>
      <c r="B44" s="43"/>
      <c r="C44" s="43"/>
      <c r="D44" s="43"/>
      <c r="E44" s="43"/>
      <c r="F44" s="43"/>
      <c r="G44" s="43"/>
      <c r="H44" s="43"/>
      <c r="I44" s="43"/>
      <c r="J44" s="44"/>
      <c r="K44" s="43"/>
      <c r="L44" s="45"/>
      <c r="M44" s="43"/>
      <c r="N44" s="45"/>
      <c r="O44" s="43"/>
      <c r="P44" s="43"/>
      <c r="Q44" s="43"/>
      <c r="R44" s="43"/>
      <c r="S44" s="43"/>
      <c r="T44" s="43"/>
      <c r="U44" s="43"/>
    </row>
    <row r="45" spans="1:22" ht="15.75">
      <c r="A45" s="44" t="s">
        <v>63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7">
        <f>M37/M39</f>
        <v>4.010227874933757</v>
      </c>
      <c r="N45" s="47"/>
      <c r="O45" s="47">
        <f>O37/O39</f>
        <v>1.1648197570518655</v>
      </c>
      <c r="P45" s="47"/>
      <c r="Q45" s="47">
        <f>Q37/Q39</f>
        <v>1.1126804775471069</v>
      </c>
      <c r="R45" s="47"/>
      <c r="S45" s="47">
        <f>S37/S39</f>
        <v>1.1065450065968805</v>
      </c>
      <c r="T45" s="47"/>
      <c r="U45" s="47">
        <f>U37/U39</f>
        <v>1.1903495657406584</v>
      </c>
      <c r="V45" s="47"/>
    </row>
    <row r="46" spans="1:21" ht="15.75">
      <c r="A46" s="44" t="s">
        <v>64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7">
        <f>M37/M14</f>
        <v>1.2881945632798573</v>
      </c>
      <c r="N46" s="47"/>
      <c r="O46" s="47">
        <f>O37/O14</f>
        <v>1.1409419901960787</v>
      </c>
      <c r="P46" s="47"/>
      <c r="Q46" s="47">
        <f>Q37/Q14</f>
        <v>1.1118127454456328</v>
      </c>
      <c r="R46" s="47"/>
      <c r="S46" s="47">
        <f>S37/S14</f>
        <v>1.1065450065968805</v>
      </c>
      <c r="T46" s="47"/>
      <c r="U46" s="47">
        <f>U37/U14</f>
        <v>1.1853102070621664</v>
      </c>
    </row>
    <row r="47" spans="1:21" ht="16.5">
      <c r="A47" s="4"/>
      <c r="B47" s="12"/>
      <c r="C47" s="15"/>
      <c r="E47" s="15"/>
      <c r="F47" s="15"/>
      <c r="G47" s="15"/>
      <c r="H47" s="15"/>
      <c r="I47" s="15"/>
      <c r="J47" s="16"/>
      <c r="K47" s="15"/>
      <c r="L47" s="16"/>
      <c r="M47" s="15"/>
      <c r="N47" s="16"/>
      <c r="O47" s="15"/>
      <c r="P47" s="15"/>
      <c r="Q47" s="15"/>
      <c r="R47" s="15"/>
      <c r="S47" s="15"/>
      <c r="T47" s="15"/>
      <c r="U47" s="15"/>
    </row>
    <row r="48" spans="13:21" ht="15.75">
      <c r="M48" s="29"/>
      <c r="O48" s="29"/>
      <c r="U48" s="29"/>
    </row>
    <row r="49" ht="15.75">
      <c r="A49" s="1" t="s">
        <v>32</v>
      </c>
    </row>
    <row r="50" ht="15.75">
      <c r="A50" s="1" t="s">
        <v>33</v>
      </c>
    </row>
    <row r="51" ht="15.75">
      <c r="A51" s="1" t="s">
        <v>34</v>
      </c>
    </row>
    <row r="52" ht="15.75">
      <c r="A52" s="1" t="s">
        <v>36</v>
      </c>
    </row>
    <row r="53" ht="15.75">
      <c r="A53" s="1" t="s">
        <v>35</v>
      </c>
    </row>
    <row r="54" ht="15.75">
      <c r="A54" s="1" t="s">
        <v>37</v>
      </c>
    </row>
    <row r="55" ht="15.75">
      <c r="A55" s="1" t="s">
        <v>38</v>
      </c>
    </row>
    <row r="56" ht="15.75">
      <c r="A56" s="1" t="s">
        <v>73</v>
      </c>
    </row>
    <row r="57" ht="15.75">
      <c r="A57" s="1" t="s">
        <v>74</v>
      </c>
    </row>
    <row r="58" ht="15.75">
      <c r="A58" s="1" t="s">
        <v>75</v>
      </c>
    </row>
    <row r="59" ht="15.75">
      <c r="A59" s="1" t="s">
        <v>76</v>
      </c>
    </row>
    <row r="61" ht="18.75">
      <c r="A61" s="1" t="s">
        <v>83</v>
      </c>
    </row>
    <row r="62" ht="18.75">
      <c r="A62" s="1" t="s">
        <v>77</v>
      </c>
    </row>
    <row r="63" ht="18.75">
      <c r="A63" s="1" t="s">
        <v>82</v>
      </c>
    </row>
    <row r="65" ht="15.75">
      <c r="A65" s="1" t="s">
        <v>49</v>
      </c>
    </row>
  </sheetData>
  <sheetProtection/>
  <mergeCells count="9">
    <mergeCell ref="B24:U24"/>
    <mergeCell ref="B7:U7"/>
    <mergeCell ref="B1:T1"/>
    <mergeCell ref="B5:T5"/>
    <mergeCell ref="C8:K8"/>
    <mergeCell ref="M8:U8"/>
    <mergeCell ref="B2:T2"/>
    <mergeCell ref="B3:T3"/>
    <mergeCell ref="B4:T4"/>
  </mergeCells>
  <printOptions verticalCentered="1"/>
  <pageMargins left="0.25" right="0" top="0.5" bottom="0.5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showGridLines="0" zoomScalePageLayoutView="0" workbookViewId="0" topLeftCell="A1">
      <pane xSplit="2" ySplit="9" topLeftCell="J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25" sqref="S25"/>
    </sheetView>
  </sheetViews>
  <sheetFormatPr defaultColWidth="9.140625" defaultRowHeight="12.75"/>
  <cols>
    <col min="1" max="1" width="46.00390625" style="1" customWidth="1"/>
    <col min="2" max="2" width="7.140625" style="1" customWidth="1"/>
    <col min="3" max="3" width="12.421875" style="1" customWidth="1"/>
    <col min="4" max="4" width="4.28125" style="1" customWidth="1"/>
    <col min="5" max="5" width="12.421875" style="1" customWidth="1"/>
    <col min="6" max="6" width="4.28125" style="1" customWidth="1"/>
    <col min="7" max="7" width="12.421875" style="1" customWidth="1"/>
    <col min="8" max="8" width="4.28125" style="1" customWidth="1"/>
    <col min="9" max="9" width="12.421875" style="1" customWidth="1"/>
    <col min="10" max="10" width="4.28125" style="1" customWidth="1"/>
    <col min="11" max="11" width="12.421875" style="1" customWidth="1"/>
    <col min="12" max="12" width="4.28125" style="1" customWidth="1"/>
    <col min="13" max="13" width="13.57421875" style="1" bestFit="1" customWidth="1"/>
    <col min="14" max="14" width="4.28125" style="1" customWidth="1"/>
    <col min="15" max="15" width="12.421875" style="1" customWidth="1"/>
    <col min="16" max="16" width="4.28125" style="1" customWidth="1"/>
    <col min="17" max="17" width="12.421875" style="1" customWidth="1"/>
    <col min="18" max="18" width="4.28125" style="1" customWidth="1"/>
    <col min="19" max="19" width="14.00390625" style="1" bestFit="1" customWidth="1"/>
    <col min="20" max="20" width="4.28125" style="1" customWidth="1"/>
    <col min="21" max="21" width="14.8515625" style="1" bestFit="1" customWidth="1"/>
    <col min="22" max="16384" width="9.140625" style="1" customWidth="1"/>
  </cols>
  <sheetData>
    <row r="1" spans="2:21" ht="16.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3"/>
    </row>
    <row r="2" spans="2:20" ht="16.5">
      <c r="B2" s="76" t="s">
        <v>19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8"/>
    </row>
    <row r="3" spans="2:20" ht="16.5">
      <c r="B3" s="76" t="s">
        <v>20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8"/>
      <c r="T3" s="78"/>
    </row>
    <row r="4" spans="2:20" ht="16.5">
      <c r="B4" s="76" t="s">
        <v>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</row>
    <row r="5" spans="2:20" ht="16.5">
      <c r="B5" s="76" t="s">
        <v>21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3:20" ht="15.75">
      <c r="C6" s="5"/>
      <c r="D6" s="5"/>
      <c r="G6" s="6"/>
      <c r="H6" s="6"/>
      <c r="I6" s="6"/>
      <c r="K6" s="7"/>
      <c r="L6" s="8"/>
      <c r="M6" s="5"/>
      <c r="N6" s="5"/>
      <c r="O6" s="9"/>
      <c r="P6" s="9"/>
      <c r="Q6" s="7"/>
      <c r="R6" s="7"/>
      <c r="S6" s="7"/>
      <c r="T6" s="9"/>
    </row>
    <row r="7" spans="1:20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0"/>
      <c r="M7" s="2"/>
      <c r="N7" s="2"/>
      <c r="O7" s="2"/>
      <c r="P7" s="2"/>
      <c r="Q7" s="2"/>
      <c r="R7" s="2"/>
      <c r="S7" s="2"/>
      <c r="T7" s="2"/>
    </row>
    <row r="8" spans="1:21" ht="16.5">
      <c r="A8" s="2"/>
      <c r="B8" s="2"/>
      <c r="C8" s="77" t="s">
        <v>2</v>
      </c>
      <c r="D8" s="77"/>
      <c r="E8" s="77"/>
      <c r="F8" s="77"/>
      <c r="G8" s="77"/>
      <c r="H8" s="77"/>
      <c r="I8" s="77"/>
      <c r="J8" s="77"/>
      <c r="K8" s="77"/>
      <c r="L8" s="11"/>
      <c r="M8" s="77" t="s">
        <v>3</v>
      </c>
      <c r="N8" s="77"/>
      <c r="O8" s="77"/>
      <c r="P8" s="77"/>
      <c r="Q8" s="77"/>
      <c r="R8" s="77"/>
      <c r="S8" s="77"/>
      <c r="T8" s="77"/>
      <c r="U8" s="77"/>
    </row>
    <row r="9" spans="1:21" ht="16.5">
      <c r="A9" s="4"/>
      <c r="B9" s="12"/>
      <c r="C9" s="12" t="s">
        <v>4</v>
      </c>
      <c r="D9" s="13"/>
      <c r="E9" s="12" t="s">
        <v>5</v>
      </c>
      <c r="F9" s="13"/>
      <c r="G9" s="12" t="s">
        <v>6</v>
      </c>
      <c r="H9" s="13"/>
      <c r="I9" s="12" t="s">
        <v>7</v>
      </c>
      <c r="J9" s="13"/>
      <c r="K9" s="12" t="s">
        <v>8</v>
      </c>
      <c r="L9" s="13"/>
      <c r="M9" s="12" t="s">
        <v>9</v>
      </c>
      <c r="N9" s="13"/>
      <c r="O9" s="12" t="s">
        <v>10</v>
      </c>
      <c r="P9" s="13"/>
      <c r="Q9" s="14" t="s">
        <v>11</v>
      </c>
      <c r="R9" s="13"/>
      <c r="S9" s="12" t="s">
        <v>12</v>
      </c>
      <c r="T9" s="13"/>
      <c r="U9" s="14" t="s">
        <v>22</v>
      </c>
    </row>
    <row r="10" spans="1:21" ht="16.5">
      <c r="A10" s="4" t="s">
        <v>23</v>
      </c>
      <c r="B10" s="12"/>
      <c r="C10" s="15">
        <v>2003742</v>
      </c>
      <c r="D10" s="15"/>
      <c r="E10" s="15">
        <v>2303204</v>
      </c>
      <c r="F10" s="15"/>
      <c r="G10" s="15">
        <v>2333075</v>
      </c>
      <c r="H10" s="15"/>
      <c r="I10" s="15">
        <v>2329321</v>
      </c>
      <c r="J10" s="16"/>
      <c r="K10" s="15">
        <v>2537176</v>
      </c>
      <c r="L10" s="16"/>
      <c r="M10" s="15">
        <f>9.51*398720</f>
        <v>3791827.1999999997</v>
      </c>
      <c r="N10" s="16"/>
      <c r="O10" s="15">
        <f>9.71*407000</f>
        <v>3951970.0000000005</v>
      </c>
      <c r="P10" s="15"/>
      <c r="Q10" s="15">
        <f>10.26*415440</f>
        <v>4262414.4</v>
      </c>
      <c r="R10" s="15"/>
      <c r="S10" s="15">
        <f>10.26*424072</f>
        <v>4350978.72</v>
      </c>
      <c r="T10" s="15"/>
      <c r="U10" s="15">
        <f>10.26*442896</f>
        <v>4544112.96</v>
      </c>
    </row>
    <row r="11" spans="1:21" ht="16.5">
      <c r="A11" s="4"/>
      <c r="B11" s="12"/>
      <c r="C11" s="15"/>
      <c r="D11" s="15"/>
      <c r="E11" s="15"/>
      <c r="F11" s="15"/>
      <c r="G11" s="15"/>
      <c r="H11" s="15"/>
      <c r="I11" s="15"/>
      <c r="J11" s="16"/>
      <c r="K11" s="15"/>
      <c r="L11" s="16"/>
      <c r="M11" s="15"/>
      <c r="N11" s="16"/>
      <c r="O11" s="15"/>
      <c r="P11" s="15"/>
      <c r="Q11" s="15"/>
      <c r="R11" s="15"/>
      <c r="S11" s="15"/>
      <c r="T11" s="15"/>
      <c r="U11" s="15"/>
    </row>
    <row r="12" spans="1:21" ht="16.5">
      <c r="A12" s="4" t="s">
        <v>41</v>
      </c>
      <c r="B12" s="12"/>
      <c r="C12" s="15">
        <v>300312</v>
      </c>
      <c r="E12" s="15">
        <v>380976</v>
      </c>
      <c r="F12" s="15"/>
      <c r="G12" s="15">
        <v>341696</v>
      </c>
      <c r="H12" s="15"/>
      <c r="I12" s="15">
        <v>225858</v>
      </c>
      <c r="J12" s="16"/>
      <c r="K12" s="15">
        <v>232545</v>
      </c>
      <c r="L12" s="16"/>
      <c r="M12" s="15">
        <v>230000</v>
      </c>
      <c r="N12" s="16"/>
      <c r="O12" s="15">
        <v>230000</v>
      </c>
      <c r="P12" s="15"/>
      <c r="Q12" s="15">
        <v>230000</v>
      </c>
      <c r="R12" s="15"/>
      <c r="S12" s="15">
        <v>230000</v>
      </c>
      <c r="T12" s="15"/>
      <c r="U12" s="15">
        <v>230000</v>
      </c>
    </row>
    <row r="13" spans="1:21" ht="16.5">
      <c r="A13" s="4" t="s">
        <v>42</v>
      </c>
      <c r="B13" s="12"/>
      <c r="C13" s="15">
        <f>SUM(C10:C12)</f>
        <v>2304054</v>
      </c>
      <c r="D13" s="15"/>
      <c r="E13" s="15">
        <f aca="true" t="shared" si="0" ref="E13:U13">SUM(E10:E12)</f>
        <v>2684180</v>
      </c>
      <c r="F13" s="15"/>
      <c r="G13" s="15">
        <f t="shared" si="0"/>
        <v>2674771</v>
      </c>
      <c r="H13" s="15"/>
      <c r="I13" s="15">
        <f t="shared" si="0"/>
        <v>2555179</v>
      </c>
      <c r="J13" s="15"/>
      <c r="K13" s="15">
        <f t="shared" si="0"/>
        <v>2769721</v>
      </c>
      <c r="L13" s="16"/>
      <c r="M13" s="15">
        <f t="shared" si="0"/>
        <v>4021827.1999999997</v>
      </c>
      <c r="N13" s="16"/>
      <c r="O13" s="15">
        <f t="shared" si="0"/>
        <v>4181970.0000000005</v>
      </c>
      <c r="P13" s="15"/>
      <c r="Q13" s="15">
        <f t="shared" si="0"/>
        <v>4492414.4</v>
      </c>
      <c r="R13" s="15"/>
      <c r="S13" s="15">
        <f t="shared" si="0"/>
        <v>4580978.72</v>
      </c>
      <c r="T13" s="15"/>
      <c r="U13" s="15">
        <f t="shared" si="0"/>
        <v>4774112.96</v>
      </c>
    </row>
    <row r="14" spans="1:21" ht="16.5">
      <c r="A14" s="4"/>
      <c r="B14" s="12"/>
      <c r="C14" s="15"/>
      <c r="D14" s="15"/>
      <c r="E14" s="15"/>
      <c r="F14" s="15"/>
      <c r="G14" s="15"/>
      <c r="H14" s="15"/>
      <c r="I14" s="15"/>
      <c r="J14" s="16"/>
      <c r="K14" s="15"/>
      <c r="L14" s="16"/>
      <c r="M14" s="15"/>
      <c r="N14" s="16"/>
      <c r="O14" s="15"/>
      <c r="P14" s="15"/>
      <c r="Q14" s="15"/>
      <c r="R14" s="15"/>
      <c r="S14" s="15"/>
      <c r="T14" s="15"/>
      <c r="U14" s="15"/>
    </row>
    <row r="15" spans="1:21" ht="16.5">
      <c r="A15" s="4" t="s">
        <v>43</v>
      </c>
      <c r="B15" s="12"/>
      <c r="C15" s="15">
        <v>1841162</v>
      </c>
      <c r="D15" s="15"/>
      <c r="E15" s="15">
        <v>2051147</v>
      </c>
      <c r="F15" s="15"/>
      <c r="G15" s="15">
        <v>2214076</v>
      </c>
      <c r="H15" s="15"/>
      <c r="I15" s="15">
        <v>2362573</v>
      </c>
      <c r="J15" s="16"/>
      <c r="K15" s="15">
        <v>2501430</v>
      </c>
      <c r="L15" s="16"/>
      <c r="M15" s="15">
        <f>K15*1.03</f>
        <v>2576472.9</v>
      </c>
      <c r="N15" s="16"/>
      <c r="O15" s="15">
        <f>M15*1.03</f>
        <v>2653767.087</v>
      </c>
      <c r="P15" s="15"/>
      <c r="Q15" s="15">
        <f>O15*1.03</f>
        <v>2733380.09961</v>
      </c>
      <c r="R15" s="15"/>
      <c r="S15" s="15">
        <f>Q15*1.03</f>
        <v>2815381.5025983</v>
      </c>
      <c r="T15" s="15"/>
      <c r="U15" s="15">
        <f>S15*1.03</f>
        <v>2899842.9476762493</v>
      </c>
    </row>
    <row r="16" spans="1:21" ht="16.5">
      <c r="A16" s="4" t="s">
        <v>44</v>
      </c>
      <c r="B16" s="12"/>
      <c r="C16" s="15"/>
      <c r="D16" s="15"/>
      <c r="E16" s="15"/>
      <c r="F16" s="15"/>
      <c r="G16" s="15"/>
      <c r="H16" s="15"/>
      <c r="I16" s="15"/>
      <c r="J16" s="16"/>
      <c r="K16" s="15"/>
      <c r="L16" s="16"/>
      <c r="M16" s="15">
        <v>0</v>
      </c>
      <c r="N16" s="16"/>
      <c r="O16" s="15">
        <v>166666</v>
      </c>
      <c r="P16" s="15"/>
      <c r="Q16" s="15">
        <v>400000</v>
      </c>
      <c r="R16" s="15"/>
      <c r="S16" s="15">
        <f>Q16*1.03</f>
        <v>412000</v>
      </c>
      <c r="T16" s="15"/>
      <c r="U16" s="15">
        <f>S16*1.03</f>
        <v>424360</v>
      </c>
    </row>
    <row r="17" spans="1:21" ht="16.5">
      <c r="A17" s="4"/>
      <c r="B17" s="12"/>
      <c r="C17" s="15"/>
      <c r="D17" s="15"/>
      <c r="E17" s="15"/>
      <c r="F17" s="15"/>
      <c r="G17" s="15"/>
      <c r="H17" s="15"/>
      <c r="I17" s="15"/>
      <c r="J17" s="16"/>
      <c r="K17" s="15"/>
      <c r="L17" s="16"/>
      <c r="M17" s="15"/>
      <c r="N17" s="16"/>
      <c r="O17" s="15"/>
      <c r="P17" s="15"/>
      <c r="Q17" s="15"/>
      <c r="R17" s="15"/>
      <c r="S17" s="15"/>
      <c r="T17" s="15"/>
      <c r="U17" s="15"/>
    </row>
    <row r="18" spans="1:21" ht="16.5">
      <c r="A18" s="4" t="s">
        <v>47</v>
      </c>
      <c r="B18" s="12"/>
      <c r="C18" s="15">
        <f>+C13-C15-C16</f>
        <v>462892</v>
      </c>
      <c r="D18" s="15"/>
      <c r="E18" s="15">
        <f>+E13-E15-E16</f>
        <v>633033</v>
      </c>
      <c r="F18" s="15"/>
      <c r="G18" s="15">
        <f>+G13-G15-G16</f>
        <v>460695</v>
      </c>
      <c r="H18" s="15"/>
      <c r="I18" s="15">
        <f>+I13-I15-I16</f>
        <v>192606</v>
      </c>
      <c r="J18" s="16"/>
      <c r="K18" s="15">
        <f>+K13-K15-K16</f>
        <v>268291</v>
      </c>
      <c r="L18" s="16"/>
      <c r="M18" s="15">
        <f>+M13-M15-M16</f>
        <v>1445354.2999999998</v>
      </c>
      <c r="N18" s="16"/>
      <c r="O18" s="15">
        <f>+O13-O15-O16</f>
        <v>1361536.9130000006</v>
      </c>
      <c r="P18" s="15"/>
      <c r="Q18" s="15">
        <f>+Q13-Q15-Q16</f>
        <v>1359034.3003900005</v>
      </c>
      <c r="R18" s="15"/>
      <c r="S18" s="15">
        <f>+S13-S15-S16</f>
        <v>1353597.2174016996</v>
      </c>
      <c r="T18" s="15"/>
      <c r="U18" s="15">
        <f>+U13-U15-U16</f>
        <v>1449910.0123237506</v>
      </c>
    </row>
    <row r="19" spans="1:21" ht="16.5">
      <c r="A19" s="4"/>
      <c r="B19" s="12"/>
      <c r="C19" s="12"/>
      <c r="D19" s="13"/>
      <c r="E19" s="12"/>
      <c r="F19" s="13"/>
      <c r="G19" s="12"/>
      <c r="H19" s="13"/>
      <c r="I19" s="12"/>
      <c r="J19" s="13"/>
      <c r="K19" s="12"/>
      <c r="L19" s="13"/>
      <c r="M19" s="12"/>
      <c r="N19" s="13"/>
      <c r="O19" s="12"/>
      <c r="P19" s="13"/>
      <c r="Q19" s="14"/>
      <c r="R19" s="13"/>
      <c r="S19" s="12"/>
      <c r="T19" s="13"/>
      <c r="U19" s="14"/>
    </row>
    <row r="20" spans="1:21" ht="16.5">
      <c r="A20" s="17" t="s">
        <v>13</v>
      </c>
      <c r="C20" s="18"/>
      <c r="D20" s="18"/>
      <c r="E20" s="18"/>
      <c r="F20" s="18"/>
      <c r="G20" s="18"/>
      <c r="H20" s="18"/>
      <c r="I20" s="18"/>
      <c r="K20" s="18"/>
      <c r="L20" s="19"/>
      <c r="M20" s="18"/>
      <c r="N20" s="18"/>
      <c r="O20" s="18"/>
      <c r="P20" s="18"/>
      <c r="Q20" s="18"/>
      <c r="R20" s="18"/>
      <c r="S20" s="18"/>
      <c r="U20" s="6"/>
    </row>
    <row r="21" spans="1:21" ht="15.75">
      <c r="A21" s="20" t="s">
        <v>14</v>
      </c>
      <c r="B21" s="6"/>
      <c r="C21" s="6"/>
      <c r="D21" s="6"/>
      <c r="E21" s="6"/>
      <c r="F21" s="6"/>
      <c r="G21" s="6"/>
      <c r="H21" s="6"/>
      <c r="I21" s="6"/>
      <c r="K21" s="6"/>
      <c r="L21" s="21"/>
      <c r="M21" s="6">
        <v>360416.67</v>
      </c>
      <c r="N21" s="21"/>
      <c r="O21" s="6">
        <f>672500+426500</f>
        <v>1099000</v>
      </c>
      <c r="P21" s="21"/>
      <c r="Q21" s="6">
        <f>701500+419625</f>
        <v>1121125</v>
      </c>
      <c r="R21" s="21"/>
      <c r="S21" s="6">
        <f>709625+412375</f>
        <v>1122000</v>
      </c>
      <c r="T21" s="21"/>
      <c r="U21" s="6">
        <f>712375+404875</f>
        <v>1117250</v>
      </c>
    </row>
    <row r="22" spans="1:21" ht="15.75">
      <c r="A22" s="20" t="s">
        <v>15</v>
      </c>
      <c r="B22" s="6"/>
      <c r="C22" s="6">
        <v>1129250</v>
      </c>
      <c r="D22" s="6"/>
      <c r="E22" s="6">
        <v>1129250</v>
      </c>
      <c r="F22" s="6"/>
      <c r="G22" s="6">
        <v>1129250</v>
      </c>
      <c r="H22" s="6"/>
      <c r="I22" s="6">
        <v>1129250</v>
      </c>
      <c r="K22" s="6">
        <v>1129250</v>
      </c>
      <c r="L22" s="21"/>
      <c r="M22" s="6">
        <v>1129250</v>
      </c>
      <c r="N22" s="21"/>
      <c r="O22" s="6">
        <v>1129250</v>
      </c>
      <c r="P22" s="21"/>
      <c r="Q22" s="6">
        <v>1129250</v>
      </c>
      <c r="R22" s="21"/>
      <c r="S22" s="6">
        <v>1129250</v>
      </c>
      <c r="T22" s="21"/>
      <c r="U22" s="6">
        <v>1129250</v>
      </c>
    </row>
    <row r="23" spans="1:21" ht="15.75">
      <c r="A23" s="20"/>
      <c r="B23" s="6"/>
      <c r="C23" s="6"/>
      <c r="D23" s="6"/>
      <c r="E23" s="6"/>
      <c r="F23" s="6"/>
      <c r="G23" s="6"/>
      <c r="H23" s="6"/>
      <c r="I23" s="6"/>
      <c r="K23" s="6"/>
      <c r="L23" s="21"/>
      <c r="M23" s="6"/>
      <c r="N23" s="21"/>
      <c r="O23" s="6"/>
      <c r="P23" s="21"/>
      <c r="Q23" s="6"/>
      <c r="R23" s="21"/>
      <c r="S23" s="6"/>
      <c r="T23" s="21"/>
      <c r="U23" s="6"/>
    </row>
    <row r="24" spans="1:21" ht="15.75">
      <c r="A24" s="20"/>
      <c r="B24" s="6"/>
      <c r="C24" s="6"/>
      <c r="D24" s="6"/>
      <c r="E24" s="6"/>
      <c r="F24" s="6"/>
      <c r="G24" s="6"/>
      <c r="H24" s="6"/>
      <c r="I24" s="6"/>
      <c r="K24" s="6"/>
      <c r="L24" s="21"/>
      <c r="M24" s="6"/>
      <c r="N24" s="21"/>
      <c r="O24" s="6"/>
      <c r="P24" s="6"/>
      <c r="Q24" s="6"/>
      <c r="R24" s="6"/>
      <c r="S24" s="6"/>
      <c r="T24" s="6"/>
      <c r="U24" s="6"/>
    </row>
    <row r="25" spans="1:19" ht="16.5">
      <c r="A25" s="17" t="s">
        <v>16</v>
      </c>
      <c r="C25" s="18"/>
      <c r="D25" s="18"/>
      <c r="E25" s="18"/>
      <c r="F25" s="18"/>
      <c r="G25" s="18"/>
      <c r="H25" s="18"/>
      <c r="I25" s="18"/>
      <c r="K25" s="18"/>
      <c r="L25" s="19"/>
      <c r="M25" s="18"/>
      <c r="N25" s="18"/>
      <c r="O25" s="18"/>
      <c r="P25" s="18"/>
      <c r="Q25" s="18"/>
      <c r="R25" s="18"/>
      <c r="S25" s="18"/>
    </row>
    <row r="26" spans="1:21" ht="16.5">
      <c r="A26" s="20" t="s">
        <v>17</v>
      </c>
      <c r="B26" s="22"/>
      <c r="C26" s="23"/>
      <c r="D26" s="23"/>
      <c r="E26" s="23"/>
      <c r="F26" s="23"/>
      <c r="G26" s="23"/>
      <c r="H26" s="23"/>
      <c r="I26" s="23"/>
      <c r="K26" s="23"/>
      <c r="L26" s="24"/>
      <c r="M26" s="23">
        <f>M10/M21</f>
        <v>10.520676526976402</v>
      </c>
      <c r="N26" s="23"/>
      <c r="O26" s="23">
        <f>O10/O21</f>
        <v>3.59596906278435</v>
      </c>
      <c r="P26" s="23"/>
      <c r="Q26" s="23">
        <f>Q10/Q21</f>
        <v>3.8019082617906124</v>
      </c>
      <c r="R26" s="23"/>
      <c r="S26" s="23">
        <f>S10/S21</f>
        <v>3.877877647058823</v>
      </c>
      <c r="T26" s="23"/>
      <c r="U26" s="23">
        <f>U10/U21</f>
        <v>4.067230217050795</v>
      </c>
    </row>
    <row r="27" spans="1:21" ht="16.5">
      <c r="A27" s="20" t="s">
        <v>18</v>
      </c>
      <c r="B27" s="22"/>
      <c r="C27" s="23">
        <f>C10/C22</f>
        <v>1.774400708434802</v>
      </c>
      <c r="D27" s="23"/>
      <c r="E27" s="23">
        <f aca="true" t="shared" si="1" ref="E27:K27">E10/E22</f>
        <v>2.0395873367279167</v>
      </c>
      <c r="F27" s="23"/>
      <c r="G27" s="23">
        <f t="shared" si="1"/>
        <v>2.0660394066858534</v>
      </c>
      <c r="H27" s="23"/>
      <c r="I27" s="23">
        <f t="shared" si="1"/>
        <v>2.0627150763781272</v>
      </c>
      <c r="J27" s="23"/>
      <c r="K27" s="23">
        <f t="shared" si="1"/>
        <v>2.2467797210537968</v>
      </c>
      <c r="L27" s="24"/>
      <c r="M27" s="23">
        <f>M10/M22</f>
        <v>3.3578279388974983</v>
      </c>
      <c r="N27" s="23"/>
      <c r="O27" s="23">
        <f>O10/O22</f>
        <v>3.499641354881559</v>
      </c>
      <c r="P27" s="23"/>
      <c r="Q27" s="23">
        <f>Q10/Q22</f>
        <v>3.774553376134603</v>
      </c>
      <c r="R27" s="23"/>
      <c r="S27" s="23">
        <f>S10/S22</f>
        <v>3.8529809342483947</v>
      </c>
      <c r="T27" s="23"/>
      <c r="U27" s="23">
        <f>U10/U22</f>
        <v>4.024009705556786</v>
      </c>
    </row>
    <row r="29" spans="13:21" ht="15.75">
      <c r="M29" s="29"/>
      <c r="O29" s="29"/>
      <c r="U29" s="29"/>
    </row>
    <row r="30" ht="15.75">
      <c r="A30" s="1" t="s">
        <v>32</v>
      </c>
    </row>
    <row r="31" ht="15.75">
      <c r="A31" s="1" t="s">
        <v>33</v>
      </c>
    </row>
    <row r="32" ht="15.75">
      <c r="A32" s="1" t="s">
        <v>34</v>
      </c>
    </row>
    <row r="33" ht="15.75">
      <c r="A33" s="1" t="s">
        <v>36</v>
      </c>
    </row>
    <row r="34" ht="15.75">
      <c r="A34" s="1" t="s">
        <v>35</v>
      </c>
    </row>
    <row r="35" ht="15.75">
      <c r="A35" s="1" t="s">
        <v>37</v>
      </c>
    </row>
    <row r="36" ht="15.75">
      <c r="A36" s="1" t="s">
        <v>38</v>
      </c>
    </row>
    <row r="37" ht="15.75">
      <c r="A37" s="1" t="s">
        <v>53</v>
      </c>
    </row>
    <row r="38" ht="15.75">
      <c r="A38" s="1" t="s">
        <v>54</v>
      </c>
    </row>
    <row r="39" ht="15.75">
      <c r="A39" s="1" t="s">
        <v>51</v>
      </c>
    </row>
    <row r="40" ht="15.75">
      <c r="A40" s="1" t="s">
        <v>52</v>
      </c>
    </row>
    <row r="42" ht="15.75">
      <c r="A42" s="1" t="s">
        <v>45</v>
      </c>
    </row>
    <row r="44" ht="15.75">
      <c r="A44" s="1" t="s">
        <v>46</v>
      </c>
    </row>
    <row r="46" ht="15.75">
      <c r="A46" s="1" t="s">
        <v>49</v>
      </c>
    </row>
    <row r="47" ht="15.75">
      <c r="A47" s="1" t="s">
        <v>48</v>
      </c>
    </row>
    <row r="48" ht="15.75">
      <c r="A48" s="1" t="s">
        <v>50</v>
      </c>
    </row>
  </sheetData>
  <sheetProtection/>
  <mergeCells count="7">
    <mergeCell ref="M8:U8"/>
    <mergeCell ref="C8:K8"/>
    <mergeCell ref="B1:T1"/>
    <mergeCell ref="B4:T4"/>
    <mergeCell ref="B5:T5"/>
    <mergeCell ref="B3:T3"/>
    <mergeCell ref="B2:T2"/>
  </mergeCells>
  <printOptions verticalCentered="1"/>
  <pageMargins left="0.25" right="0" top="0.5" bottom="0.5" header="0.5" footer="0.5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8.00390625" style="0" bestFit="1" customWidth="1"/>
    <col min="2" max="7" width="12.7109375" style="0" customWidth="1"/>
  </cols>
  <sheetData>
    <row r="1" ht="12.75">
      <c r="A1" t="s">
        <v>24</v>
      </c>
    </row>
    <row r="4" spans="2:6" ht="16.5"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6" spans="1:6" ht="12.75">
      <c r="A6" t="s">
        <v>25</v>
      </c>
      <c r="B6" s="27">
        <v>858187.74</v>
      </c>
      <c r="C6" s="27">
        <v>1033573.98</v>
      </c>
      <c r="D6" s="27">
        <v>1204339</v>
      </c>
      <c r="E6" s="27">
        <v>1210126</v>
      </c>
      <c r="F6" s="27">
        <v>1250664</v>
      </c>
    </row>
    <row r="7" spans="1:6" ht="12.75">
      <c r="A7" t="s">
        <v>26</v>
      </c>
      <c r="B7" s="27">
        <v>151534.66</v>
      </c>
      <c r="C7" s="27">
        <v>158976.03</v>
      </c>
      <c r="D7" s="27"/>
      <c r="E7" s="27"/>
      <c r="F7" s="27"/>
    </row>
    <row r="8" spans="1:6" ht="12.75">
      <c r="A8" t="s">
        <v>27</v>
      </c>
      <c r="B8" s="27">
        <v>358383</v>
      </c>
      <c r="C8" s="27">
        <v>375020.98</v>
      </c>
      <c r="D8" s="27">
        <v>382438</v>
      </c>
      <c r="E8" s="27">
        <v>365139</v>
      </c>
      <c r="F8" s="27">
        <v>378074</v>
      </c>
    </row>
    <row r="9" spans="1:6" ht="12.75">
      <c r="A9" t="s">
        <v>28</v>
      </c>
      <c r="B9" s="28">
        <v>635637</v>
      </c>
      <c r="C9" s="28">
        <v>735633</v>
      </c>
      <c r="D9" s="28">
        <v>746298</v>
      </c>
      <c r="E9" s="28">
        <v>754056</v>
      </c>
      <c r="F9" s="28">
        <v>908438</v>
      </c>
    </row>
    <row r="10" spans="2:6" ht="12.75">
      <c r="B10" s="27"/>
      <c r="C10" s="27"/>
      <c r="D10" s="27"/>
      <c r="E10" s="27"/>
      <c r="F10" s="27"/>
    </row>
    <row r="11" spans="1:6" ht="12.75">
      <c r="A11" t="s">
        <v>29</v>
      </c>
      <c r="B11" s="27">
        <f>SUM(B6:B9)</f>
        <v>2003742.4</v>
      </c>
      <c r="C11" s="27">
        <f>SUM(C6:C9)</f>
        <v>2303203.99</v>
      </c>
      <c r="D11" s="27">
        <f>SUM(D6:D9)</f>
        <v>2333075</v>
      </c>
      <c r="E11" s="27">
        <f>SUM(E6:E9)</f>
        <v>2329321</v>
      </c>
      <c r="F11" s="27">
        <f>SUM(F6:F9)</f>
        <v>2537176</v>
      </c>
    </row>
    <row r="12" spans="2:6" ht="12.75">
      <c r="B12" s="27"/>
      <c r="C12" s="27"/>
      <c r="D12" s="27"/>
      <c r="E12" s="27"/>
      <c r="F12" s="27"/>
    </row>
    <row r="13" spans="1:6" ht="12.75">
      <c r="A13" s="25" t="s">
        <v>31</v>
      </c>
      <c r="B13" s="26">
        <v>5.07</v>
      </c>
      <c r="C13" s="26">
        <v>5.62</v>
      </c>
      <c r="D13" s="26">
        <v>5.62</v>
      </c>
      <c r="E13" s="26">
        <v>5.86</v>
      </c>
      <c r="F13" s="26">
        <v>6.17</v>
      </c>
    </row>
    <row r="14" spans="2:6" ht="12.75">
      <c r="B14" s="27"/>
      <c r="C14" s="27"/>
      <c r="D14" s="27"/>
      <c r="E14" s="27"/>
      <c r="F14" s="27"/>
    </row>
    <row r="15" spans="1:6" ht="12.75">
      <c r="A15" s="25" t="s">
        <v>30</v>
      </c>
      <c r="B15" s="27">
        <f>B11/B13</f>
        <v>395215.46351084806</v>
      </c>
      <c r="C15" s="27">
        <f>C11/C13</f>
        <v>409822.77402135235</v>
      </c>
      <c r="D15" s="27">
        <f>D11/D13</f>
        <v>415137.9003558719</v>
      </c>
      <c r="E15" s="27">
        <f>E11/E13</f>
        <v>397495.05119453924</v>
      </c>
      <c r="F15" s="27">
        <f>F11/F13</f>
        <v>411211.66936790926</v>
      </c>
    </row>
    <row r="16" spans="2:6" ht="12.75">
      <c r="B16" s="27"/>
      <c r="C16" s="27"/>
      <c r="D16" s="27"/>
      <c r="E16" s="27"/>
      <c r="F16" s="27"/>
    </row>
    <row r="17" spans="1:6" ht="12.75">
      <c r="A17" t="s">
        <v>40</v>
      </c>
      <c r="B17" s="27"/>
      <c r="C17" s="27"/>
      <c r="D17" s="27"/>
      <c r="E17" s="27"/>
      <c r="F17" s="27"/>
    </row>
    <row r="18" spans="2:6" ht="12.75">
      <c r="B18" s="27"/>
      <c r="C18" s="27"/>
      <c r="D18" s="27"/>
      <c r="E18" s="27"/>
      <c r="F18" s="27"/>
    </row>
    <row r="19" spans="2:6" ht="16.5">
      <c r="B19" s="12" t="s">
        <v>4</v>
      </c>
      <c r="C19" s="12" t="s">
        <v>5</v>
      </c>
      <c r="D19" s="12" t="s">
        <v>6</v>
      </c>
      <c r="E19" s="12" t="s">
        <v>7</v>
      </c>
      <c r="F19" s="12" t="s">
        <v>8</v>
      </c>
    </row>
    <row r="21" spans="1:6" ht="12.75">
      <c r="A21" t="s">
        <v>25</v>
      </c>
      <c r="B21" s="27">
        <f>64296.76+712+178908.99</f>
        <v>243917.75</v>
      </c>
      <c r="C21" s="27">
        <f>109369.62+184005.44</f>
        <v>293375.06</v>
      </c>
      <c r="D21" s="27">
        <f>92036.57+554+188895.24</f>
        <v>281485.81</v>
      </c>
      <c r="E21" s="27">
        <f>31282.73+155964.45</f>
        <v>187247.18000000002</v>
      </c>
      <c r="F21" s="27">
        <f>29414.03+157983.22</f>
        <v>187397.25</v>
      </c>
    </row>
    <row r="22" spans="1:6" ht="12.75">
      <c r="A22" t="s">
        <v>26</v>
      </c>
      <c r="B22" s="27">
        <f>7756.24+997</f>
        <v>8753.24</v>
      </c>
      <c r="C22" s="27">
        <v>9242.13</v>
      </c>
      <c r="D22" s="27"/>
      <c r="E22" s="27"/>
      <c r="F22" s="27"/>
    </row>
    <row r="23" spans="1:6" ht="12.75">
      <c r="A23" t="s">
        <v>27</v>
      </c>
      <c r="B23" s="27">
        <f>10521.63+2920+167</f>
        <v>13608.63</v>
      </c>
      <c r="C23" s="27">
        <f>20595.58+6600</f>
        <v>27195.58</v>
      </c>
      <c r="D23" s="27">
        <f>16383.55+9930</f>
        <v>26313.55</v>
      </c>
      <c r="E23" s="27">
        <f>7362.42+12525</f>
        <v>19887.42</v>
      </c>
      <c r="F23" s="27">
        <f>8853.9+11475</f>
        <v>20328.9</v>
      </c>
    </row>
    <row r="24" spans="1:6" ht="12.75">
      <c r="A24" t="s">
        <v>28</v>
      </c>
      <c r="B24" s="28">
        <f>33742.74+290</f>
        <v>34032.74</v>
      </c>
      <c r="C24" s="28">
        <f>51088.07+75</f>
        <v>51163.07</v>
      </c>
      <c r="D24" s="28">
        <f>33586.27+310</f>
        <v>33896.27</v>
      </c>
      <c r="E24" s="28">
        <v>18723.29</v>
      </c>
      <c r="F24" s="28">
        <f>24759.16+60</f>
        <v>24819.16</v>
      </c>
    </row>
    <row r="25" spans="2:6" ht="12.75">
      <c r="B25" s="27"/>
      <c r="C25" s="27"/>
      <c r="D25" s="27"/>
      <c r="E25" s="27"/>
      <c r="F25" s="27"/>
    </row>
    <row r="26" spans="1:6" ht="12.75">
      <c r="A26" t="s">
        <v>29</v>
      </c>
      <c r="B26" s="27">
        <f>SUM(B21:B25)</f>
        <v>300312.36</v>
      </c>
      <c r="C26" s="27">
        <f>SUM(C21:C25)</f>
        <v>380975.84</v>
      </c>
      <c r="D26" s="27">
        <f>SUM(D21:D25)</f>
        <v>341695.63</v>
      </c>
      <c r="E26" s="27">
        <f>SUM(E21:E25)</f>
        <v>225857.89000000004</v>
      </c>
      <c r="F26" s="27">
        <f>SUM(F21:F25)</f>
        <v>232545.31</v>
      </c>
    </row>
    <row r="27" spans="2:6" ht="12.75">
      <c r="B27" s="27"/>
      <c r="C27" s="27"/>
      <c r="D27" s="27"/>
      <c r="E27" s="27"/>
      <c r="F27" s="27"/>
    </row>
    <row r="28" spans="2:6" ht="12.75">
      <c r="B28" s="27"/>
      <c r="C28" s="27"/>
      <c r="D28" s="27"/>
      <c r="E28" s="27"/>
      <c r="F28" s="27"/>
    </row>
    <row r="29" spans="2:6" ht="12.75">
      <c r="B29" s="27"/>
      <c r="C29" s="27"/>
      <c r="D29" s="27"/>
      <c r="E29" s="27"/>
      <c r="F29" s="27"/>
    </row>
    <row r="30" spans="1:6" ht="12.75">
      <c r="A30" t="s">
        <v>39</v>
      </c>
      <c r="B30" s="27"/>
      <c r="C30" s="27"/>
      <c r="D30" s="27"/>
      <c r="E30" s="27"/>
      <c r="F30" s="27"/>
    </row>
    <row r="31" spans="2:6" ht="16.5">
      <c r="B31" s="12" t="s">
        <v>4</v>
      </c>
      <c r="C31" s="12" t="s">
        <v>5</v>
      </c>
      <c r="D31" s="12" t="s">
        <v>6</v>
      </c>
      <c r="E31" s="12" t="s">
        <v>7</v>
      </c>
      <c r="F31" s="12" t="s">
        <v>8</v>
      </c>
    </row>
    <row r="33" spans="1:6" ht="12.75">
      <c r="A33" t="s">
        <v>25</v>
      </c>
      <c r="B33" s="27">
        <v>803188.52</v>
      </c>
      <c r="C33" s="27">
        <v>908553</v>
      </c>
      <c r="D33" s="27">
        <v>1119053.96</v>
      </c>
      <c r="E33" s="27">
        <v>1281940.73</v>
      </c>
      <c r="F33" s="27">
        <v>1229243.65</v>
      </c>
    </row>
    <row r="34" spans="1:6" ht="12.75">
      <c r="A34" t="s">
        <v>26</v>
      </c>
      <c r="B34" s="27">
        <v>134218.22</v>
      </c>
      <c r="C34" s="27">
        <f>137476.56+4653.09</f>
        <v>142129.65</v>
      </c>
      <c r="D34" s="27"/>
      <c r="E34" s="27"/>
      <c r="F34" s="27"/>
    </row>
    <row r="35" spans="1:6" ht="12.75">
      <c r="A35" t="s">
        <v>27</v>
      </c>
      <c r="B35" s="27">
        <v>318015.23</v>
      </c>
      <c r="C35" s="27">
        <v>324027</v>
      </c>
      <c r="D35" s="27">
        <v>346273</v>
      </c>
      <c r="E35" s="27">
        <v>360547.88</v>
      </c>
      <c r="F35" s="27">
        <v>369589.43</v>
      </c>
    </row>
    <row r="36" spans="1:6" ht="12.75">
      <c r="A36" t="s">
        <v>28</v>
      </c>
      <c r="B36" s="28">
        <v>585740</v>
      </c>
      <c r="C36" s="28">
        <v>676436.91</v>
      </c>
      <c r="D36" s="28">
        <v>748748.96</v>
      </c>
      <c r="E36" s="28">
        <v>720084.88</v>
      </c>
      <c r="F36" s="28">
        <v>902597.17</v>
      </c>
    </row>
    <row r="37" spans="2:6" ht="12.75">
      <c r="B37" s="27"/>
      <c r="C37" s="27"/>
      <c r="D37" s="27"/>
      <c r="E37" s="27"/>
      <c r="F37" s="27"/>
    </row>
    <row r="38" spans="1:6" ht="12.75">
      <c r="A38" t="s">
        <v>29</v>
      </c>
      <c r="B38" s="27">
        <f>SUM(B33:B36)</f>
        <v>1841161.97</v>
      </c>
      <c r="C38" s="27">
        <f>SUM(C33:C36)</f>
        <v>2051146.56</v>
      </c>
      <c r="D38" s="27">
        <f>SUM(D33:D36)</f>
        <v>2214075.92</v>
      </c>
      <c r="E38" s="27">
        <f>SUM(E33:E36)</f>
        <v>2362573.4899999998</v>
      </c>
      <c r="F38" s="27">
        <f>SUM(F33:F36)</f>
        <v>2501430.25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Barrett_Kimberly</dc:creator>
  <cp:keywords/>
  <dc:description/>
  <cp:lastModifiedBy>stephanie.stapleton</cp:lastModifiedBy>
  <cp:lastPrinted>2010-10-11T12:13:59Z</cp:lastPrinted>
  <dcterms:created xsi:type="dcterms:W3CDTF">2010-09-03T20:57:39Z</dcterms:created>
  <dcterms:modified xsi:type="dcterms:W3CDTF">2010-10-11T19:45:21Z</dcterms:modified>
  <cp:category/>
  <cp:version/>
  <cp:contentType/>
  <cp:contentStatus/>
</cp:coreProperties>
</file>