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320" windowHeight="11505" activeTab="0"/>
  </bookViews>
  <sheets>
    <sheet name="5YR Combined Gross Pledge" sheetId="1" r:id="rId1"/>
  </sheets>
  <externalReferences>
    <externalReference r:id="rId4"/>
  </externalReferences>
  <definedNames>
    <definedName name="_1">#REF!</definedName>
    <definedName name="_1A">#REF!</definedName>
    <definedName name="_2">#REF!</definedName>
    <definedName name="_3">#REF!</definedName>
    <definedName name="_4">#REF!</definedName>
    <definedName name="ADD">#REF!</definedName>
    <definedName name="CONCOV">#REF!</definedName>
    <definedName name="COV">#REF!</definedName>
    <definedName name="COV2">#REF!</definedName>
    <definedName name="HIST">#REF!</definedName>
    <definedName name="PARITY">#REF!</definedName>
    <definedName name="Print_Area_MI">'[1]lott8038'!$M$1:$R$36</definedName>
    <definedName name="RATIOS">#REF!</definedName>
    <definedName name="SU">#REF!</definedName>
  </definedNames>
  <calcPr fullCalcOnLoad="1"/>
</workbook>
</file>

<file path=xl/sharedStrings.xml><?xml version="1.0" encoding="utf-8"?>
<sst xmlns="http://schemas.openxmlformats.org/spreadsheetml/2006/main" count="73" uniqueCount="65">
  <si>
    <t>Attachment II</t>
  </si>
  <si>
    <t xml:space="preserve">GROSS PLEDGE  BASIS  </t>
  </si>
  <si>
    <t>5-YEAR HISTORICAL AND PROJECTED DEBT SERVICE COVERAGE (1)</t>
  </si>
  <si>
    <t>Projected</t>
  </si>
  <si>
    <t>FY 2007-08</t>
  </si>
  <si>
    <t>FY 2008-09</t>
  </si>
  <si>
    <t>FY 2009-10</t>
  </si>
  <si>
    <t>FY 2010-11</t>
  </si>
  <si>
    <t>FY 2011-12</t>
  </si>
  <si>
    <t>FY 2012-13</t>
  </si>
  <si>
    <t>FY 2013-14</t>
  </si>
  <si>
    <t xml:space="preserve">     Total Proposed Debt</t>
  </si>
  <si>
    <t>Available for Operations after Pledge</t>
  </si>
  <si>
    <t xml:space="preserve"> </t>
  </si>
  <si>
    <t>Compensation &amp; Benefits</t>
  </si>
  <si>
    <t>Operating Income (Loss)</t>
  </si>
  <si>
    <t>Add: Interest Income</t>
  </si>
  <si>
    <t xml:space="preserve">Projected Net Income </t>
  </si>
  <si>
    <t>USF CENTER FOR ADVANCED MEDICAL LEARNING AND SIMULATION (CAMLS) PROJECT BANK TERM LOAN</t>
  </si>
  <si>
    <t>USF Health Professions Conferencing Corporation (HPCC)</t>
  </si>
  <si>
    <t>Exhibit Fees</t>
  </si>
  <si>
    <t>Registration Fees</t>
  </si>
  <si>
    <t>Non-USF Institutional Support</t>
  </si>
  <si>
    <t>Hotel / Intuitive Rebates</t>
  </si>
  <si>
    <t>FY 2014-15</t>
  </si>
  <si>
    <t>FY 2015-16</t>
  </si>
  <si>
    <t>Training / Meeting Room Rental</t>
  </si>
  <si>
    <t>Hotel Room Rebates</t>
  </si>
  <si>
    <t>Prototype Development Lab - course fees and rental</t>
  </si>
  <si>
    <t>Management Fees (Non-USF Courses)</t>
  </si>
  <si>
    <t>Processing Fees (Non-USF Courses)</t>
  </si>
  <si>
    <t>Total HPCC Revenues Pledged to CAMLS Project</t>
  </si>
  <si>
    <t>Annual Debt Service - CAMLS Project:</t>
  </si>
  <si>
    <t>Proposed Debt - Bank Term Loan (20 Yr @ 5.50%)</t>
  </si>
  <si>
    <t>Coverage Ratios - CAMLS Project:</t>
  </si>
  <si>
    <t>Total HPCC Revenues Pledged</t>
  </si>
  <si>
    <t>Operating Expenses</t>
  </si>
  <si>
    <t>Total HPCC Expenses</t>
  </si>
  <si>
    <t>For Information Purposes Only, Pledge is Gross</t>
  </si>
  <si>
    <t>Implied Net Coverage Ratios - Total HPCC</t>
  </si>
  <si>
    <t>(2)   HPCC began operations on July 1, 2007</t>
  </si>
  <si>
    <t>(1)   The financial information related to revenues and expenses was provided by HPCC</t>
  </si>
  <si>
    <t>Historical (2)</t>
  </si>
  <si>
    <t>CAMLS Facility Operating Expenses (Est. @ $6/sq ft)</t>
  </si>
  <si>
    <r>
      <t>Existing HPCC Revenue</t>
    </r>
    <r>
      <rPr>
        <sz val="11"/>
        <rFont val="Book Antiqua"/>
        <family val="1"/>
      </rPr>
      <t xml:space="preserve"> (3)</t>
    </r>
  </si>
  <si>
    <t>Interest Expense - Equipment Lease (daVinci System)</t>
  </si>
  <si>
    <t>Annual Debt Service - CAMLS Project</t>
  </si>
  <si>
    <t>Maximum Annual Debt Service - CAMLS Project</t>
  </si>
  <si>
    <t>(3)   HPCC and CAMLS revenues do not include donations of equipment of $791,000 in FY 2008-09, $802,000 in FY 2009-10, and $2 million in FY 2011-12</t>
  </si>
  <si>
    <t>Annual Debt Service - Total HPCC</t>
  </si>
  <si>
    <t>Max Annual Debt Service - Total HPCC (6)</t>
  </si>
  <si>
    <t>(4)   CAMLS program is anticipated to begin in FY 2011-12</t>
  </si>
  <si>
    <r>
      <t>CAMLS Revenue</t>
    </r>
    <r>
      <rPr>
        <sz val="11"/>
        <rFont val="Book Antiqua"/>
        <family val="1"/>
      </rPr>
      <t xml:space="preserve"> (3)(4)</t>
    </r>
  </si>
  <si>
    <t xml:space="preserve"> Estimated Max Annual Debt Service (5)</t>
  </si>
  <si>
    <t>(5)   Estimated Maximum Annual Debt Service based on proposed debt (20 Yr at 5.50%)</t>
  </si>
  <si>
    <t>(6)   HPCC and CAMLS expenses do not included depreciation or Principal payments on the Equipment Lease</t>
  </si>
  <si>
    <r>
      <t>Existing HPCC Expenses</t>
    </r>
    <r>
      <rPr>
        <sz val="11"/>
        <rFont val="Book Antiqua"/>
        <family val="1"/>
      </rPr>
      <t xml:space="preserve"> (6)</t>
    </r>
  </si>
  <si>
    <t>Program Expenses (7)</t>
  </si>
  <si>
    <r>
      <t>CAMLS Expenses</t>
    </r>
    <r>
      <rPr>
        <sz val="11"/>
        <rFont val="Book Antiqua"/>
        <family val="1"/>
      </rPr>
      <t xml:space="preserve"> (5)(6)</t>
    </r>
  </si>
  <si>
    <t>(7)   HPCC and CAMLS program expenses exclude expenses related to commercial educational programs.</t>
  </si>
  <si>
    <t>STATE UNIVERSITY SYSTEM OF FLORIDA</t>
  </si>
  <si>
    <t>BOARD OF GOVERNORS</t>
  </si>
  <si>
    <t>Existing Exhibit Fees - 5% increase per year based on 08/09 actual</t>
  </si>
  <si>
    <t>New Exhibit Fees, Registration Fee and Room Rentals - Growth rate 20% 11/12, 17% 12/13, 13% 13/14, 11% 14/15 and 15/16</t>
  </si>
  <si>
    <t>Operating Expense increases follow note above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</si>
</sst>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0\x"/>
    <numFmt numFmtId="167" formatCode="_(* #,##0_);_(* \(#,##0\);_(* &quot;-&quot;??_);_(@_)"/>
    <numFmt numFmtId="168" formatCode="0.000"/>
    <numFmt numFmtId="169" formatCode="0.0000%"/>
    <numFmt numFmtId="170" formatCode="0_)"/>
    <numFmt numFmtId="171" formatCode="0.00_)"/>
    <numFmt numFmtId="172" formatCode="dd\-mmm\-yy_)"/>
    <numFmt numFmtId="173" formatCode="0.0000_)"/>
    <numFmt numFmtId="174" formatCode="[$$-C09]#,##0"/>
    <numFmt numFmtId="175" formatCode="&quot;$&quot;#,##0.00"/>
    <numFmt numFmtId="176" formatCode="#,##0.0"/>
    <numFmt numFmtId="177" formatCode="#,##0.000_);\(#,##0.000\)"/>
    <numFmt numFmtId="178" formatCode="#,##0.000"/>
    <numFmt numFmtId="179" formatCode="0.0000000%"/>
    <numFmt numFmtId="180" formatCode="#,##0.0000_);\(#,##0.0000\)"/>
    <numFmt numFmtId="181" formatCode="_(* #,##0.0_);_(* \(#,##0.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%"/>
    <numFmt numFmtId="189" formatCode="&quot;$&quot;#,##0.0"/>
    <numFmt numFmtId="190" formatCode="#,##0.000_);[Red]\(#,##0.000\)"/>
    <numFmt numFmtId="191" formatCode="&quot;$&quot;#,##0.000"/>
    <numFmt numFmtId="192" formatCode="#,##0.0000_);[Red]\(#,##0.0000\)"/>
    <numFmt numFmtId="193" formatCode="#,##0.00000_);[Red]\(#,##0.00000\)"/>
    <numFmt numFmtId="194" formatCode="0.00000%"/>
    <numFmt numFmtId="195" formatCode="[$-409]dddd\,\ mmmm\ dd\,\ yyyy"/>
    <numFmt numFmtId="196" formatCode="mm/dd/yy;@"/>
    <numFmt numFmtId="197" formatCode="0.000000%"/>
    <numFmt numFmtId="198" formatCode="[$-409]mmm\-yy;@"/>
    <numFmt numFmtId="199" formatCode="m/d/yy;@"/>
    <numFmt numFmtId="200" formatCode="0.00_);\(0.00\)"/>
    <numFmt numFmtId="201" formatCode="mmm\-yyyy"/>
    <numFmt numFmtId="202" formatCode="_(&quot;$&quot;* #,##0.0_);_(&quot;$&quot;* \(#,##0.0\);_(&quot;$&quot;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#,##0.0_);[Red]\(#,##0.0\)"/>
    <numFmt numFmtId="208" formatCode="#,##0.0_);\(#,##0.0\)"/>
    <numFmt numFmtId="209" formatCode="_(&quot;$&quot;* #,##0.0000_);_(&quot;$&quot;* \(#,##0.0000\);_(&quot;$&quot;* &quot;-&quot;????_);_(@_)"/>
    <numFmt numFmtId="210" formatCode="0.000000"/>
    <numFmt numFmtId="211" formatCode="0.00000"/>
    <numFmt numFmtId="212" formatCode="0.0000"/>
    <numFmt numFmtId="213" formatCode="0_);\(0\)"/>
    <numFmt numFmtId="214" formatCode="0.00000000"/>
    <numFmt numFmtId="215" formatCode="0.0000000"/>
    <numFmt numFmtId="216" formatCode="0.0\x"/>
    <numFmt numFmtId="217" formatCode="General_)"/>
    <numFmt numFmtId="218" formatCode="mmmm\ d\,\ yyyy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Book Antiqua"/>
      <family val="1"/>
    </font>
    <font>
      <sz val="12"/>
      <color indexed="12"/>
      <name val="Book Antiqua"/>
      <family val="1"/>
    </font>
    <font>
      <sz val="10.5"/>
      <name val="Book Antiqua"/>
      <family val="1"/>
    </font>
    <font>
      <sz val="10.5"/>
      <color indexed="12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10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 val="single"/>
      <sz val="11"/>
      <name val="Book Antiqua"/>
      <family val="1"/>
    </font>
    <font>
      <u val="single"/>
      <sz val="11"/>
      <name val="Book Antiqua"/>
      <family val="1"/>
    </font>
    <font>
      <b/>
      <u val="single"/>
      <sz val="11"/>
      <color indexed="10"/>
      <name val="Book Antiqua"/>
      <family val="1"/>
    </font>
    <font>
      <b/>
      <i/>
      <sz val="11"/>
      <name val="Book Antiqua"/>
      <family val="1"/>
    </font>
    <font>
      <i/>
      <sz val="11"/>
      <name val="Book Antiqua"/>
      <family val="1"/>
    </font>
    <font>
      <i/>
      <sz val="11"/>
      <color indexed="12"/>
      <name val="Book Antiqua"/>
      <family val="1"/>
    </font>
    <font>
      <b/>
      <i/>
      <sz val="11"/>
      <color indexed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0" fillId="0" borderId="0" xfId="42" applyNumberFormat="1" applyFont="1" applyFill="1" applyAlignment="1">
      <alignment horizontal="center" vertical="center"/>
    </xf>
    <xf numFmtId="0" fontId="28" fillId="0" borderId="0" xfId="42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9" fontId="28" fillId="0" borderId="0" xfId="59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9" fontId="28" fillId="0" borderId="0" xfId="59" applyFont="1" applyFill="1" applyBorder="1" applyAlignment="1">
      <alignment vertical="center"/>
    </xf>
    <xf numFmtId="165" fontId="26" fillId="0" borderId="0" xfId="44" applyNumberFormat="1" applyFont="1" applyFill="1" applyAlignment="1">
      <alignment vertical="center"/>
    </xf>
    <xf numFmtId="9" fontId="29" fillId="0" borderId="0" xfId="59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3" fontId="26" fillId="0" borderId="0" xfId="0" applyNumberFormat="1" applyFont="1" applyFill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27" fillId="20" borderId="0" xfId="0" applyFont="1" applyFill="1" applyAlignment="1">
      <alignment horizontal="center" vertical="center"/>
    </xf>
    <xf numFmtId="0" fontId="32" fillId="20" borderId="0" xfId="42" applyNumberFormat="1" applyFont="1" applyFill="1" applyAlignment="1">
      <alignment horizontal="center" vertical="center"/>
    </xf>
    <xf numFmtId="0" fontId="27" fillId="20" borderId="0" xfId="42" applyNumberFormat="1" applyFont="1" applyFill="1" applyAlignment="1">
      <alignment horizontal="center" vertical="center"/>
    </xf>
    <xf numFmtId="0" fontId="32" fillId="20" borderId="0" xfId="0" applyFont="1" applyFill="1" applyAlignment="1">
      <alignment horizontal="center" vertical="center"/>
    </xf>
    <xf numFmtId="43" fontId="27" fillId="0" borderId="0" xfId="42" applyFont="1" applyFill="1" applyBorder="1" applyAlignment="1">
      <alignment vertical="center"/>
    </xf>
    <xf numFmtId="43" fontId="28" fillId="0" borderId="0" xfId="42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9" fontId="29" fillId="0" borderId="0" xfId="59" applyFont="1" applyFill="1" applyBorder="1" applyAlignment="1">
      <alignment vertical="center"/>
    </xf>
    <xf numFmtId="6" fontId="25" fillId="0" borderId="0" xfId="0" applyNumberFormat="1" applyFont="1" applyFill="1" applyBorder="1" applyAlignment="1">
      <alignment vertical="center"/>
    </xf>
    <xf numFmtId="6" fontId="27" fillId="0" borderId="0" xfId="0" applyNumberFormat="1" applyFont="1" applyFill="1" applyBorder="1" applyAlignment="1">
      <alignment vertical="center"/>
    </xf>
    <xf numFmtId="6" fontId="25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66" fontId="33" fillId="0" borderId="0" xfId="0" applyNumberFormat="1" applyFont="1" applyFill="1" applyBorder="1" applyAlignment="1">
      <alignment vertical="center"/>
    </xf>
    <xf numFmtId="166" fontId="36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 quotePrefix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 indent="1"/>
    </xf>
    <xf numFmtId="0" fontId="34" fillId="0" borderId="0" xfId="0" applyFont="1" applyFill="1" applyAlignment="1">
      <alignment horizontal="left" vertical="center" indent="1"/>
    </xf>
    <xf numFmtId="0" fontId="26" fillId="0" borderId="10" xfId="0" applyFont="1" applyFill="1" applyBorder="1" applyAlignment="1">
      <alignment vertical="center"/>
    </xf>
    <xf numFmtId="165" fontId="26" fillId="0" borderId="11" xfId="44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166" fontId="26" fillId="0" borderId="11" xfId="0" applyNumberFormat="1" applyFont="1" applyFill="1" applyBorder="1" applyAlignment="1">
      <alignment vertical="center"/>
    </xf>
    <xf numFmtId="6" fontId="25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166" fontId="33" fillId="0" borderId="11" xfId="0" applyNumberFormat="1" applyFont="1" applyFill="1" applyBorder="1" applyAlignment="1">
      <alignment vertical="center"/>
    </xf>
    <xf numFmtId="0" fontId="30" fillId="0" borderId="0" xfId="42" applyNumberFormat="1" applyFont="1" applyFill="1" applyBorder="1" applyAlignment="1">
      <alignment horizontal="center" vertical="center"/>
    </xf>
    <xf numFmtId="165" fontId="26" fillId="0" borderId="0" xfId="44" applyNumberFormat="1" applyFont="1" applyFill="1" applyBorder="1" applyAlignment="1">
      <alignment vertical="center"/>
    </xf>
    <xf numFmtId="0" fontId="32" fillId="20" borderId="0" xfId="42" applyNumberFormat="1" applyFont="1" applyFill="1" applyBorder="1" applyAlignment="1">
      <alignment horizontal="center" vertical="center"/>
    </xf>
    <xf numFmtId="0" fontId="30" fillId="0" borderId="12" xfId="42" applyNumberFormat="1" applyFont="1" applyFill="1" applyBorder="1" applyAlignment="1">
      <alignment horizontal="center" vertical="center"/>
    </xf>
    <xf numFmtId="0" fontId="28" fillId="0" borderId="13" xfId="42" applyNumberFormat="1" applyFont="1" applyFill="1" applyBorder="1" applyAlignment="1">
      <alignment horizontal="center" vertical="center"/>
    </xf>
    <xf numFmtId="9" fontId="28" fillId="0" borderId="11" xfId="59" applyFont="1" applyFill="1" applyBorder="1" applyAlignment="1">
      <alignment vertical="center"/>
    </xf>
    <xf numFmtId="0" fontId="28" fillId="0" borderId="11" xfId="42" applyNumberFormat="1" applyFont="1" applyFill="1" applyBorder="1" applyAlignment="1">
      <alignment horizontal="center" vertical="center"/>
    </xf>
    <xf numFmtId="9" fontId="29" fillId="0" borderId="11" xfId="59" applyFont="1" applyFill="1" applyBorder="1" applyAlignment="1">
      <alignment vertical="center"/>
    </xf>
    <xf numFmtId="0" fontId="27" fillId="20" borderId="11" xfId="42" applyNumberFormat="1" applyFont="1" applyFill="1" applyBorder="1" applyAlignment="1">
      <alignment horizontal="center" vertical="center"/>
    </xf>
    <xf numFmtId="43" fontId="28" fillId="0" borderId="11" xfId="42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%20SRL%2080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t8038"/>
      <sheetName val="Sheet1"/>
      <sheetName val="Sheet2"/>
      <sheetName val="Sheet3"/>
    </sheetNames>
    <sheetDataSet>
      <sheetData sheetId="0">
        <row r="1">
          <cell r="M1" t="str">
            <v>State of Florida</v>
          </cell>
        </row>
        <row r="2">
          <cell r="M2" t="str">
            <v>Department of Education</v>
          </cell>
        </row>
        <row r="3">
          <cell r="M3" t="str">
            <v>Lottery Revenue Bonds, Series 2001B</v>
          </cell>
        </row>
        <row r="8">
          <cell r="M8" t="str">
            <v>Net Interest Cost Calculation</v>
          </cell>
        </row>
        <row r="9">
          <cell r="M9" t="str">
            <v>Form 8038-G</v>
          </cell>
        </row>
        <row r="13">
          <cell r="M13" t="str">
            <v>Total Interest</v>
          </cell>
          <cell r="Q13">
            <v>127683068.75</v>
          </cell>
        </row>
        <row r="15">
          <cell r="M15" t="str">
            <v>Net Original Issue Discount/(Premium)</v>
          </cell>
          <cell r="Q15">
            <v>-6234274.85</v>
          </cell>
        </row>
        <row r="20">
          <cell r="M20" t="str">
            <v>Insurance Premium</v>
          </cell>
          <cell r="Q20">
            <v>606442</v>
          </cell>
        </row>
        <row r="22">
          <cell r="M22" t="str">
            <v>Surety Bond Premium</v>
          </cell>
        </row>
        <row r="24">
          <cell r="M24" t="str">
            <v>Less Accrued Interest</v>
          </cell>
          <cell r="Q24">
            <v>-1121923.13</v>
          </cell>
        </row>
        <row r="25">
          <cell r="Q25">
            <v>120933312.77000001</v>
          </cell>
        </row>
        <row r="29">
          <cell r="M29" t="str">
            <v>Issue Price</v>
          </cell>
          <cell r="Q29">
            <v>27350513.450000003</v>
          </cell>
        </row>
        <row r="31">
          <cell r="M31" t="str">
            <v>Weighted Average</v>
          </cell>
          <cell r="Q31">
            <v>8.500062007027065</v>
          </cell>
        </row>
        <row r="32">
          <cell r="Q32" t="str">
            <v> </v>
          </cell>
        </row>
        <row r="33">
          <cell r="Q33">
            <v>232481060.24902776</v>
          </cell>
        </row>
        <row r="36">
          <cell r="M36" t="str">
            <v>Net Interest Cost</v>
          </cell>
          <cell r="Q36">
            <v>52.01856557280809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80" sqref="A80"/>
    </sheetView>
  </sheetViews>
  <sheetFormatPr defaultColWidth="9.140625" defaultRowHeight="12.75"/>
  <cols>
    <col min="1" max="1" width="60.8515625" style="44" customWidth="1"/>
    <col min="2" max="2" width="14.28125" style="44" customWidth="1"/>
    <col min="3" max="3" width="2.28125" style="44" customWidth="1"/>
    <col min="4" max="4" width="14.28125" style="44" customWidth="1"/>
    <col min="5" max="5" width="2.28125" style="44" customWidth="1"/>
    <col min="6" max="6" width="14.28125" style="44" customWidth="1"/>
    <col min="7" max="7" width="2.28125" style="44" customWidth="1"/>
    <col min="8" max="8" width="14.28125" style="44" customWidth="1"/>
    <col min="9" max="9" width="2.28125" style="44" customWidth="1"/>
    <col min="10" max="10" width="14.28125" style="44" customWidth="1"/>
    <col min="11" max="11" width="2.28125" style="44" customWidth="1"/>
    <col min="12" max="12" width="14.28125" style="44" customWidth="1"/>
    <col min="13" max="13" width="2.28125" style="44" customWidth="1"/>
    <col min="14" max="14" width="14.28125" style="44" customWidth="1"/>
    <col min="15" max="15" width="2.28125" style="44" customWidth="1"/>
    <col min="16" max="16" width="14.28125" style="44" customWidth="1"/>
    <col min="17" max="17" width="2.28125" style="44" customWidth="1"/>
    <col min="18" max="18" width="14.28125" style="44" customWidth="1"/>
    <col min="19" max="16384" width="9.140625" style="44" customWidth="1"/>
  </cols>
  <sheetData>
    <row r="1" s="1" customFormat="1" ht="12.75" customHeight="1">
      <c r="R1" s="2" t="s">
        <v>0</v>
      </c>
    </row>
    <row r="2" spans="1:18" s="1" customFormat="1" ht="15" customHeight="1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1" customFormat="1" ht="15" customHeight="1">
      <c r="A3" s="70" t="s">
        <v>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1" customFormat="1" ht="15" customHeight="1">
      <c r="A4" s="70" t="s">
        <v>18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s="1" customFormat="1" ht="15" customHeight="1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s="1" customFormat="1" ht="15" customHeight="1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2:16" s="1" customFormat="1" ht="12.75" customHeight="1">
      <c r="B7" s="3"/>
      <c r="C7" s="3"/>
      <c r="D7" s="4"/>
      <c r="E7" s="5"/>
      <c r="F7" s="3"/>
      <c r="G7" s="3"/>
      <c r="J7" s="4"/>
      <c r="K7" s="4"/>
      <c r="L7" s="4"/>
      <c r="N7" s="4"/>
      <c r="P7" s="4"/>
    </row>
    <row r="8" spans="1:18" s="1" customFormat="1" ht="16.5">
      <c r="A8" s="6" t="s">
        <v>19</v>
      </c>
      <c r="B8" s="72" t="s">
        <v>42</v>
      </c>
      <c r="C8" s="72"/>
      <c r="D8" s="72"/>
      <c r="E8" s="51"/>
      <c r="F8" s="71" t="s">
        <v>3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1" customFormat="1" ht="16.5" customHeight="1">
      <c r="A9" s="8"/>
      <c r="B9" s="9" t="s">
        <v>4</v>
      </c>
      <c r="C9" s="10"/>
      <c r="D9" s="9" t="s">
        <v>5</v>
      </c>
      <c r="E9" s="10"/>
      <c r="F9" s="62" t="s">
        <v>6</v>
      </c>
      <c r="G9" s="63"/>
      <c r="H9" s="9" t="s">
        <v>7</v>
      </c>
      <c r="I9" s="10"/>
      <c r="J9" s="11" t="s">
        <v>8</v>
      </c>
      <c r="K9" s="10"/>
      <c r="L9" s="9" t="s">
        <v>9</v>
      </c>
      <c r="M9" s="10"/>
      <c r="N9" s="9" t="s">
        <v>10</v>
      </c>
      <c r="O9" s="10"/>
      <c r="P9" s="9" t="s">
        <v>24</v>
      </c>
      <c r="Q9" s="10"/>
      <c r="R9" s="11" t="s">
        <v>25</v>
      </c>
    </row>
    <row r="10" spans="1:18" s="1" customFormat="1" ht="15" customHeight="1">
      <c r="A10" s="12" t="s">
        <v>44</v>
      </c>
      <c r="B10" s="4"/>
      <c r="C10" s="13"/>
      <c r="D10" s="4"/>
      <c r="E10" s="13"/>
      <c r="F10" s="16"/>
      <c r="G10" s="64"/>
      <c r="H10" s="4"/>
      <c r="I10" s="13"/>
      <c r="J10" s="4"/>
      <c r="K10" s="13"/>
      <c r="L10" s="4"/>
      <c r="M10" s="13"/>
      <c r="N10" s="4"/>
      <c r="O10" s="13"/>
      <c r="P10" s="4"/>
      <c r="Q10" s="13"/>
      <c r="R10" s="4"/>
    </row>
    <row r="11" spans="1:18" s="1" customFormat="1" ht="14.25" customHeight="1">
      <c r="A11" s="49" t="s">
        <v>20</v>
      </c>
      <c r="B11" s="4">
        <f>1104065</f>
        <v>1104065</v>
      </c>
      <c r="C11" s="13"/>
      <c r="D11" s="4">
        <v>1322000</v>
      </c>
      <c r="E11" s="13"/>
      <c r="F11" s="16">
        <v>1200000</v>
      </c>
      <c r="G11" s="64"/>
      <c r="H11" s="4">
        <v>1260000</v>
      </c>
      <c r="I11" s="13"/>
      <c r="J11" s="4">
        <f>1104233+218768</f>
        <v>1323001</v>
      </c>
      <c r="K11" s="13"/>
      <c r="L11" s="4">
        <f>1159444+229706</f>
        <v>1389150</v>
      </c>
      <c r="M11" s="13"/>
      <c r="N11" s="4">
        <f>1217416+241191</f>
        <v>1458607</v>
      </c>
      <c r="O11" s="13"/>
      <c r="P11" s="4">
        <f>1278287+253251</f>
        <v>1531538</v>
      </c>
      <c r="Q11" s="13"/>
      <c r="R11" s="4">
        <f>1342202+265913</f>
        <v>1608115</v>
      </c>
    </row>
    <row r="12" spans="1:18" s="1" customFormat="1" ht="14.25" customHeight="1">
      <c r="A12" s="49" t="s">
        <v>21</v>
      </c>
      <c r="B12" s="4">
        <v>4039032</v>
      </c>
      <c r="C12" s="13"/>
      <c r="D12" s="4">
        <v>4496266</v>
      </c>
      <c r="E12" s="13"/>
      <c r="F12" s="16">
        <v>4800000</v>
      </c>
      <c r="G12" s="64"/>
      <c r="H12" s="4">
        <v>5040000</v>
      </c>
      <c r="I12" s="13"/>
      <c r="J12" s="4">
        <f>1635464+3656536</f>
        <v>5292000</v>
      </c>
      <c r="K12" s="13"/>
      <c r="L12" s="4">
        <f>1717237+3839363</f>
        <v>5556600</v>
      </c>
      <c r="M12" s="13"/>
      <c r="N12" s="4">
        <f>1803099+4031331</f>
        <v>5834430</v>
      </c>
      <c r="O12" s="13"/>
      <c r="P12" s="4">
        <f>1893253+4232898</f>
        <v>6126151</v>
      </c>
      <c r="Q12" s="13"/>
      <c r="R12" s="4">
        <f>1987916+4444543</f>
        <v>6432459</v>
      </c>
    </row>
    <row r="13" spans="1:18" s="1" customFormat="1" ht="14.25" customHeight="1">
      <c r="A13" s="49" t="s">
        <v>22</v>
      </c>
      <c r="B13" s="4">
        <v>2069855</v>
      </c>
      <c r="C13" s="13"/>
      <c r="D13" s="4">
        <v>2592000</v>
      </c>
      <c r="E13" s="13"/>
      <c r="F13" s="16">
        <v>2000000</v>
      </c>
      <c r="G13" s="64"/>
      <c r="H13" s="4">
        <v>2100000</v>
      </c>
      <c r="I13" s="13"/>
      <c r="J13" s="4">
        <f>1407721+797279</f>
        <v>2205000</v>
      </c>
      <c r="K13" s="13"/>
      <c r="L13" s="4">
        <f>1478107+837143</f>
        <v>2315250</v>
      </c>
      <c r="M13" s="13"/>
      <c r="N13" s="4">
        <f>1552012+879000</f>
        <v>2431012</v>
      </c>
      <c r="O13" s="13"/>
      <c r="P13" s="4">
        <f>1629613+922950</f>
        <v>2552563</v>
      </c>
      <c r="Q13" s="13"/>
      <c r="R13" s="4">
        <f>1711094+969098</f>
        <v>2680192</v>
      </c>
    </row>
    <row r="14" spans="1:18" s="1" customFormat="1" ht="14.25" customHeight="1">
      <c r="A14" s="49" t="s">
        <v>23</v>
      </c>
      <c r="B14" s="15">
        <v>131746</v>
      </c>
      <c r="C14" s="13"/>
      <c r="D14" s="15">
        <v>204734</v>
      </c>
      <c r="E14" s="13"/>
      <c r="F14" s="15">
        <v>550000</v>
      </c>
      <c r="G14" s="64"/>
      <c r="H14" s="15">
        <v>214971</v>
      </c>
      <c r="I14" s="13"/>
      <c r="J14" s="15">
        <f>181568+167664</f>
        <v>349232</v>
      </c>
      <c r="K14" s="13"/>
      <c r="L14" s="15">
        <f>190646+176047</f>
        <v>366693</v>
      </c>
      <c r="M14" s="13"/>
      <c r="N14" s="15">
        <f>200178+184850</f>
        <v>385028</v>
      </c>
      <c r="O14" s="13"/>
      <c r="P14" s="15">
        <f>210187+194092</f>
        <v>404279</v>
      </c>
      <c r="Q14" s="13"/>
      <c r="R14" s="15">
        <f>220697+203797</f>
        <v>424494</v>
      </c>
    </row>
    <row r="15" spans="1:18" s="1" customFormat="1" ht="15" customHeight="1">
      <c r="A15" s="14"/>
      <c r="B15" s="4">
        <f>SUM(B11:B14)</f>
        <v>7344698</v>
      </c>
      <c r="C15" s="13"/>
      <c r="D15" s="4">
        <f>SUM(D11:D14)</f>
        <v>8615000</v>
      </c>
      <c r="E15" s="13"/>
      <c r="F15" s="16">
        <f>SUM(F11:F14)</f>
        <v>8550000</v>
      </c>
      <c r="G15" s="64"/>
      <c r="H15" s="4">
        <f>SUM(H11:H14)</f>
        <v>8614971</v>
      </c>
      <c r="I15" s="13"/>
      <c r="J15" s="4">
        <f>SUM(J11:J14)</f>
        <v>9169233</v>
      </c>
      <c r="K15" s="13"/>
      <c r="L15" s="4">
        <f>SUM(L11:L14)</f>
        <v>9627693</v>
      </c>
      <c r="M15" s="13"/>
      <c r="N15" s="4">
        <f>SUM(N11:N14)</f>
        <v>10109077</v>
      </c>
      <c r="O15" s="13"/>
      <c r="P15" s="4">
        <f>SUM(P11:P14)</f>
        <v>10614531</v>
      </c>
      <c r="Q15" s="13"/>
      <c r="R15" s="4">
        <f>SUM(R11:R14)</f>
        <v>11145260</v>
      </c>
    </row>
    <row r="16" spans="1:18" s="1" customFormat="1" ht="15" customHeight="1">
      <c r="A16" s="12" t="s">
        <v>52</v>
      </c>
      <c r="B16" s="4"/>
      <c r="C16" s="13"/>
      <c r="D16" s="4"/>
      <c r="E16" s="13"/>
      <c r="F16" s="16"/>
      <c r="G16" s="64"/>
      <c r="H16" s="4"/>
      <c r="I16" s="13"/>
      <c r="J16" s="4"/>
      <c r="K16" s="13"/>
      <c r="L16" s="4"/>
      <c r="M16" s="13"/>
      <c r="N16" s="4"/>
      <c r="O16" s="13"/>
      <c r="P16" s="4"/>
      <c r="Q16" s="13"/>
      <c r="R16" s="4"/>
    </row>
    <row r="17" spans="1:18" s="1" customFormat="1" ht="14.25" customHeight="1">
      <c r="A17" s="49" t="s">
        <v>20</v>
      </c>
      <c r="B17" s="4">
        <v>0</v>
      </c>
      <c r="C17" s="13"/>
      <c r="D17" s="4">
        <v>0</v>
      </c>
      <c r="E17" s="13"/>
      <c r="F17" s="16">
        <v>0</v>
      </c>
      <c r="G17" s="64"/>
      <c r="H17" s="4">
        <v>0</v>
      </c>
      <c r="I17" s="13"/>
      <c r="J17" s="4">
        <v>76600</v>
      </c>
      <c r="K17" s="13"/>
      <c r="L17" s="4">
        <v>89622</v>
      </c>
      <c r="M17" s="13"/>
      <c r="N17" s="4">
        <v>101273</v>
      </c>
      <c r="O17" s="13"/>
      <c r="P17" s="4">
        <v>112413</v>
      </c>
      <c r="Q17" s="13"/>
      <c r="R17" s="4">
        <v>124778</v>
      </c>
    </row>
    <row r="18" spans="1:18" s="1" customFormat="1" ht="14.25" customHeight="1">
      <c r="A18" s="49" t="s">
        <v>21</v>
      </c>
      <c r="B18" s="4">
        <v>0</v>
      </c>
      <c r="C18" s="13"/>
      <c r="D18" s="4">
        <v>0</v>
      </c>
      <c r="E18" s="13"/>
      <c r="F18" s="16">
        <v>0</v>
      </c>
      <c r="G18" s="64"/>
      <c r="H18" s="4">
        <v>0</v>
      </c>
      <c r="I18" s="13"/>
      <c r="J18" s="4">
        <v>2837255</v>
      </c>
      <c r="K18" s="13"/>
      <c r="L18" s="4">
        <v>3319588</v>
      </c>
      <c r="M18" s="13"/>
      <c r="N18" s="4">
        <v>3751135</v>
      </c>
      <c r="O18" s="13"/>
      <c r="P18" s="4">
        <v>4163760</v>
      </c>
      <c r="Q18" s="13"/>
      <c r="R18" s="4">
        <v>4621773</v>
      </c>
    </row>
    <row r="19" spans="1:18" s="1" customFormat="1" ht="14.25" customHeight="1">
      <c r="A19" s="49" t="s">
        <v>26</v>
      </c>
      <c r="B19" s="4">
        <v>0</v>
      </c>
      <c r="C19" s="13"/>
      <c r="D19" s="4">
        <v>0</v>
      </c>
      <c r="E19" s="13"/>
      <c r="F19" s="16">
        <v>0</v>
      </c>
      <c r="G19" s="64"/>
      <c r="H19" s="4">
        <v>0</v>
      </c>
      <c r="I19" s="13"/>
      <c r="J19" s="4">
        <v>1714775</v>
      </c>
      <c r="K19" s="13"/>
      <c r="L19" s="4">
        <v>2006287</v>
      </c>
      <c r="M19" s="13"/>
      <c r="N19" s="4">
        <v>2267104</v>
      </c>
      <c r="O19" s="13"/>
      <c r="P19" s="4">
        <v>2516485</v>
      </c>
      <c r="Q19" s="13"/>
      <c r="R19" s="4">
        <v>2793299</v>
      </c>
    </row>
    <row r="20" spans="1:18" s="1" customFormat="1" ht="14.25" customHeight="1">
      <c r="A20" s="49" t="s">
        <v>27</v>
      </c>
      <c r="B20" s="4">
        <v>0</v>
      </c>
      <c r="C20" s="13"/>
      <c r="D20" s="4">
        <v>0</v>
      </c>
      <c r="E20" s="13"/>
      <c r="F20" s="16">
        <v>0</v>
      </c>
      <c r="G20" s="64"/>
      <c r="H20" s="4">
        <v>0</v>
      </c>
      <c r="I20" s="13"/>
      <c r="J20" s="4">
        <v>168160</v>
      </c>
      <c r="K20" s="13"/>
      <c r="L20" s="4">
        <v>196747</v>
      </c>
      <c r="M20" s="13"/>
      <c r="N20" s="4">
        <v>222324</v>
      </c>
      <c r="O20" s="13"/>
      <c r="P20" s="4">
        <v>246780</v>
      </c>
      <c r="Q20" s="13"/>
      <c r="R20" s="4">
        <v>273926</v>
      </c>
    </row>
    <row r="21" spans="1:18" s="1" customFormat="1" ht="14.25" customHeight="1">
      <c r="A21" s="49" t="s">
        <v>28</v>
      </c>
      <c r="B21" s="4">
        <v>0</v>
      </c>
      <c r="C21" s="13"/>
      <c r="D21" s="4">
        <v>0</v>
      </c>
      <c r="E21" s="13"/>
      <c r="F21" s="16">
        <v>0</v>
      </c>
      <c r="G21" s="64"/>
      <c r="H21" s="4">
        <v>0</v>
      </c>
      <c r="I21" s="13"/>
      <c r="J21" s="4">
        <v>350000</v>
      </c>
      <c r="K21" s="13"/>
      <c r="L21" s="4">
        <v>400000</v>
      </c>
      <c r="M21" s="13"/>
      <c r="N21" s="4">
        <v>550000</v>
      </c>
      <c r="O21" s="13"/>
      <c r="P21" s="4">
        <v>550000</v>
      </c>
      <c r="Q21" s="13"/>
      <c r="R21" s="4">
        <v>600000</v>
      </c>
    </row>
    <row r="22" spans="1:18" s="1" customFormat="1" ht="14.25" customHeight="1">
      <c r="A22" s="49" t="s">
        <v>29</v>
      </c>
      <c r="B22" s="4">
        <v>0</v>
      </c>
      <c r="C22" s="13"/>
      <c r="D22" s="4">
        <v>0</v>
      </c>
      <c r="E22" s="13"/>
      <c r="F22" s="16">
        <v>0</v>
      </c>
      <c r="G22" s="64"/>
      <c r="H22" s="4">
        <v>0</v>
      </c>
      <c r="I22" s="13"/>
      <c r="J22" s="4">
        <v>220000</v>
      </c>
      <c r="K22" s="13"/>
      <c r="L22" s="4">
        <v>275000</v>
      </c>
      <c r="M22" s="13"/>
      <c r="N22" s="4">
        <v>300000</v>
      </c>
      <c r="O22" s="13"/>
      <c r="P22" s="4">
        <v>300000</v>
      </c>
      <c r="Q22" s="13"/>
      <c r="R22" s="4">
        <v>300000</v>
      </c>
    </row>
    <row r="23" spans="1:18" s="1" customFormat="1" ht="14.25" customHeight="1">
      <c r="A23" s="49" t="s">
        <v>30</v>
      </c>
      <c r="B23" s="15">
        <v>0</v>
      </c>
      <c r="C23" s="13"/>
      <c r="D23" s="15">
        <v>0</v>
      </c>
      <c r="E23" s="13"/>
      <c r="F23" s="15">
        <v>0</v>
      </c>
      <c r="G23" s="64"/>
      <c r="H23" s="15">
        <v>0</v>
      </c>
      <c r="I23" s="13"/>
      <c r="J23" s="15">
        <v>12000</v>
      </c>
      <c r="K23" s="13"/>
      <c r="L23" s="15">
        <v>15000</v>
      </c>
      <c r="M23" s="13"/>
      <c r="N23" s="15">
        <v>20000</v>
      </c>
      <c r="O23" s="13"/>
      <c r="P23" s="15">
        <v>20000</v>
      </c>
      <c r="Q23" s="13"/>
      <c r="R23" s="15">
        <v>20000</v>
      </c>
    </row>
    <row r="24" spans="1:18" s="1" customFormat="1" ht="15" customHeight="1">
      <c r="A24" s="14"/>
      <c r="B24" s="4">
        <f>SUM(B17:B23)</f>
        <v>0</v>
      </c>
      <c r="C24" s="13"/>
      <c r="D24" s="4">
        <f>SUM(D17:D23)</f>
        <v>0</v>
      </c>
      <c r="E24" s="13"/>
      <c r="F24" s="16">
        <f>SUM(F17:F23)</f>
        <v>0</v>
      </c>
      <c r="G24" s="64"/>
      <c r="H24" s="4">
        <f>SUM(H17:H23)</f>
        <v>0</v>
      </c>
      <c r="I24" s="13"/>
      <c r="J24" s="4">
        <f>SUM(J17:J23)</f>
        <v>5378790</v>
      </c>
      <c r="K24" s="13"/>
      <c r="L24" s="4">
        <f>SUM(L17:L23)</f>
        <v>6302244</v>
      </c>
      <c r="M24" s="13"/>
      <c r="N24" s="4">
        <f>SUM(N17:N23)</f>
        <v>7211836</v>
      </c>
      <c r="O24" s="13"/>
      <c r="P24" s="4">
        <f>SUM(P17:P23)</f>
        <v>7909438</v>
      </c>
      <c r="Q24" s="13"/>
      <c r="R24" s="4">
        <f>SUM(R17:R23)</f>
        <v>8733776</v>
      </c>
    </row>
    <row r="25" spans="1:18" s="1" customFormat="1" ht="9" customHeight="1">
      <c r="A25" s="14"/>
      <c r="B25" s="16"/>
      <c r="C25" s="17"/>
      <c r="D25" s="16"/>
      <c r="E25" s="17"/>
      <c r="F25" s="16"/>
      <c r="G25" s="64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</row>
    <row r="26" spans="1:18" s="6" customFormat="1" ht="15" customHeight="1">
      <c r="A26" s="6" t="s">
        <v>31</v>
      </c>
      <c r="B26" s="18">
        <f>B15+B24</f>
        <v>7344698</v>
      </c>
      <c r="C26" s="19"/>
      <c r="D26" s="18">
        <f>D15+D24</f>
        <v>8615000</v>
      </c>
      <c r="E26" s="18"/>
      <c r="F26" s="60">
        <f>F15+F24</f>
        <v>8550000</v>
      </c>
      <c r="G26" s="52"/>
      <c r="H26" s="18">
        <f>H15+H24</f>
        <v>8614971</v>
      </c>
      <c r="I26" s="18"/>
      <c r="J26" s="18">
        <f>J15+J24</f>
        <v>14548023</v>
      </c>
      <c r="K26" s="18"/>
      <c r="L26" s="18">
        <f>L15+L24</f>
        <v>15929937</v>
      </c>
      <c r="M26" s="19"/>
      <c r="N26" s="18">
        <f>N15+N24</f>
        <v>17320913</v>
      </c>
      <c r="O26" s="19"/>
      <c r="P26" s="18">
        <f>P15+P24</f>
        <v>18523969</v>
      </c>
      <c r="Q26" s="19"/>
      <c r="R26" s="18">
        <f>R15+R24</f>
        <v>19879036</v>
      </c>
    </row>
    <row r="27" spans="1:18" s="1" customFormat="1" ht="9" customHeight="1">
      <c r="A27" s="8"/>
      <c r="B27" s="9"/>
      <c r="C27" s="10"/>
      <c r="D27" s="9"/>
      <c r="E27" s="10"/>
      <c r="F27" s="59"/>
      <c r="G27" s="65"/>
      <c r="H27" s="9"/>
      <c r="I27" s="10"/>
      <c r="J27" s="11"/>
      <c r="K27" s="10"/>
      <c r="L27" s="9"/>
      <c r="M27" s="10"/>
      <c r="N27" s="9"/>
      <c r="O27" s="10"/>
      <c r="P27" s="9"/>
      <c r="Q27" s="10"/>
      <c r="R27" s="11"/>
    </row>
    <row r="28" spans="1:18" s="1" customFormat="1" ht="15" customHeight="1">
      <c r="A28" s="6" t="s">
        <v>32</v>
      </c>
      <c r="B28" s="20"/>
      <c r="C28" s="20"/>
      <c r="D28" s="20"/>
      <c r="E28" s="21"/>
      <c r="F28" s="20"/>
      <c r="G28" s="53"/>
      <c r="H28" s="20"/>
      <c r="I28" s="20"/>
      <c r="J28" s="20"/>
      <c r="K28" s="20"/>
      <c r="L28" s="20"/>
      <c r="N28" s="20"/>
      <c r="P28" s="20"/>
      <c r="R28" s="4"/>
    </row>
    <row r="29" spans="1:18" s="1" customFormat="1" ht="15" customHeight="1">
      <c r="A29" s="49" t="s">
        <v>33</v>
      </c>
      <c r="B29" s="15"/>
      <c r="C29" s="4"/>
      <c r="D29" s="15"/>
      <c r="E29" s="13"/>
      <c r="F29" s="15">
        <v>0</v>
      </c>
      <c r="G29" s="64"/>
      <c r="H29" s="15">
        <v>550000</v>
      </c>
      <c r="I29" s="13"/>
      <c r="J29" s="15">
        <v>1673587</v>
      </c>
      <c r="K29" s="13"/>
      <c r="L29" s="15">
        <v>1673587</v>
      </c>
      <c r="M29" s="13"/>
      <c r="N29" s="15">
        <v>1673587</v>
      </c>
      <c r="O29" s="13"/>
      <c r="P29" s="15">
        <v>1673587</v>
      </c>
      <c r="Q29" s="13"/>
      <c r="R29" s="15">
        <v>1673587</v>
      </c>
    </row>
    <row r="30" spans="1:18" s="1" customFormat="1" ht="15" customHeight="1">
      <c r="A30" s="14" t="s">
        <v>11</v>
      </c>
      <c r="B30" s="4"/>
      <c r="C30" s="4"/>
      <c r="D30" s="4"/>
      <c r="E30" s="13"/>
      <c r="F30" s="16">
        <f>SUM(F29:F29)</f>
        <v>0</v>
      </c>
      <c r="G30" s="64"/>
      <c r="H30" s="4">
        <f>SUM(H29:H29)</f>
        <v>550000</v>
      </c>
      <c r="I30" s="13"/>
      <c r="J30" s="4">
        <f>SUM(J29:J29)</f>
        <v>1673587</v>
      </c>
      <c r="K30" s="13"/>
      <c r="L30" s="4">
        <f>SUM(L29:L29)</f>
        <v>1673587</v>
      </c>
      <c r="M30" s="13"/>
      <c r="N30" s="4">
        <f>SUM(N29:N29)</f>
        <v>1673587</v>
      </c>
      <c r="O30" s="13"/>
      <c r="P30" s="4">
        <f>SUM(P29:P29)</f>
        <v>1673587</v>
      </c>
      <c r="Q30" s="13"/>
      <c r="R30" s="4">
        <f>SUM(R29:R29)</f>
        <v>1673587</v>
      </c>
    </row>
    <row r="31" spans="1:18" s="1" customFormat="1" ht="9" customHeight="1">
      <c r="A31" s="14"/>
      <c r="B31" s="4"/>
      <c r="C31" s="4"/>
      <c r="D31" s="4"/>
      <c r="E31" s="13"/>
      <c r="F31" s="16"/>
      <c r="G31" s="64"/>
      <c r="H31" s="4"/>
      <c r="I31" s="13"/>
      <c r="J31" s="4"/>
      <c r="K31" s="13"/>
      <c r="L31" s="4"/>
      <c r="M31" s="13"/>
      <c r="N31" s="4"/>
      <c r="O31" s="13"/>
      <c r="P31" s="4"/>
      <c r="Q31" s="13"/>
      <c r="R31" s="4"/>
    </row>
    <row r="32" spans="1:18" s="1" customFormat="1" ht="15" customHeight="1">
      <c r="A32" s="49" t="s">
        <v>53</v>
      </c>
      <c r="B32" s="4"/>
      <c r="C32" s="4"/>
      <c r="D32" s="4"/>
      <c r="E32" s="13"/>
      <c r="F32" s="16"/>
      <c r="G32" s="64"/>
      <c r="H32" s="4">
        <v>1673587</v>
      </c>
      <c r="I32" s="13"/>
      <c r="J32" s="4">
        <v>1673587</v>
      </c>
      <c r="K32" s="13"/>
      <c r="L32" s="4">
        <v>1673587</v>
      </c>
      <c r="M32" s="13"/>
      <c r="N32" s="4">
        <v>1673587</v>
      </c>
      <c r="O32" s="13"/>
      <c r="P32" s="4">
        <v>1673587</v>
      </c>
      <c r="Q32" s="13"/>
      <c r="R32" s="4">
        <v>1673587</v>
      </c>
    </row>
    <row r="33" spans="1:18" s="1" customFormat="1" ht="9" customHeight="1">
      <c r="A33" s="14"/>
      <c r="B33" s="4"/>
      <c r="C33" s="4"/>
      <c r="D33" s="4"/>
      <c r="E33" s="13"/>
      <c r="F33" s="16"/>
      <c r="G33" s="64"/>
      <c r="H33" s="4"/>
      <c r="I33" s="13"/>
      <c r="J33" s="4"/>
      <c r="K33" s="13"/>
      <c r="L33" s="4"/>
      <c r="M33" s="13"/>
      <c r="N33" s="4"/>
      <c r="O33" s="13"/>
      <c r="P33" s="4"/>
      <c r="Q33" s="13"/>
      <c r="R33" s="4"/>
    </row>
    <row r="34" spans="1:18" s="6" customFormat="1" ht="15" customHeight="1">
      <c r="A34" s="22" t="s">
        <v>12</v>
      </c>
      <c r="B34" s="23"/>
      <c r="C34" s="23"/>
      <c r="D34" s="23"/>
      <c r="E34" s="19"/>
      <c r="F34" s="32">
        <f>F26-F30</f>
        <v>8550000</v>
      </c>
      <c r="G34" s="66"/>
      <c r="H34" s="23">
        <f>H26-H30</f>
        <v>8064971</v>
      </c>
      <c r="I34" s="23" t="s">
        <v>13</v>
      </c>
      <c r="J34" s="23">
        <f>J26-J30</f>
        <v>12874436</v>
      </c>
      <c r="K34" s="23" t="s">
        <v>13</v>
      </c>
      <c r="L34" s="23">
        <f>L26-L30</f>
        <v>14256350</v>
      </c>
      <c r="M34" s="23" t="s">
        <v>13</v>
      </c>
      <c r="N34" s="23">
        <f>N26-N30</f>
        <v>15647326</v>
      </c>
      <c r="O34" s="23"/>
      <c r="P34" s="23">
        <f>P26-P30</f>
        <v>16850382</v>
      </c>
      <c r="Q34" s="23"/>
      <c r="R34" s="23">
        <f>R26-R30</f>
        <v>18205449</v>
      </c>
    </row>
    <row r="35" spans="1:18" s="1" customFormat="1" ht="9" customHeight="1">
      <c r="A35" s="14"/>
      <c r="B35" s="4"/>
      <c r="C35" s="4"/>
      <c r="D35" s="4"/>
      <c r="E35" s="13"/>
      <c r="F35" s="16"/>
      <c r="G35" s="6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6" s="1" customFormat="1" ht="15" customHeight="1">
      <c r="A36" s="6" t="s">
        <v>34</v>
      </c>
      <c r="B36" s="20"/>
      <c r="C36" s="20"/>
      <c r="D36" s="20"/>
      <c r="E36" s="21"/>
      <c r="F36" s="20"/>
      <c r="G36" s="53"/>
      <c r="H36" s="20"/>
      <c r="I36" s="20"/>
      <c r="J36" s="20"/>
      <c r="K36" s="20"/>
      <c r="L36" s="20"/>
      <c r="N36" s="20"/>
      <c r="P36" s="20"/>
    </row>
    <row r="37" spans="1:18" s="1" customFormat="1" ht="15" customHeight="1">
      <c r="A37" s="49" t="s">
        <v>46</v>
      </c>
      <c r="B37" s="24"/>
      <c r="C37" s="24"/>
      <c r="D37" s="24"/>
      <c r="E37" s="25"/>
      <c r="F37" s="24"/>
      <c r="G37" s="54"/>
      <c r="H37" s="24">
        <f>H26/H30</f>
        <v>15.663583636363636</v>
      </c>
      <c r="I37" s="24"/>
      <c r="J37" s="24">
        <f>J26/J30</f>
        <v>8.692719888479058</v>
      </c>
      <c r="K37" s="24"/>
      <c r="L37" s="24">
        <f>L26/L30</f>
        <v>9.518439734534267</v>
      </c>
      <c r="M37" s="24"/>
      <c r="N37" s="24">
        <f>N26/N30</f>
        <v>10.3495742976015</v>
      </c>
      <c r="O37" s="24"/>
      <c r="P37" s="24">
        <f>P26/P30</f>
        <v>11.068423093630626</v>
      </c>
      <c r="Q37" s="24"/>
      <c r="R37" s="24">
        <f>R26/R30</f>
        <v>11.87810134758456</v>
      </c>
    </row>
    <row r="38" spans="1:18" s="1" customFormat="1" ht="15" customHeight="1">
      <c r="A38" s="49" t="s">
        <v>47</v>
      </c>
      <c r="B38" s="24"/>
      <c r="C38" s="24"/>
      <c r="D38" s="24"/>
      <c r="E38" s="25"/>
      <c r="F38" s="24"/>
      <c r="G38" s="54"/>
      <c r="H38" s="24">
        <f>H26/H32</f>
        <v>5.147608699159351</v>
      </c>
      <c r="I38" s="24"/>
      <c r="J38" s="24">
        <f>J26/J32</f>
        <v>8.692719888479058</v>
      </c>
      <c r="K38" s="24"/>
      <c r="L38" s="24">
        <f>L26/L32</f>
        <v>9.518439734534267</v>
      </c>
      <c r="M38" s="24"/>
      <c r="N38" s="24">
        <f>N26/N32</f>
        <v>10.3495742976015</v>
      </c>
      <c r="O38" s="24"/>
      <c r="P38" s="24">
        <f>P26/P32</f>
        <v>11.068423093630626</v>
      </c>
      <c r="Q38" s="24"/>
      <c r="R38" s="24">
        <f>R26/R32</f>
        <v>11.87810134758456</v>
      </c>
    </row>
    <row r="39" spans="1:18" s="1" customFormat="1" ht="13.5" customHeight="1">
      <c r="A39" s="26"/>
      <c r="B39" s="27"/>
      <c r="C39" s="28"/>
      <c r="D39" s="27"/>
      <c r="E39" s="28"/>
      <c r="F39" s="61"/>
      <c r="G39" s="67"/>
      <c r="H39" s="27"/>
      <c r="I39" s="28"/>
      <c r="J39" s="29"/>
      <c r="K39" s="28"/>
      <c r="L39" s="27"/>
      <c r="M39" s="28"/>
      <c r="N39" s="27"/>
      <c r="O39" s="28"/>
      <c r="P39" s="27"/>
      <c r="Q39" s="28"/>
      <c r="R39" s="29"/>
    </row>
    <row r="40" spans="6:7" s="1" customFormat="1" ht="9" customHeight="1">
      <c r="F40" s="20"/>
      <c r="G40" s="53"/>
    </row>
    <row r="41" spans="1:18" s="6" customFormat="1" ht="15" customHeight="1">
      <c r="A41" s="6" t="s">
        <v>35</v>
      </c>
      <c r="B41" s="18">
        <f>B26</f>
        <v>7344698</v>
      </c>
      <c r="C41" s="19"/>
      <c r="D41" s="18">
        <f>D26</f>
        <v>8615000</v>
      </c>
      <c r="E41" s="18"/>
      <c r="F41" s="60">
        <f>F26</f>
        <v>8550000</v>
      </c>
      <c r="G41" s="52"/>
      <c r="H41" s="18">
        <f>H26</f>
        <v>8614971</v>
      </c>
      <c r="I41" s="18"/>
      <c r="J41" s="18">
        <f>J26</f>
        <v>14548023</v>
      </c>
      <c r="K41" s="18"/>
      <c r="L41" s="18">
        <f>L26</f>
        <v>15929937</v>
      </c>
      <c r="M41" s="19"/>
      <c r="N41" s="18">
        <f>N26</f>
        <v>17320913</v>
      </c>
      <c r="O41" s="19"/>
      <c r="P41" s="18">
        <f>P26</f>
        <v>18523969</v>
      </c>
      <c r="Q41" s="19"/>
      <c r="R41" s="18">
        <f>R26</f>
        <v>19879036</v>
      </c>
    </row>
    <row r="42" spans="1:18" s="1" customFormat="1" ht="6.75" customHeight="1">
      <c r="A42" s="14"/>
      <c r="B42" s="30"/>
      <c r="C42" s="31"/>
      <c r="D42" s="30"/>
      <c r="E42" s="31"/>
      <c r="F42" s="30"/>
      <c r="G42" s="68"/>
      <c r="H42" s="30"/>
      <c r="I42" s="31"/>
      <c r="J42" s="30"/>
      <c r="K42" s="31"/>
      <c r="L42" s="30"/>
      <c r="M42" s="31"/>
      <c r="N42" s="30"/>
      <c r="O42" s="31"/>
      <c r="P42" s="30"/>
      <c r="Q42" s="31"/>
      <c r="R42" s="4"/>
    </row>
    <row r="43" spans="1:18" s="1" customFormat="1" ht="15.75" customHeight="1">
      <c r="A43" s="12" t="s">
        <v>56</v>
      </c>
      <c r="B43" s="4"/>
      <c r="C43" s="31"/>
      <c r="D43" s="30"/>
      <c r="E43" s="31"/>
      <c r="F43" s="16"/>
      <c r="G43" s="68"/>
      <c r="H43" s="30"/>
      <c r="I43" s="31"/>
      <c r="J43" s="30"/>
      <c r="K43" s="31"/>
      <c r="L43" s="30"/>
      <c r="M43" s="31"/>
      <c r="N43" s="30"/>
      <c r="O43" s="31"/>
      <c r="P43" s="30"/>
      <c r="Q43" s="31"/>
      <c r="R43" s="4"/>
    </row>
    <row r="44" spans="1:18" s="1" customFormat="1" ht="14.25" customHeight="1">
      <c r="A44" s="49" t="s">
        <v>14</v>
      </c>
      <c r="B44" s="4">
        <v>2156198</v>
      </c>
      <c r="C44" s="13"/>
      <c r="D44" s="4">
        <v>2576000</v>
      </c>
      <c r="E44" s="13"/>
      <c r="F44" s="16">
        <v>2584145</v>
      </c>
      <c r="G44" s="64"/>
      <c r="H44" s="4">
        <v>2713353</v>
      </c>
      <c r="I44" s="13"/>
      <c r="J44" s="4">
        <v>2849020</v>
      </c>
      <c r="K44" s="13"/>
      <c r="L44" s="4">
        <v>2991471</v>
      </c>
      <c r="M44" s="13"/>
      <c r="N44" s="4">
        <v>3141045</v>
      </c>
      <c r="O44" s="13"/>
      <c r="P44" s="4">
        <v>3298097</v>
      </c>
      <c r="Q44" s="13"/>
      <c r="R44" s="4">
        <v>3463002</v>
      </c>
    </row>
    <row r="45" spans="1:18" s="1" customFormat="1" ht="14.25" customHeight="1">
      <c r="A45" s="49" t="s">
        <v>36</v>
      </c>
      <c r="B45" s="4">
        <v>637848</v>
      </c>
      <c r="C45" s="13"/>
      <c r="D45" s="4">
        <v>651000</v>
      </c>
      <c r="E45" s="13"/>
      <c r="F45" s="16">
        <v>683550</v>
      </c>
      <c r="G45" s="64"/>
      <c r="H45" s="4">
        <v>717728</v>
      </c>
      <c r="I45" s="13"/>
      <c r="J45" s="4">
        <v>753614</v>
      </c>
      <c r="K45" s="13"/>
      <c r="L45" s="4">
        <v>791295</v>
      </c>
      <c r="M45" s="13"/>
      <c r="N45" s="4">
        <v>830859</v>
      </c>
      <c r="O45" s="13"/>
      <c r="P45" s="4">
        <v>872402</v>
      </c>
      <c r="Q45" s="13"/>
      <c r="R45" s="4">
        <v>916022</v>
      </c>
    </row>
    <row r="46" spans="1:18" s="1" customFormat="1" ht="14.25" customHeight="1">
      <c r="A46" s="49" t="s">
        <v>57</v>
      </c>
      <c r="B46" s="4">
        <f>10091093-5860555</f>
        <v>4230538</v>
      </c>
      <c r="C46" s="13"/>
      <c r="D46" s="4">
        <f>14795197-9958020</f>
        <v>4837177</v>
      </c>
      <c r="E46" s="17"/>
      <c r="F46" s="16">
        <f>15566186-10611000</f>
        <v>4955186</v>
      </c>
      <c r="G46" s="64"/>
      <c r="H46" s="4">
        <f>12482630-8400000</f>
        <v>4082630</v>
      </c>
      <c r="I46" s="13"/>
      <c r="J46" s="4">
        <f>13106761-8820000</f>
        <v>4286761</v>
      </c>
      <c r="K46" s="13"/>
      <c r="L46" s="4">
        <f>13762100-9261000</f>
        <v>4501100</v>
      </c>
      <c r="M46" s="13"/>
      <c r="N46" s="4">
        <f>14450205-9724050</f>
        <v>4726155</v>
      </c>
      <c r="O46" s="13"/>
      <c r="P46" s="4">
        <f>15172715-10210252</f>
        <v>4962463</v>
      </c>
      <c r="Q46" s="13"/>
      <c r="R46" s="4">
        <f>15931350-10720766</f>
        <v>5210584</v>
      </c>
    </row>
    <row r="47" spans="1:18" s="1" customFormat="1" ht="14.25" customHeight="1">
      <c r="A47" s="49" t="s">
        <v>45</v>
      </c>
      <c r="B47" s="15">
        <v>0</v>
      </c>
      <c r="C47" s="13"/>
      <c r="D47" s="15">
        <v>0</v>
      </c>
      <c r="E47" s="17"/>
      <c r="F47" s="15">
        <v>67007</v>
      </c>
      <c r="G47" s="64"/>
      <c r="H47" s="15">
        <v>58764</v>
      </c>
      <c r="I47" s="13"/>
      <c r="J47" s="15">
        <v>43287</v>
      </c>
      <c r="K47" s="13"/>
      <c r="L47" s="15">
        <v>27257</v>
      </c>
      <c r="M47" s="13"/>
      <c r="N47" s="15">
        <v>10653</v>
      </c>
      <c r="O47" s="13"/>
      <c r="P47" s="15">
        <v>120</v>
      </c>
      <c r="Q47" s="13"/>
      <c r="R47" s="15">
        <v>0</v>
      </c>
    </row>
    <row r="48" spans="1:18" s="1" customFormat="1" ht="15.75" customHeight="1">
      <c r="A48" s="14"/>
      <c r="B48" s="4">
        <f>SUM(B44:B47)</f>
        <v>7024584</v>
      </c>
      <c r="C48" s="13"/>
      <c r="D48" s="4">
        <f>SUM(D44:D47)</f>
        <v>8064177</v>
      </c>
      <c r="E48" s="13"/>
      <c r="F48" s="16">
        <f>SUM(F44:F47)</f>
        <v>8289888</v>
      </c>
      <c r="G48" s="64"/>
      <c r="H48" s="4">
        <f>SUM(H44:H47)</f>
        <v>7572475</v>
      </c>
      <c r="I48" s="13"/>
      <c r="J48" s="4">
        <f>SUM(J44:J47)</f>
        <v>7932682</v>
      </c>
      <c r="K48" s="13"/>
      <c r="L48" s="4">
        <f>SUM(L44:L47)</f>
        <v>8311123</v>
      </c>
      <c r="M48" s="13"/>
      <c r="N48" s="4">
        <f>SUM(N44:N47)</f>
        <v>8708712</v>
      </c>
      <c r="O48" s="13"/>
      <c r="P48" s="4">
        <f>SUM(P44:P47)</f>
        <v>9133082</v>
      </c>
      <c r="Q48" s="13"/>
      <c r="R48" s="4">
        <f>SUM(R44:R47)</f>
        <v>9589608</v>
      </c>
    </row>
    <row r="49" spans="1:18" s="1" customFormat="1" ht="15.75" customHeight="1">
      <c r="A49" s="12" t="s">
        <v>58</v>
      </c>
      <c r="B49" s="4"/>
      <c r="C49" s="13"/>
      <c r="D49" s="4"/>
      <c r="E49" s="17"/>
      <c r="F49" s="16"/>
      <c r="G49" s="64"/>
      <c r="H49" s="4"/>
      <c r="I49" s="13"/>
      <c r="J49" s="4"/>
      <c r="K49" s="13"/>
      <c r="L49" s="4"/>
      <c r="M49" s="13"/>
      <c r="N49" s="4"/>
      <c r="O49" s="13"/>
      <c r="P49" s="4"/>
      <c r="Q49" s="13"/>
      <c r="R49" s="4"/>
    </row>
    <row r="50" spans="1:18" s="1" customFormat="1" ht="14.25" customHeight="1">
      <c r="A50" s="49" t="s">
        <v>14</v>
      </c>
      <c r="B50" s="4">
        <v>0</v>
      </c>
      <c r="C50" s="13"/>
      <c r="D50" s="4">
        <v>0</v>
      </c>
      <c r="E50" s="13"/>
      <c r="F50" s="16">
        <v>0</v>
      </c>
      <c r="G50" s="64"/>
      <c r="H50" s="4">
        <v>48000</v>
      </c>
      <c r="I50" s="13"/>
      <c r="J50" s="4">
        <v>409431</v>
      </c>
      <c r="K50" s="13"/>
      <c r="L50" s="4">
        <v>520571</v>
      </c>
      <c r="M50" s="13"/>
      <c r="N50" s="4">
        <v>546600</v>
      </c>
      <c r="O50" s="13"/>
      <c r="P50" s="4">
        <v>573930</v>
      </c>
      <c r="Q50" s="13"/>
      <c r="R50" s="4">
        <v>602626</v>
      </c>
    </row>
    <row r="51" spans="1:18" s="1" customFormat="1" ht="14.25" customHeight="1">
      <c r="A51" s="49" t="s">
        <v>36</v>
      </c>
      <c r="B51" s="4">
        <v>0</v>
      </c>
      <c r="C51" s="13"/>
      <c r="D51" s="4">
        <v>0</v>
      </c>
      <c r="E51" s="13"/>
      <c r="F51" s="16">
        <v>0</v>
      </c>
      <c r="G51" s="64"/>
      <c r="H51" s="4">
        <v>0</v>
      </c>
      <c r="I51" s="13"/>
      <c r="J51" s="4">
        <v>600000</v>
      </c>
      <c r="K51" s="13"/>
      <c r="L51" s="4">
        <v>702000</v>
      </c>
      <c r="M51" s="13"/>
      <c r="N51" s="4">
        <v>793260</v>
      </c>
      <c r="O51" s="13"/>
      <c r="P51" s="4">
        <v>880519</v>
      </c>
      <c r="Q51" s="13"/>
      <c r="R51" s="4">
        <v>977376</v>
      </c>
    </row>
    <row r="52" spans="1:18" s="1" customFormat="1" ht="14.25" customHeight="1">
      <c r="A52" s="49" t="s">
        <v>57</v>
      </c>
      <c r="B52" s="4">
        <v>0</v>
      </c>
      <c r="C52" s="13"/>
      <c r="D52" s="4">
        <v>0</v>
      </c>
      <c r="E52" s="17"/>
      <c r="F52" s="16">
        <v>0</v>
      </c>
      <c r="G52" s="64"/>
      <c r="H52" s="4">
        <v>0</v>
      </c>
      <c r="I52" s="13"/>
      <c r="J52" s="4">
        <f>2000000-734500-200000</f>
        <v>1065500</v>
      </c>
      <c r="K52" s="13"/>
      <c r="L52" s="4">
        <f>2340000-859356-200000</f>
        <v>1280644</v>
      </c>
      <c r="M52" s="13"/>
      <c r="N52" s="4">
        <f>2644200-971082-200000</f>
        <v>1473118</v>
      </c>
      <c r="O52" s="13"/>
      <c r="P52" s="4">
        <f>2935062-1077902-200000</f>
        <v>1657160</v>
      </c>
      <c r="Q52" s="13"/>
      <c r="R52" s="4">
        <f>3257919-1196471-200000</f>
        <v>1861448</v>
      </c>
    </row>
    <row r="53" spans="1:18" s="1" customFormat="1" ht="14.25" customHeight="1">
      <c r="A53" s="49" t="s">
        <v>43</v>
      </c>
      <c r="B53" s="4">
        <v>0</v>
      </c>
      <c r="C53" s="13"/>
      <c r="D53" s="4">
        <v>0</v>
      </c>
      <c r="E53" s="13"/>
      <c r="F53" s="16">
        <v>0</v>
      </c>
      <c r="G53" s="64"/>
      <c r="H53" s="4">
        <v>0</v>
      </c>
      <c r="I53" s="13"/>
      <c r="J53" s="4">
        <v>360000</v>
      </c>
      <c r="K53" s="13"/>
      <c r="L53" s="4">
        <v>360000</v>
      </c>
      <c r="M53" s="13"/>
      <c r="N53" s="4">
        <v>360000</v>
      </c>
      <c r="O53" s="13"/>
      <c r="P53" s="4">
        <v>360000</v>
      </c>
      <c r="Q53" s="13"/>
      <c r="R53" s="4">
        <v>360000</v>
      </c>
    </row>
    <row r="54" spans="1:18" s="1" customFormat="1" ht="14.25" customHeight="1">
      <c r="A54" s="49" t="s">
        <v>33</v>
      </c>
      <c r="B54" s="15">
        <v>0</v>
      </c>
      <c r="C54" s="13"/>
      <c r="D54" s="15">
        <v>0</v>
      </c>
      <c r="E54" s="17"/>
      <c r="F54" s="15">
        <v>0</v>
      </c>
      <c r="G54" s="64"/>
      <c r="H54" s="15">
        <f>H30</f>
        <v>550000</v>
      </c>
      <c r="I54" s="13"/>
      <c r="J54" s="15">
        <f>J30</f>
        <v>1673587</v>
      </c>
      <c r="K54" s="13"/>
      <c r="L54" s="15">
        <f>L30</f>
        <v>1673587</v>
      </c>
      <c r="M54" s="13"/>
      <c r="N54" s="15">
        <f>N30</f>
        <v>1673587</v>
      </c>
      <c r="O54" s="13"/>
      <c r="P54" s="15">
        <f>P30</f>
        <v>1673587</v>
      </c>
      <c r="Q54" s="13"/>
      <c r="R54" s="15">
        <f>R30</f>
        <v>1673587</v>
      </c>
    </row>
    <row r="55" spans="1:18" s="1" customFormat="1" ht="15.75" customHeight="1">
      <c r="A55" s="14"/>
      <c r="B55" s="4">
        <f>SUM(B50:B54)</f>
        <v>0</v>
      </c>
      <c r="C55" s="13"/>
      <c r="D55" s="4">
        <f>SUM(D50:D54)</f>
        <v>0</v>
      </c>
      <c r="E55" s="13"/>
      <c r="F55" s="16">
        <f>SUM(F50:F54)</f>
        <v>0</v>
      </c>
      <c r="G55" s="64"/>
      <c r="H55" s="4">
        <f>SUM(H50:H54)</f>
        <v>598000</v>
      </c>
      <c r="I55" s="13"/>
      <c r="J55" s="4">
        <f>SUM(J50:J54)</f>
        <v>4108518</v>
      </c>
      <c r="K55" s="13"/>
      <c r="L55" s="4">
        <f>SUM(L50:L54)</f>
        <v>4536802</v>
      </c>
      <c r="M55" s="13"/>
      <c r="N55" s="4">
        <f>SUM(N50:N54)</f>
        <v>4846565</v>
      </c>
      <c r="O55" s="13"/>
      <c r="P55" s="4">
        <f>SUM(P50:P54)</f>
        <v>5145196</v>
      </c>
      <c r="Q55" s="13"/>
      <c r="R55" s="4">
        <f>SUM(R50:R54)</f>
        <v>5475037</v>
      </c>
    </row>
    <row r="56" spans="1:18" s="1" customFormat="1" ht="9" customHeight="1">
      <c r="A56" s="14"/>
      <c r="B56" s="4"/>
      <c r="C56" s="13"/>
      <c r="D56" s="4"/>
      <c r="E56" s="13"/>
      <c r="F56" s="16"/>
      <c r="G56" s="64"/>
      <c r="H56" s="4"/>
      <c r="I56" s="13"/>
      <c r="J56" s="4"/>
      <c r="K56" s="13"/>
      <c r="L56" s="4"/>
      <c r="M56" s="13"/>
      <c r="N56" s="4"/>
      <c r="O56" s="13"/>
      <c r="P56" s="4"/>
      <c r="Q56" s="13"/>
      <c r="R56" s="4"/>
    </row>
    <row r="57" spans="1:18" s="6" customFormat="1" ht="15" customHeight="1">
      <c r="A57" s="7" t="s">
        <v>37</v>
      </c>
      <c r="B57" s="32">
        <f>B48+B55</f>
        <v>7024584</v>
      </c>
      <c r="C57" s="19"/>
      <c r="D57" s="32">
        <f>D48+D55</f>
        <v>8064177</v>
      </c>
      <c r="E57" s="33"/>
      <c r="F57" s="32">
        <f>F48+F55</f>
        <v>8289888</v>
      </c>
      <c r="G57" s="66"/>
      <c r="H57" s="32">
        <f>H48+H55</f>
        <v>8170475</v>
      </c>
      <c r="I57" s="19"/>
      <c r="J57" s="32">
        <f>J48+J55</f>
        <v>12041200</v>
      </c>
      <c r="K57" s="19"/>
      <c r="L57" s="32">
        <f>L48+L55</f>
        <v>12847925</v>
      </c>
      <c r="M57" s="19"/>
      <c r="N57" s="32">
        <f>N48+N55</f>
        <v>13555277</v>
      </c>
      <c r="O57" s="19"/>
      <c r="P57" s="32">
        <f>P48+P55</f>
        <v>14278278</v>
      </c>
      <c r="Q57" s="19"/>
      <c r="R57" s="32">
        <f>R48+R55</f>
        <v>15064645</v>
      </c>
    </row>
    <row r="58" spans="2:18" s="1" customFormat="1" ht="9" customHeight="1">
      <c r="B58" s="16"/>
      <c r="C58" s="21"/>
      <c r="D58" s="16"/>
      <c r="E58" s="21"/>
      <c r="F58" s="16"/>
      <c r="G58" s="69"/>
      <c r="H58" s="16"/>
      <c r="I58" s="21"/>
      <c r="J58" s="16"/>
      <c r="K58" s="21"/>
      <c r="L58" s="16"/>
      <c r="M58" s="21"/>
      <c r="N58" s="16"/>
      <c r="O58" s="21"/>
      <c r="P58" s="16"/>
      <c r="Q58" s="21"/>
      <c r="R58" s="4"/>
    </row>
    <row r="59" spans="1:18" s="1" customFormat="1" ht="14.25" customHeight="1">
      <c r="A59" s="1" t="s">
        <v>15</v>
      </c>
      <c r="B59" s="34">
        <f>B41-B57</f>
        <v>320114</v>
      </c>
      <c r="C59" s="34"/>
      <c r="D59" s="34">
        <f>D41-D57</f>
        <v>550823</v>
      </c>
      <c r="E59" s="35"/>
      <c r="F59" s="34">
        <f>F41-F57</f>
        <v>260112</v>
      </c>
      <c r="G59" s="55"/>
      <c r="H59" s="34">
        <f>H41-H57</f>
        <v>444496</v>
      </c>
      <c r="I59" s="34"/>
      <c r="J59" s="34">
        <f>J41-J57</f>
        <v>2506823</v>
      </c>
      <c r="K59" s="34"/>
      <c r="L59" s="34">
        <f>L41-L57</f>
        <v>3082012</v>
      </c>
      <c r="M59" s="35"/>
      <c r="N59" s="34">
        <f>N41-N57</f>
        <v>3765636</v>
      </c>
      <c r="O59" s="35"/>
      <c r="P59" s="34">
        <f>P41-P57</f>
        <v>4245691</v>
      </c>
      <c r="Q59" s="35"/>
      <c r="R59" s="34">
        <f>R41-R57</f>
        <v>4814391</v>
      </c>
    </row>
    <row r="60" spans="1:18" s="1" customFormat="1" ht="15" customHeight="1">
      <c r="A60" s="6" t="s">
        <v>16</v>
      </c>
      <c r="B60" s="15">
        <v>187652</v>
      </c>
      <c r="C60" s="13"/>
      <c r="D60" s="15">
        <v>77000</v>
      </c>
      <c r="E60" s="13"/>
      <c r="F60" s="15">
        <v>17000</v>
      </c>
      <c r="G60" s="64"/>
      <c r="H60" s="15">
        <v>61503</v>
      </c>
      <c r="I60" s="13"/>
      <c r="J60" s="15">
        <v>65477</v>
      </c>
      <c r="K60" s="13"/>
      <c r="L60" s="15">
        <f>63651+14757</f>
        <v>78408</v>
      </c>
      <c r="M60" s="13"/>
      <c r="N60" s="15">
        <f>76869+18461</f>
        <v>95330</v>
      </c>
      <c r="O60" s="13"/>
      <c r="P60" s="15">
        <f>94189+22863</f>
        <v>117052</v>
      </c>
      <c r="Q60" s="13"/>
      <c r="R60" s="15">
        <f>124932+20904</f>
        <v>145836</v>
      </c>
    </row>
    <row r="61" spans="1:18" s="1" customFormat="1" ht="15" customHeight="1">
      <c r="A61" s="1" t="s">
        <v>17</v>
      </c>
      <c r="B61" s="36">
        <f>B59+B60</f>
        <v>507766</v>
      </c>
      <c r="D61" s="36">
        <f>D59+D60</f>
        <v>627823</v>
      </c>
      <c r="F61" s="34">
        <f>F59+F60</f>
        <v>277112</v>
      </c>
      <c r="G61" s="53"/>
      <c r="H61" s="36">
        <f>H59+H60</f>
        <v>505999</v>
      </c>
      <c r="J61" s="36">
        <f>J59+J60</f>
        <v>2572300</v>
      </c>
      <c r="L61" s="36">
        <f>L59+L60</f>
        <v>3160420</v>
      </c>
      <c r="N61" s="36">
        <f>N59+N60</f>
        <v>3860966</v>
      </c>
      <c r="P61" s="36">
        <f>P59+P60</f>
        <v>4362743</v>
      </c>
      <c r="R61" s="36">
        <f>R59+R60</f>
        <v>4960227</v>
      </c>
    </row>
    <row r="62" spans="2:18" s="1" customFormat="1" ht="7.5" customHeight="1">
      <c r="B62" s="37"/>
      <c r="C62" s="37"/>
      <c r="D62" s="37"/>
      <c r="E62" s="21"/>
      <c r="F62" s="37"/>
      <c r="G62" s="56"/>
      <c r="H62" s="37"/>
      <c r="I62" s="37"/>
      <c r="J62" s="37"/>
      <c r="K62" s="37"/>
      <c r="L62" s="37"/>
      <c r="N62" s="37"/>
      <c r="P62" s="37"/>
      <c r="R62" s="4"/>
    </row>
    <row r="63" spans="2:18" s="1" customFormat="1" ht="7.5" customHeight="1">
      <c r="B63" s="37"/>
      <c r="C63" s="37"/>
      <c r="D63" s="37"/>
      <c r="E63" s="21"/>
      <c r="F63" s="37"/>
      <c r="G63" s="56"/>
      <c r="H63" s="37"/>
      <c r="I63" s="37"/>
      <c r="J63" s="37"/>
      <c r="K63" s="37"/>
      <c r="L63" s="37"/>
      <c r="N63" s="37"/>
      <c r="P63" s="37"/>
      <c r="R63" s="4"/>
    </row>
    <row r="64" spans="1:16" s="41" customFormat="1" ht="15" customHeight="1">
      <c r="A64" s="38" t="s">
        <v>39</v>
      </c>
      <c r="B64" s="39"/>
      <c r="C64" s="39"/>
      <c r="D64" s="39"/>
      <c r="E64" s="40"/>
      <c r="F64" s="39"/>
      <c r="G64" s="57"/>
      <c r="H64" s="39"/>
      <c r="I64" s="39"/>
      <c r="J64" s="39"/>
      <c r="K64" s="39"/>
      <c r="L64" s="39"/>
      <c r="N64" s="39"/>
      <c r="P64" s="39"/>
    </row>
    <row r="65" spans="1:16" s="41" customFormat="1" ht="15" customHeight="1">
      <c r="A65" s="38" t="s">
        <v>38</v>
      </c>
      <c r="B65" s="39"/>
      <c r="C65" s="39"/>
      <c r="D65" s="39"/>
      <c r="E65" s="40"/>
      <c r="F65" s="39"/>
      <c r="G65" s="57"/>
      <c r="H65" s="39"/>
      <c r="I65" s="39"/>
      <c r="J65" s="39"/>
      <c r="K65" s="39"/>
      <c r="L65" s="39"/>
      <c r="N65" s="39"/>
      <c r="P65" s="39"/>
    </row>
    <row r="66" spans="1:18" s="41" customFormat="1" ht="15" customHeight="1">
      <c r="A66" s="50" t="s">
        <v>49</v>
      </c>
      <c r="B66" s="42"/>
      <c r="C66" s="42"/>
      <c r="D66" s="42"/>
      <c r="E66" s="43"/>
      <c r="F66" s="42"/>
      <c r="G66" s="58"/>
      <c r="H66" s="42">
        <f>(H61+H54)/H30</f>
        <v>1.9199981818181817</v>
      </c>
      <c r="I66" s="42"/>
      <c r="J66" s="42">
        <f>(J61+J54)/J30</f>
        <v>2.5369980765863978</v>
      </c>
      <c r="K66" s="42"/>
      <c r="L66" s="42">
        <f>(L61+L54)/L30</f>
        <v>2.8884109400945395</v>
      </c>
      <c r="M66" s="42"/>
      <c r="N66" s="42">
        <f>(N61+N54)/N30</f>
        <v>3.3070004726375144</v>
      </c>
      <c r="O66" s="42"/>
      <c r="P66" s="42">
        <f>(P61+P54)/P30</f>
        <v>3.6068217547100927</v>
      </c>
      <c r="Q66" s="42"/>
      <c r="R66" s="42">
        <f>(R61+R54)/R30</f>
        <v>3.9638297859627256</v>
      </c>
    </row>
    <row r="67" spans="1:18" s="41" customFormat="1" ht="15" customHeight="1">
      <c r="A67" s="50" t="s">
        <v>50</v>
      </c>
      <c r="B67" s="42"/>
      <c r="C67" s="42"/>
      <c r="D67" s="42"/>
      <c r="E67" s="43"/>
      <c r="F67" s="42"/>
      <c r="G67" s="58"/>
      <c r="H67" s="42">
        <f>(H61+H54)/H32</f>
        <v>0.630979447139587</v>
      </c>
      <c r="I67" s="42"/>
      <c r="J67" s="42">
        <f>(J61+J54)/J32</f>
        <v>2.5369980765863978</v>
      </c>
      <c r="K67" s="42"/>
      <c r="L67" s="42">
        <f>(L61+L54)/L32</f>
        <v>2.8884109400945395</v>
      </c>
      <c r="M67" s="42"/>
      <c r="N67" s="42">
        <f>(N61+N54)/N32</f>
        <v>3.3070004726375144</v>
      </c>
      <c r="O67" s="42"/>
      <c r="P67" s="42">
        <f>(P61+P54)/P32</f>
        <v>3.6068217547100927</v>
      </c>
      <c r="Q67" s="42"/>
      <c r="R67" s="42">
        <f>(R61+R54)/R32</f>
        <v>3.9638297859627256</v>
      </c>
    </row>
    <row r="68" spans="2:16" s="1" customFormat="1" ht="9" customHeight="1">
      <c r="B68" s="20"/>
      <c r="C68" s="20"/>
      <c r="D68" s="20"/>
      <c r="E68" s="21"/>
      <c r="F68" s="20"/>
      <c r="G68" s="20"/>
      <c r="H68" s="20"/>
      <c r="I68" s="20"/>
      <c r="J68" s="20"/>
      <c r="K68" s="20"/>
      <c r="L68" s="20"/>
      <c r="N68" s="20"/>
      <c r="P68" s="20"/>
    </row>
    <row r="69" ht="9" customHeight="1">
      <c r="E69" s="45"/>
    </row>
    <row r="70" spans="1:5" s="47" customFormat="1" ht="14.25" customHeight="1">
      <c r="A70" s="46" t="s">
        <v>41</v>
      </c>
      <c r="E70" s="48"/>
    </row>
    <row r="71" spans="1:5" s="47" customFormat="1" ht="14.25" customHeight="1">
      <c r="A71" s="46" t="s">
        <v>40</v>
      </c>
      <c r="E71" s="48"/>
    </row>
    <row r="72" spans="1:5" s="47" customFormat="1" ht="14.25" customHeight="1">
      <c r="A72" s="46" t="s">
        <v>48</v>
      </c>
      <c r="E72" s="48"/>
    </row>
    <row r="73" spans="1:5" s="47" customFormat="1" ht="14.25" customHeight="1">
      <c r="A73" s="46" t="s">
        <v>51</v>
      </c>
      <c r="E73" s="48"/>
    </row>
    <row r="74" spans="1:5" s="47" customFormat="1" ht="14.25" customHeight="1">
      <c r="A74" s="46" t="s">
        <v>54</v>
      </c>
      <c r="E74" s="48"/>
    </row>
    <row r="75" spans="1:5" s="47" customFormat="1" ht="14.25" customHeight="1">
      <c r="A75" s="46" t="s">
        <v>55</v>
      </c>
      <c r="E75" s="48"/>
    </row>
    <row r="76" spans="1:5" s="47" customFormat="1" ht="14.25" customHeight="1">
      <c r="A76" s="46" t="s">
        <v>59</v>
      </c>
      <c r="E76" s="48"/>
    </row>
    <row r="77" ht="15.75">
      <c r="A77" s="44" t="s">
        <v>62</v>
      </c>
    </row>
    <row r="78" ht="15.75">
      <c r="A78" s="44" t="s">
        <v>63</v>
      </c>
    </row>
    <row r="79" ht="15.75">
      <c r="A79" s="44" t="s">
        <v>64</v>
      </c>
    </row>
  </sheetData>
  <sheetProtection/>
  <mergeCells count="7">
    <mergeCell ref="A2:R2"/>
    <mergeCell ref="A3:R3"/>
    <mergeCell ref="A4:R4"/>
    <mergeCell ref="A5:R5"/>
    <mergeCell ref="A6:R6"/>
    <mergeCell ref="F8:R8"/>
    <mergeCell ref="B8:D8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sstapleton</dc:creator>
  <cp:keywords/>
  <dc:description/>
  <cp:lastModifiedBy>stephanie.stapleton</cp:lastModifiedBy>
  <cp:lastPrinted>2010-08-02T17:33:02Z</cp:lastPrinted>
  <dcterms:created xsi:type="dcterms:W3CDTF">2009-11-13T21:41:38Z</dcterms:created>
  <dcterms:modified xsi:type="dcterms:W3CDTF">2010-08-04T18:30:12Z</dcterms:modified>
  <cp:category/>
  <cp:version/>
  <cp:contentType/>
  <cp:contentStatus/>
</cp:coreProperties>
</file>