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55" windowWidth="11190" windowHeight="5370" tabRatio="671" activeTab="0"/>
  </bookViews>
  <sheets>
    <sheet name="Summary by bud entity" sheetId="1" r:id="rId1"/>
    <sheet name="UF" sheetId="2" r:id="rId2"/>
    <sheet name="IFAS" sheetId="3" r:id="rId3"/>
    <sheet name="UF HSC" sheetId="4" r:id="rId4"/>
    <sheet name="FSU" sheetId="5" r:id="rId5"/>
    <sheet name="FSU MS" sheetId="6" r:id="rId6"/>
    <sheet name="FAMU" sheetId="7" r:id="rId7"/>
    <sheet name="USF" sheetId="8" r:id="rId8"/>
    <sheet name="USF HSC" sheetId="9" r:id="rId9"/>
    <sheet name="FAU" sheetId="10" r:id="rId10"/>
    <sheet name="UWF" sheetId="11" r:id="rId11"/>
    <sheet name="UCF" sheetId="12" r:id="rId12"/>
    <sheet name="FIU" sheetId="13" r:id="rId13"/>
    <sheet name="UNF" sheetId="14" r:id="rId14"/>
    <sheet name="FGCU" sheetId="15" r:id="rId15"/>
    <sheet name="NCF" sheetId="16" r:id="rId16"/>
    <sheet name="Sheet1" sheetId="17" r:id="rId17"/>
  </sheets>
  <definedNames>
    <definedName name="_xlnm.Print_Area" localSheetId="6">'FAMU'!$A$1:$L$95</definedName>
    <definedName name="_xlnm.Print_Area" localSheetId="9">'FAU'!$A$1:$L$96</definedName>
    <definedName name="_xlnm.Print_Area" localSheetId="14">'FGCU'!$A$1:$L$96</definedName>
    <definedName name="_xlnm.Print_Area" localSheetId="12">'FIU'!$A$1:$L$95</definedName>
    <definedName name="_xlnm.Print_Area" localSheetId="4">'FSU'!$A$1:$L$95</definedName>
    <definedName name="_xlnm.Print_Area" localSheetId="15">'NCF'!$A$1:$L$96</definedName>
    <definedName name="_xlnm.Print_Area" localSheetId="16">'Sheet1'!#REF!</definedName>
    <definedName name="_xlnm.Print_Area" localSheetId="0">'Summary by bud entity'!$A$1:$L$96</definedName>
    <definedName name="_xlnm.Print_Area" localSheetId="11">'UCF'!$A$1:$L$96</definedName>
    <definedName name="_xlnm.Print_Area" localSheetId="1">'UF'!$A$1:$L$96</definedName>
    <definedName name="_xlnm.Print_Area" localSheetId="13">'UNF'!$A$1:$L$96</definedName>
    <definedName name="_xlnm.Print_Area" localSheetId="7">'USF'!$A$1:$L$96</definedName>
    <definedName name="_xlnm.Print_Area" localSheetId="10">'UWF'!$A$1:$L$95</definedName>
    <definedName name="_xlnm.Print_Titles" localSheetId="6">'FAMU'!$1:$7</definedName>
    <definedName name="_xlnm.Print_Titles" localSheetId="9">'FAU'!$1:$7</definedName>
    <definedName name="_xlnm.Print_Titles" localSheetId="14">'FGCU'!$1:$7</definedName>
    <definedName name="_xlnm.Print_Titles" localSheetId="12">'FIU'!$1:$7</definedName>
    <definedName name="_xlnm.Print_Titles" localSheetId="4">'FSU'!$1:$7</definedName>
    <definedName name="_xlnm.Print_Titles" localSheetId="5">'FSU MS'!$1:$7</definedName>
    <definedName name="_xlnm.Print_Titles" localSheetId="2">'IFAS'!$1:$7</definedName>
    <definedName name="_xlnm.Print_Titles" localSheetId="15">'NCF'!$1:$6</definedName>
    <definedName name="_xlnm.Print_Titles" localSheetId="0">'Summary by bud entity'!$1:$7</definedName>
    <definedName name="_xlnm.Print_Titles" localSheetId="11">'UCF'!$1:$7</definedName>
    <definedName name="_xlnm.Print_Titles" localSheetId="1">'UF'!$1:$7</definedName>
    <definedName name="_xlnm.Print_Titles" localSheetId="3">'UF HSC'!$1:$6</definedName>
    <definedName name="_xlnm.Print_Titles" localSheetId="13">'UNF'!$1:$7</definedName>
    <definedName name="_xlnm.Print_Titles" localSheetId="7">'USF'!$1:$7</definedName>
    <definedName name="_xlnm.Print_Titles" localSheetId="8">'USF HSC'!$1:$7</definedName>
    <definedName name="_xlnm.Print_Titles" localSheetId="10">'UWF'!$1:$7</definedName>
  </definedNames>
  <calcPr fullCalcOnLoad="1"/>
</workbook>
</file>

<file path=xl/comments1.xml><?xml version="1.0" encoding="utf-8"?>
<comments xmlns="http://schemas.openxmlformats.org/spreadsheetml/2006/main">
  <authors>
    <author>Tim Jones</author>
    <author>BOR</author>
  </authors>
  <commentList>
    <comment ref="C29" authorId="0">
      <text>
        <r>
          <rPr>
            <b/>
            <sz val="8"/>
            <rFont val="Tahoma"/>
            <family val="0"/>
          </rPr>
          <t>Tim Jones:</t>
        </r>
        <r>
          <rPr>
            <sz val="8"/>
            <rFont val="Tahoma"/>
            <family val="0"/>
          </rPr>
          <t xml:space="preserve">
</t>
        </r>
        <r>
          <rPr>
            <sz val="12"/>
            <rFont val="Tahoma"/>
            <family val="2"/>
          </rPr>
          <t>O&amp;M Trust Fund and others, interest, refunds, penalties.</t>
        </r>
      </text>
    </comment>
    <comment ref="C16" authorId="1">
      <text>
        <r>
          <rPr>
            <b/>
            <sz val="8"/>
            <rFont val="Tahoma"/>
            <family val="0"/>
          </rPr>
          <t xml:space="preserve">Dale Bradley:
</t>
        </r>
        <r>
          <rPr>
            <sz val="10"/>
            <rFont val="Tahoma"/>
            <family val="2"/>
          </rPr>
          <t>IFAS , UF-HSC special trust funds</t>
        </r>
        <r>
          <rPr>
            <sz val="8"/>
            <rFont val="Tahoma"/>
            <family val="0"/>
          </rPr>
          <t xml:space="preserve">
</t>
        </r>
      </text>
    </comment>
    <comment ref="C26" authorId="1">
      <text>
        <r>
          <rPr>
            <b/>
            <sz val="8"/>
            <rFont val="Tahoma"/>
            <family val="0"/>
          </rPr>
          <t xml:space="preserve">Dale Bradley:
</t>
        </r>
        <r>
          <rPr>
            <sz val="10"/>
            <rFont val="Tahoma"/>
            <family val="2"/>
          </rPr>
          <t>IFAS,  UF-HSC special trust funds</t>
        </r>
        <r>
          <rPr>
            <sz val="8"/>
            <rFont val="Tahoma"/>
            <family val="0"/>
          </rPr>
          <t xml:space="preserve">
</t>
        </r>
      </text>
    </comment>
    <comment ref="C21" authorId="1">
      <text>
        <r>
          <rPr>
            <b/>
            <sz val="8"/>
            <rFont val="Tahoma"/>
            <family val="0"/>
          </rPr>
          <t xml:space="preserve">Dale Bradley:
</t>
        </r>
        <r>
          <rPr>
            <sz val="10"/>
            <rFont val="Tahoma"/>
            <family val="2"/>
          </rPr>
          <t>IFAS,  UF-HSC special trust funds.  Also FSU Chiropractic School transfer from DBPR.</t>
        </r>
        <r>
          <rPr>
            <sz val="8"/>
            <rFont val="Tahoma"/>
            <family val="0"/>
          </rPr>
          <t xml:space="preserve">
</t>
        </r>
      </text>
    </comment>
    <comment ref="C22" authorId="1">
      <text>
        <r>
          <rPr>
            <b/>
            <sz val="8"/>
            <rFont val="Tahoma"/>
            <family val="0"/>
          </rPr>
          <t xml:space="preserve">Dale Bradley:
</t>
        </r>
        <r>
          <rPr>
            <sz val="10"/>
            <rFont val="Tahoma"/>
            <family val="2"/>
          </rPr>
          <t>IFAS, UF-HSC special trust funds</t>
        </r>
        <r>
          <rPr>
            <b/>
            <sz val="8"/>
            <rFont val="Tahoma"/>
            <family val="0"/>
          </rPr>
          <t xml:space="preserve">
</t>
        </r>
        <r>
          <rPr>
            <sz val="8"/>
            <rFont val="Tahoma"/>
            <family val="0"/>
          </rPr>
          <t xml:space="preserve">
</t>
        </r>
      </text>
    </comment>
    <comment ref="C56" authorId="1">
      <text>
        <r>
          <rPr>
            <b/>
            <sz val="8"/>
            <rFont val="Tahoma"/>
            <family val="0"/>
          </rPr>
          <t xml:space="preserve">Dale Bradley:
</t>
        </r>
        <r>
          <rPr>
            <b/>
            <sz val="9"/>
            <rFont val="Tahoma"/>
            <family val="2"/>
          </rPr>
          <t>Moffit Cancer Center 2004-05 appropriation paid directly to ACHA, not included in USF operating budget.</t>
        </r>
        <r>
          <rPr>
            <sz val="9"/>
            <rFont val="Tahoma"/>
            <family val="2"/>
          </rPr>
          <t xml:space="preserve">
</t>
        </r>
      </text>
    </comment>
  </commentList>
</comments>
</file>

<file path=xl/comments2.xml><?xml version="1.0" encoding="utf-8"?>
<comments xmlns="http://schemas.openxmlformats.org/spreadsheetml/2006/main">
  <authors>
    <author>Tim Jones</author>
  </authors>
  <commentList>
    <comment ref="C29" authorId="0">
      <text>
        <r>
          <rPr>
            <b/>
            <sz val="8"/>
            <rFont val="Tahoma"/>
            <family val="0"/>
          </rPr>
          <t>Tim Jones:</t>
        </r>
        <r>
          <rPr>
            <sz val="8"/>
            <rFont val="Tahoma"/>
            <family val="0"/>
          </rPr>
          <t xml:space="preserve">
</t>
        </r>
        <r>
          <rPr>
            <sz val="10"/>
            <rFont val="Tahoma"/>
            <family val="2"/>
          </rPr>
          <t>O&amp;M Trust Fund and others, interest, refunds,  insurance recoveries.</t>
        </r>
        <r>
          <rPr>
            <sz val="12"/>
            <rFont val="Tahoma"/>
            <family val="2"/>
          </rPr>
          <t xml:space="preserve">
 </t>
        </r>
      </text>
    </comment>
  </commentList>
</comments>
</file>

<file path=xl/comments5.xml><?xml version="1.0" encoding="utf-8"?>
<comments xmlns="http://schemas.openxmlformats.org/spreadsheetml/2006/main">
  <authors>
    <author>BOR</author>
  </authors>
  <commentList>
    <comment ref="C21" authorId="0">
      <text>
        <r>
          <rPr>
            <b/>
            <sz val="8"/>
            <rFont val="Tahoma"/>
            <family val="0"/>
          </rPr>
          <t xml:space="preserve">Dale Bradley:
</t>
        </r>
        <r>
          <rPr>
            <sz val="10"/>
            <rFont val="Tahoma"/>
            <family val="2"/>
          </rPr>
          <t>Transfer in from DBPR for Chiropractic School  - SB 2002</t>
        </r>
        <r>
          <rPr>
            <sz val="8"/>
            <rFont val="Tahoma"/>
            <family val="0"/>
          </rPr>
          <t xml:space="preserve">
</t>
        </r>
      </text>
    </comment>
  </commentList>
</comments>
</file>

<file path=xl/sharedStrings.xml><?xml version="1.0" encoding="utf-8"?>
<sst xmlns="http://schemas.openxmlformats.org/spreadsheetml/2006/main" count="1125" uniqueCount="104">
  <si>
    <t>STATE UNIVERSITY SYSTEM OF FLORIDA</t>
  </si>
  <si>
    <t>Educational and General</t>
  </si>
  <si>
    <t>Summary</t>
  </si>
  <si>
    <t>ESTIMATED</t>
  </si>
  <si>
    <t>Beginning Fund Balance</t>
  </si>
  <si>
    <t>Receipts/Revenues</t>
  </si>
  <si>
    <t>Lottery Appropriation</t>
  </si>
  <si>
    <t>General Revenue Appropriation</t>
  </si>
  <si>
    <t>Tuition</t>
  </si>
  <si>
    <t>Other</t>
  </si>
  <si>
    <t>Total Receipts/Revenues</t>
  </si>
  <si>
    <t>Operating Expenditures</t>
  </si>
  <si>
    <t>Salaries and Benefits</t>
  </si>
  <si>
    <t>OPS</t>
  </si>
  <si>
    <t>Expenses</t>
  </si>
  <si>
    <t>OCO</t>
  </si>
  <si>
    <t>Waivers</t>
  </si>
  <si>
    <t>Library Resources</t>
  </si>
  <si>
    <t>Risk Mgmt</t>
  </si>
  <si>
    <t>Financial Aid</t>
  </si>
  <si>
    <t>Regional Data Centers-SUS</t>
  </si>
  <si>
    <t>Total Operating Expenditures</t>
  </si>
  <si>
    <t>Non-Operating Expenditures</t>
  </si>
  <si>
    <t xml:space="preserve">Transfers </t>
  </si>
  <si>
    <t>Total Non-Operating Expenditures</t>
  </si>
  <si>
    <t>Ending Fund Balance</t>
  </si>
  <si>
    <t>Carryforward</t>
  </si>
  <si>
    <t>Coastal/Ocean Eng. Res. Lab</t>
  </si>
  <si>
    <t>Energy Conserv/Conv. Lab</t>
  </si>
  <si>
    <t>Salary Incentive Payments</t>
  </si>
  <si>
    <t>Water Conserv Lab</t>
  </si>
  <si>
    <t>Scholarships</t>
  </si>
  <si>
    <t>Virgil Hawkins Fellowship Program</t>
  </si>
  <si>
    <t>Encumbrances</t>
  </si>
  <si>
    <t>Institute of Government</t>
  </si>
  <si>
    <t>LEIP</t>
  </si>
  <si>
    <t>Black Male Explorers Program</t>
  </si>
  <si>
    <t>Law Enforcement Incentive Payments</t>
  </si>
  <si>
    <t>EDP</t>
  </si>
  <si>
    <t>Special Category</t>
  </si>
  <si>
    <t>University of South Florida - Health Sciences Center</t>
  </si>
  <si>
    <t>Operations and Maintenance</t>
  </si>
  <si>
    <t>Major Gifts</t>
  </si>
  <si>
    <t>US Grants</t>
  </si>
  <si>
    <t>City or County Grants</t>
  </si>
  <si>
    <t>State Grants</t>
  </si>
  <si>
    <t>Other Grants and Donations</t>
  </si>
  <si>
    <t>Transfers</t>
  </si>
  <si>
    <t>Sales of Goods/Services</t>
  </si>
  <si>
    <t>FL Demo Project-Direct Costs</t>
  </si>
  <si>
    <t>Fixed Capital Outlay</t>
  </si>
  <si>
    <t>Fees</t>
  </si>
  <si>
    <t>Miscellaneous Receipts</t>
  </si>
  <si>
    <t>Rent</t>
  </si>
  <si>
    <t>Sales of Data Processing Services</t>
  </si>
  <si>
    <t>Debt Service</t>
  </si>
  <si>
    <t>Concessions</t>
  </si>
  <si>
    <t>Moffitt Cancer Center</t>
  </si>
  <si>
    <t>MPLE Program</t>
  </si>
  <si>
    <t>Other Personal Services</t>
  </si>
  <si>
    <t>Operating Capital Outlay</t>
  </si>
  <si>
    <t>Self-Ins.</t>
  </si>
  <si>
    <t>Athletics</t>
  </si>
  <si>
    <t>Fin. Aid</t>
  </si>
  <si>
    <t>Student Act.</t>
  </si>
  <si>
    <r>
      <t>---------------------------------------------------------------Local Funds</t>
    </r>
    <r>
      <rPr>
        <b/>
        <vertAlign val="superscript"/>
        <sz val="11"/>
        <rFont val="Times New Roman"/>
        <family val="1"/>
      </rPr>
      <t>4</t>
    </r>
    <r>
      <rPr>
        <b/>
        <sz val="11"/>
        <rFont val="Times New Roman"/>
        <family val="1"/>
      </rPr>
      <t>---------------------------------------------------------------------------</t>
    </r>
  </si>
  <si>
    <t>Educational</t>
  </si>
  <si>
    <r>
      <t xml:space="preserve"> &amp; General</t>
    </r>
    <r>
      <rPr>
        <b/>
        <u val="single"/>
        <vertAlign val="superscript"/>
        <sz val="11"/>
        <rFont val="Times New Roman"/>
        <family val="1"/>
      </rPr>
      <t>1</t>
    </r>
  </si>
  <si>
    <t>Contracts</t>
  </si>
  <si>
    <r>
      <t xml:space="preserve"> &amp; Grants</t>
    </r>
    <r>
      <rPr>
        <b/>
        <u val="single"/>
        <vertAlign val="superscript"/>
        <sz val="11"/>
        <rFont val="Times New Roman"/>
        <family val="1"/>
      </rPr>
      <t>2</t>
    </r>
  </si>
  <si>
    <t>Phosphate Research</t>
  </si>
  <si>
    <t>Misc Receipts</t>
  </si>
  <si>
    <t>IFAS, UF-HSC trust funds (extension, experimental, incidental, O&amp;M)</t>
  </si>
  <si>
    <r>
      <t>Auxiliaries</t>
    </r>
    <r>
      <rPr>
        <b/>
        <u val="single"/>
        <vertAlign val="superscript"/>
        <sz val="11"/>
        <rFont val="Times New Roman"/>
        <family val="1"/>
      </rPr>
      <t>3</t>
    </r>
  </si>
  <si>
    <t>Faculty</t>
  </si>
  <si>
    <r>
      <t>Practice</t>
    </r>
    <r>
      <rPr>
        <b/>
        <u val="single"/>
        <vertAlign val="superscript"/>
        <sz val="11"/>
        <rFont val="Times New Roman"/>
        <family val="1"/>
      </rPr>
      <t>5</t>
    </r>
  </si>
  <si>
    <r>
      <t>Other</t>
    </r>
    <r>
      <rPr>
        <b/>
        <vertAlign val="superscript"/>
        <sz val="10"/>
        <rFont val="Times New Roman"/>
        <family val="1"/>
      </rPr>
      <t>6</t>
    </r>
  </si>
  <si>
    <r>
      <t>Other</t>
    </r>
    <r>
      <rPr>
        <b/>
        <vertAlign val="superscript"/>
        <sz val="10"/>
        <rFont val="Times New Roman"/>
        <family val="1"/>
      </rPr>
      <t>7</t>
    </r>
  </si>
  <si>
    <t>Electronic Data Processing</t>
  </si>
  <si>
    <t>General Revenue</t>
  </si>
  <si>
    <t>Assessments/Services</t>
  </si>
  <si>
    <t>Lottery</t>
  </si>
  <si>
    <t>Summary Schedule 1</t>
  </si>
  <si>
    <t>2004-2005 Operating Budget</t>
  </si>
  <si>
    <t>2004-05</t>
  </si>
  <si>
    <t>UNIVERSITY OF FLORIDA</t>
  </si>
  <si>
    <t>FLORIDA STATE UNIVERSITY</t>
  </si>
  <si>
    <t>FLORIDA A&amp;M UNIVERSITY</t>
  </si>
  <si>
    <t>UNIVERSITY OF SOUTH FLORIDA</t>
  </si>
  <si>
    <t>FLORIDA ATLANTIC UNIVERSITY</t>
  </si>
  <si>
    <t>UNIVERSITY OF WEST FLORIDA</t>
  </si>
  <si>
    <t>UNIVERSITY OF CENTRAL FLORIDA</t>
  </si>
  <si>
    <t>FLORIDA INTERNATIONAL UNIVERSITY</t>
  </si>
  <si>
    <t>UNIVERSITY OF NORTH FLORIDA</t>
  </si>
  <si>
    <t>FLORIDA GULF COAST UNIVERSITY</t>
  </si>
  <si>
    <t>NEW COLLEGE OF FLORIDA</t>
  </si>
  <si>
    <t>Florida State University - Medical School</t>
  </si>
  <si>
    <t>Donations/Contrib. Given to the State</t>
  </si>
  <si>
    <t>*Update complete for 2004-05</t>
  </si>
  <si>
    <t>Special Category - Phosphate Rsch.</t>
  </si>
  <si>
    <t>University of Florida - Health Sciences Center</t>
  </si>
  <si>
    <t>University of Florida - IFAS</t>
  </si>
  <si>
    <t>Check</t>
  </si>
  <si>
    <t>Special Category - G&amp;A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</si>
</sst>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00000000000%"/>
    <numFmt numFmtId="166" formatCode="#,##0.000000_);[Red]\(#,##0.000000\)"/>
    <numFmt numFmtId="167" formatCode="#,##0.0_);[Red]\(#,##0.0\)"/>
    <numFmt numFmtId="168" formatCode="#,##0.000_);[Red]\(#,##0.000\)"/>
    <numFmt numFmtId="169" formatCode="#,##0.0000_);[Red]\(#,##0.0000\)"/>
    <numFmt numFmtId="170" formatCode="#,##0.00000_);[Red]\(#,##0.00000\)"/>
    <numFmt numFmtId="171" formatCode="&quot;$&quot;#,##0.00;\(&quot;$&quot;#,##0.00\)"/>
    <numFmt numFmtId="172" formatCode="_(* #,##0.0_);_(* \(#,##0.0\);_(* &quot;-&quot;??_);_(@_)"/>
    <numFmt numFmtId="173" formatCode="&quot;$&quot;#,##0"/>
    <numFmt numFmtId="174" formatCode="&quot;$&quot;#,##0.00"/>
    <numFmt numFmtId="175" formatCode="_(* #,##0.0_);_(* \(#,##0.0\);_(* &quot;-&quot;?_);_(@_)"/>
    <numFmt numFmtId="176" formatCode="_(&quot;$&quot;* #,##0.0_);_(&quot;$&quot;* \(#,##0.0\);_(&quot;$&quot;* &quot;-&quot;??_);_(@_)"/>
    <numFmt numFmtId="177" formatCode="_(&quot;$&quot;* #,##0_);_(&quot;$&quot;* \(#,##0\);_(&quot;$&quot;* &quot;-&quot;??_);_(@_)"/>
    <numFmt numFmtId="178" formatCode="_(* #,##0_);_(* \(#,##0\);_(* &quot;-&quot;??_);_(@_)"/>
  </numFmts>
  <fonts count="35">
    <font>
      <sz val="12"/>
      <name val="Arial"/>
      <family val="0"/>
    </font>
    <font>
      <b/>
      <i/>
      <sz val="10"/>
      <name val="Times New Roman"/>
      <family val="1"/>
    </font>
    <font>
      <b/>
      <u val="single"/>
      <sz val="10"/>
      <name val="Times New Roman"/>
      <family val="1"/>
    </font>
    <font>
      <sz val="10"/>
      <name val="Times New Roman"/>
      <family val="1"/>
    </font>
    <font>
      <b/>
      <sz val="10"/>
      <name val="Times New Roman"/>
      <family val="1"/>
    </font>
    <font>
      <u val="single"/>
      <sz val="12"/>
      <color indexed="12"/>
      <name val="Arial"/>
      <family val="0"/>
    </font>
    <font>
      <u val="single"/>
      <sz val="12"/>
      <color indexed="36"/>
      <name val="Arial"/>
      <family val="0"/>
    </font>
    <font>
      <sz val="8"/>
      <name val="Tahoma"/>
      <family val="0"/>
    </font>
    <font>
      <b/>
      <sz val="8"/>
      <name val="Tahoma"/>
      <family val="0"/>
    </font>
    <font>
      <b/>
      <i/>
      <sz val="12"/>
      <name val="Times New Roman"/>
      <family val="1"/>
    </font>
    <font>
      <b/>
      <sz val="11"/>
      <name val="Times New Roman"/>
      <family val="1"/>
    </font>
    <font>
      <b/>
      <vertAlign val="superscript"/>
      <sz val="11"/>
      <name val="Times New Roman"/>
      <family val="1"/>
    </font>
    <font>
      <b/>
      <u val="single"/>
      <sz val="11"/>
      <name val="Times New Roman"/>
      <family val="1"/>
    </font>
    <font>
      <b/>
      <u val="single"/>
      <vertAlign val="superscript"/>
      <sz val="11"/>
      <name val="Times New Roman"/>
      <family val="1"/>
    </font>
    <font>
      <b/>
      <sz val="12"/>
      <name val="Arial"/>
      <family val="0"/>
    </font>
    <font>
      <b/>
      <sz val="11"/>
      <name val="Arial"/>
      <family val="0"/>
    </font>
    <font>
      <sz val="12"/>
      <name val="Tahoma"/>
      <family val="2"/>
    </font>
    <font>
      <b/>
      <vertAlign val="superscript"/>
      <sz val="10"/>
      <name val="Times New Roman"/>
      <family val="1"/>
    </font>
    <font>
      <b/>
      <sz val="12"/>
      <name val="Times New Roman"/>
      <family val="1"/>
    </font>
    <font>
      <sz val="10"/>
      <name val="Arial"/>
      <family val="0"/>
    </font>
    <font>
      <sz val="10"/>
      <name val="Tahoma"/>
      <family val="2"/>
    </font>
    <font>
      <b/>
      <sz val="10"/>
      <color indexed="29"/>
      <name val="Times New Roman"/>
      <family val="1"/>
    </font>
    <font>
      <b/>
      <sz val="12"/>
      <color indexed="29"/>
      <name val="Arial"/>
      <family val="0"/>
    </font>
    <font>
      <b/>
      <sz val="10"/>
      <color indexed="10"/>
      <name val="Times New Roman"/>
      <family val="1"/>
    </font>
    <font>
      <b/>
      <sz val="14"/>
      <color indexed="10"/>
      <name val="Times New Roman"/>
      <family val="1"/>
    </font>
    <font>
      <sz val="7"/>
      <color indexed="12"/>
      <name val="Arial"/>
      <family val="2"/>
    </font>
    <font>
      <b/>
      <sz val="8"/>
      <color indexed="10"/>
      <name val="Times New Roman"/>
      <family val="1"/>
    </font>
    <font>
      <b/>
      <sz val="6"/>
      <color indexed="12"/>
      <name val="Times New Roman"/>
      <family val="1"/>
    </font>
    <font>
      <b/>
      <sz val="8.5"/>
      <color indexed="12"/>
      <name val="Arial"/>
      <family val="2"/>
    </font>
    <font>
      <b/>
      <sz val="10"/>
      <color indexed="12"/>
      <name val="Times New Roman"/>
      <family val="1"/>
    </font>
    <font>
      <b/>
      <sz val="9"/>
      <color indexed="12"/>
      <name val="Arial"/>
      <family val="2"/>
    </font>
    <font>
      <b/>
      <sz val="11"/>
      <color indexed="29"/>
      <name val="Times New Roman"/>
      <family val="1"/>
    </font>
    <font>
      <b/>
      <sz val="9"/>
      <name val="Tahoma"/>
      <family val="2"/>
    </font>
    <font>
      <sz val="9"/>
      <name val="Tahoma"/>
      <family val="2"/>
    </font>
    <font>
      <b/>
      <sz val="8"/>
      <name val="Arial"/>
      <family val="2"/>
    </font>
  </fonts>
  <fills count="3">
    <fill>
      <patternFill/>
    </fill>
    <fill>
      <patternFill patternType="gray125"/>
    </fill>
    <fill>
      <patternFill patternType="solid">
        <fgColor indexed="43"/>
        <bgColor indexed="64"/>
      </patternFill>
    </fill>
  </fills>
  <borders count="3">
    <border>
      <left/>
      <right/>
      <top/>
      <bottom/>
      <diagonal/>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5" fontId="2" fillId="0" borderId="0" xfId="0" applyNumberFormat="1" applyFont="1" applyFill="1" applyAlignment="1">
      <alignment horizontal="center"/>
    </xf>
    <xf numFmtId="5" fontId="3" fillId="0" borderId="0" xfId="0" applyNumberFormat="1" applyFont="1" applyFill="1" applyAlignment="1">
      <alignment/>
    </xf>
    <xf numFmtId="5" fontId="4" fillId="0" borderId="0" xfId="0" applyNumberFormat="1" applyFont="1" applyFill="1" applyAlignment="1">
      <alignment horizontal="center" wrapText="1"/>
    </xf>
    <xf numFmtId="5" fontId="2" fillId="0" borderId="0" xfId="0" applyNumberFormat="1" applyFont="1" applyFill="1" applyAlignment="1">
      <alignment/>
    </xf>
    <xf numFmtId="5" fontId="3" fillId="0" borderId="0" xfId="0" applyNumberFormat="1" applyFont="1" applyFill="1" applyAlignment="1">
      <alignment horizontal="right"/>
    </xf>
    <xf numFmtId="5" fontId="4" fillId="0" borderId="0" xfId="0" applyNumberFormat="1" applyFont="1" applyFill="1" applyAlignment="1">
      <alignment/>
    </xf>
    <xf numFmtId="5" fontId="4" fillId="0" borderId="1" xfId="0" applyNumberFormat="1" applyFont="1" applyFill="1" applyBorder="1" applyAlignment="1">
      <alignment horizontal="right"/>
    </xf>
    <xf numFmtId="5" fontId="2" fillId="0" borderId="0" xfId="0" applyNumberFormat="1" applyFont="1" applyFill="1" applyBorder="1" applyAlignment="1">
      <alignment/>
    </xf>
    <xf numFmtId="5" fontId="4" fillId="0" borderId="0" xfId="0" applyNumberFormat="1" applyFont="1" applyFill="1" applyBorder="1" applyAlignment="1">
      <alignment horizontal="right"/>
    </xf>
    <xf numFmtId="5" fontId="3" fillId="0" borderId="0" xfId="0" applyNumberFormat="1" applyFont="1" applyFill="1" applyBorder="1" applyAlignment="1">
      <alignment horizontal="right"/>
    </xf>
    <xf numFmtId="0" fontId="3" fillId="0" borderId="0" xfId="0" applyFont="1" applyAlignment="1">
      <alignment/>
    </xf>
    <xf numFmtId="5" fontId="4" fillId="0" borderId="0" xfId="0" applyNumberFormat="1" applyFont="1" applyFill="1" applyAlignment="1">
      <alignment horizontal="right"/>
    </xf>
    <xf numFmtId="5" fontId="4" fillId="0" borderId="2" xfId="0" applyNumberFormat="1" applyFont="1" applyFill="1" applyBorder="1" applyAlignment="1">
      <alignment horizontal="right"/>
    </xf>
    <xf numFmtId="5" fontId="1" fillId="0" borderId="0" xfId="0" applyNumberFormat="1" applyFont="1" applyFill="1" applyAlignment="1">
      <alignment horizontal="center"/>
    </xf>
    <xf numFmtId="5" fontId="10" fillId="0" borderId="0" xfId="0" applyNumberFormat="1" applyFont="1" applyFill="1" applyAlignment="1">
      <alignment horizontal="center" wrapText="1"/>
    </xf>
    <xf numFmtId="5" fontId="12" fillId="0" borderId="0" xfId="0" applyNumberFormat="1" applyFont="1" applyFill="1" applyAlignment="1">
      <alignment/>
    </xf>
    <xf numFmtId="5" fontId="12" fillId="0" borderId="0" xfId="0" applyNumberFormat="1" applyFont="1" applyFill="1" applyAlignment="1">
      <alignment horizontal="center"/>
    </xf>
    <xf numFmtId="0" fontId="14" fillId="0" borderId="0" xfId="0" applyFont="1" applyAlignment="1">
      <alignment/>
    </xf>
    <xf numFmtId="5" fontId="10" fillId="0" borderId="0" xfId="0" applyNumberFormat="1" applyFont="1" applyFill="1" applyAlignment="1">
      <alignment/>
    </xf>
    <xf numFmtId="0" fontId="15" fillId="0" borderId="0" xfId="0" applyFont="1" applyAlignment="1">
      <alignment/>
    </xf>
    <xf numFmtId="5" fontId="14" fillId="0" borderId="0" xfId="0" applyNumberFormat="1" applyFont="1" applyAlignment="1">
      <alignment/>
    </xf>
    <xf numFmtId="0" fontId="4" fillId="0" borderId="0" xfId="0" applyFont="1" applyAlignment="1">
      <alignment/>
    </xf>
    <xf numFmtId="0" fontId="4" fillId="0" borderId="0" xfId="0" applyFont="1" applyFill="1" applyAlignment="1">
      <alignment/>
    </xf>
    <xf numFmtId="0" fontId="18" fillId="0" borderId="0" xfId="0" applyFont="1" applyAlignment="1">
      <alignment/>
    </xf>
    <xf numFmtId="0" fontId="10" fillId="0" borderId="0" xfId="0" applyFont="1" applyAlignment="1">
      <alignment/>
    </xf>
    <xf numFmtId="5" fontId="18" fillId="0" borderId="0" xfId="0" applyNumberFormat="1" applyFont="1" applyAlignment="1">
      <alignment/>
    </xf>
    <xf numFmtId="5" fontId="4" fillId="0" borderId="0" xfId="0" applyNumberFormat="1" applyFont="1" applyAlignment="1">
      <alignment/>
    </xf>
    <xf numFmtId="5" fontId="4" fillId="0" borderId="1" xfId="0" applyNumberFormat="1" applyFont="1" applyBorder="1" applyAlignment="1">
      <alignment/>
    </xf>
    <xf numFmtId="5" fontId="4" fillId="0" borderId="2" xfId="0" applyNumberFormat="1" applyFont="1" applyBorder="1" applyAlignment="1">
      <alignment/>
    </xf>
    <xf numFmtId="0" fontId="14" fillId="0" borderId="0" xfId="0" applyFont="1" applyFill="1" applyAlignment="1">
      <alignment/>
    </xf>
    <xf numFmtId="5" fontId="21" fillId="0" borderId="0" xfId="0" applyNumberFormat="1" applyFont="1" applyFill="1" applyBorder="1" applyAlignment="1">
      <alignment horizontal="right"/>
    </xf>
    <xf numFmtId="0" fontId="22" fillId="0" borderId="0" xfId="0" applyFont="1" applyAlignment="1">
      <alignment/>
    </xf>
    <xf numFmtId="0" fontId="22" fillId="0" borderId="0" xfId="0" applyFont="1" applyFill="1" applyAlignment="1">
      <alignment/>
    </xf>
    <xf numFmtId="5" fontId="21" fillId="0" borderId="0" xfId="0" applyNumberFormat="1" applyFont="1" applyFill="1" applyAlignment="1">
      <alignment horizontal="right"/>
    </xf>
    <xf numFmtId="5" fontId="4" fillId="0" borderId="0" xfId="0" applyNumberFormat="1" applyFont="1" applyFill="1" applyBorder="1" applyAlignment="1">
      <alignment horizontal="left"/>
    </xf>
    <xf numFmtId="49" fontId="23"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25" fillId="0" borderId="0" xfId="0" applyFont="1" applyAlignment="1">
      <alignment/>
    </xf>
    <xf numFmtId="5" fontId="27" fillId="0" borderId="0" xfId="0" applyNumberFormat="1" applyFont="1" applyFill="1" applyBorder="1" applyAlignment="1">
      <alignment horizontal="right"/>
    </xf>
    <xf numFmtId="178" fontId="28" fillId="0" borderId="0" xfId="15" applyNumberFormat="1" applyFont="1" applyAlignment="1">
      <alignment/>
    </xf>
    <xf numFmtId="5" fontId="24" fillId="0" borderId="0" xfId="0" applyNumberFormat="1" applyFont="1" applyFill="1" applyAlignment="1">
      <alignment horizontal="left"/>
    </xf>
    <xf numFmtId="5" fontId="29" fillId="0" borderId="0" xfId="0" applyNumberFormat="1" applyFont="1" applyFill="1" applyBorder="1" applyAlignment="1">
      <alignment horizontal="right"/>
    </xf>
    <xf numFmtId="5" fontId="29" fillId="0" borderId="1" xfId="0" applyNumberFormat="1" applyFont="1" applyFill="1" applyBorder="1" applyAlignment="1">
      <alignment horizontal="right"/>
    </xf>
    <xf numFmtId="5" fontId="30" fillId="0" borderId="0" xfId="0" applyNumberFormat="1" applyFont="1" applyAlignment="1">
      <alignment/>
    </xf>
    <xf numFmtId="5" fontId="31" fillId="0" borderId="0" xfId="0" applyNumberFormat="1" applyFont="1" applyFill="1" applyAlignment="1">
      <alignment horizontal="center" wrapText="1"/>
    </xf>
    <xf numFmtId="49" fontId="21" fillId="0" borderId="0" xfId="0" applyNumberFormat="1" applyFont="1" applyFill="1" applyBorder="1" applyAlignment="1">
      <alignment horizontal="left"/>
    </xf>
    <xf numFmtId="5" fontId="26" fillId="2" borderId="0" xfId="0" applyNumberFormat="1" applyFont="1" applyFill="1" applyAlignment="1">
      <alignment horizontal="left"/>
    </xf>
    <xf numFmtId="5" fontId="23" fillId="0" borderId="0" xfId="0" applyNumberFormat="1" applyFont="1" applyFill="1" applyAlignment="1">
      <alignment horizontal="left"/>
    </xf>
    <xf numFmtId="5" fontId="24" fillId="0" borderId="0" xfId="0" applyNumberFormat="1" applyFont="1" applyFill="1" applyAlignment="1">
      <alignment horizontal="center"/>
    </xf>
    <xf numFmtId="5" fontId="9" fillId="0" borderId="0" xfId="0" applyNumberFormat="1" applyFont="1" applyFill="1" applyAlignment="1">
      <alignment horizontal="center"/>
    </xf>
    <xf numFmtId="0" fontId="14" fillId="0" borderId="0" xfId="0" applyFont="1" applyAlignment="1">
      <alignment/>
    </xf>
    <xf numFmtId="5" fontId="10" fillId="0" borderId="0" xfId="0" applyNumberFormat="1" applyFont="1" applyFill="1" applyAlignment="1" quotePrefix="1">
      <alignment horizontal="center"/>
    </xf>
    <xf numFmtId="0" fontId="15" fillId="0" borderId="0" xfId="0" applyFont="1" applyAlignment="1">
      <alignment horizontal="center"/>
    </xf>
    <xf numFmtId="5" fontId="1" fillId="0" borderId="0" xfId="0" applyNumberFormat="1" applyFont="1" applyFill="1" applyAlignment="1">
      <alignment horizontal="center"/>
    </xf>
    <xf numFmtId="5" fontId="2" fillId="0"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6"/>
        <xdr:cNvSpPr txBox="1">
          <a:spLocks noChangeArrowheads="1"/>
        </xdr:cNvSpPr>
      </xdr:nvSpPr>
      <xdr:spPr>
        <a:xfrm>
          <a:off x="76200" y="13811250"/>
          <a:ext cx="159162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94</xdr:row>
      <xdr:rowOff>95250</xdr:rowOff>
    </xdr:to>
    <xdr:sp>
      <xdr:nvSpPr>
        <xdr:cNvPr id="1" name="TextBox 1"/>
        <xdr:cNvSpPr txBox="1">
          <a:spLocks noChangeArrowheads="1"/>
        </xdr:cNvSpPr>
      </xdr:nvSpPr>
      <xdr:spPr>
        <a:xfrm>
          <a:off x="76200" y="13830300"/>
          <a:ext cx="15001875" cy="436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79220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94</xdr:row>
      <xdr:rowOff>19050</xdr:rowOff>
    </xdr:to>
    <xdr:sp>
      <xdr:nvSpPr>
        <xdr:cNvPr id="1" name="TextBox 1"/>
        <xdr:cNvSpPr txBox="1">
          <a:spLocks noChangeArrowheads="1"/>
        </xdr:cNvSpPr>
      </xdr:nvSpPr>
      <xdr:spPr>
        <a:xfrm>
          <a:off x="76200" y="13830300"/>
          <a:ext cx="15001875" cy="428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83030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tolls and admissions, fines, taxes, etc.
7. Other Non-Operating Expenditures includes categories such as refunds, payment of sales taxes, or indirect costs.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79220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79220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801725"/>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11</xdr:col>
      <xdr:colOff>685800</xdr:colOff>
      <xdr:row>0</xdr:row>
      <xdr:rowOff>0</xdr:rowOff>
    </xdr:to>
    <xdr:sp>
      <xdr:nvSpPr>
        <xdr:cNvPr id="1" name="TextBox 1"/>
        <xdr:cNvSpPr txBox="1">
          <a:spLocks noChangeArrowheads="1"/>
        </xdr:cNvSpPr>
      </xdr:nvSpPr>
      <xdr:spPr>
        <a:xfrm>
          <a:off x="76200" y="0"/>
          <a:ext cx="11001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11</xdr:col>
      <xdr:colOff>685800</xdr:colOff>
      <xdr:row>0</xdr:row>
      <xdr:rowOff>0</xdr:rowOff>
    </xdr:to>
    <xdr:sp>
      <xdr:nvSpPr>
        <xdr:cNvPr id="1" name="TextBox 1"/>
        <xdr:cNvSpPr txBox="1">
          <a:spLocks noChangeArrowheads="1"/>
        </xdr:cNvSpPr>
      </xdr:nvSpPr>
      <xdr:spPr>
        <a:xfrm>
          <a:off x="76200" y="0"/>
          <a:ext cx="1074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84935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11</xdr:col>
      <xdr:colOff>685800</xdr:colOff>
      <xdr:row>0</xdr:row>
      <xdr:rowOff>0</xdr:rowOff>
    </xdr:to>
    <xdr:sp>
      <xdr:nvSpPr>
        <xdr:cNvPr id="1" name="TextBox 3"/>
        <xdr:cNvSpPr txBox="1">
          <a:spLocks noChangeArrowheads="1"/>
        </xdr:cNvSpPr>
      </xdr:nvSpPr>
      <xdr:spPr>
        <a:xfrm>
          <a:off x="76200" y="0"/>
          <a:ext cx="1074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190500</xdr:rowOff>
    </xdr:from>
    <xdr:to>
      <xdr:col>11</xdr:col>
      <xdr:colOff>685800</xdr:colOff>
      <xdr:row>94</xdr:row>
      <xdr:rowOff>85725</xdr:rowOff>
    </xdr:to>
    <xdr:sp>
      <xdr:nvSpPr>
        <xdr:cNvPr id="1" name="TextBox 1"/>
        <xdr:cNvSpPr txBox="1">
          <a:spLocks noChangeArrowheads="1"/>
        </xdr:cNvSpPr>
      </xdr:nvSpPr>
      <xdr:spPr>
        <a:xfrm>
          <a:off x="0" y="14058900"/>
          <a:ext cx="14811375" cy="428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801725"/>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71</xdr:row>
      <xdr:rowOff>123825</xdr:rowOff>
    </xdr:from>
    <xdr:to>
      <xdr:col>11</xdr:col>
      <xdr:colOff>685800</xdr:colOff>
      <xdr:row>95</xdr:row>
      <xdr:rowOff>133350</xdr:rowOff>
    </xdr:to>
    <xdr:sp>
      <xdr:nvSpPr>
        <xdr:cNvPr id="1" name="TextBox 1"/>
        <xdr:cNvSpPr txBox="1">
          <a:spLocks noChangeArrowheads="1"/>
        </xdr:cNvSpPr>
      </xdr:nvSpPr>
      <xdr:spPr>
        <a:xfrm>
          <a:off x="76200" y="13830300"/>
          <a:ext cx="15001875" cy="4591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1.  The Educational and General budget funds the general instruction, research and public service operations of the universities. Universities have accumulated ending fund balances for activities such as the implementation of Enterprise Resource Program systems, contingency for unfunded enrollment growth,  potential budget reductions, anticipated increases in utilities, and prior year encumbrances (recorded, estimated liability at year-end for ordered or received goods or services), and compliance with Section 1011.40(2) F.S. on maintaining a 5% reserve.
2. The Contracts and Grants budget contains activities in support of research, public service and training. Large fund balances are due to the timing of receipt of Federal contract or grants.
3. Auxiliaries are ancillary support units on each university campus. Some of the major activities include housing, food services, book stores, student health centers, facilities management, and computer support. Ending fund balances includes financial activities such as debt service payments, reserve, repair and replacement reserves for future maintenance costs, construction/renovation of auxiliary facilities, and prior year encumbrances.
4. Local funds include the following university activities:
a. Student Activities - Supported primarily by the student activity and service fee and funds operations of the student government, cultural events, organizations, and intramural/club sports. 
b. Financial Aid - This activity represents the financial aid amounts for which the university is fiscally responsible. Examples include: student financial aid fee, bright futures, federal grants, college work study, and scholarships.  The  ending fund balance represents a timing difference between the receipts of funds and disbursement to the students. 
c. Concessions - These resources are generated from various vending machines located on the university campuses.
d. Athletics - Revenues are primarily derived from the student athletic fee, ticket sales, and sales of goods.  Sufficient fund balances are maintained to provide the necessary support for ongoing athletic activities.
e. Self-Insurance Program - These programs at UF and USF are directed by the respective self-insurance councils and the captive insurance companies (These companies underwrite the risks of its owner and the owner's affiliates.). These activities are supported by premiums charged to the insured individuals and entities (primarily medical faculty and institutions).  
5. Faculty Practice - The Faculty Practice Plan collects and distributes income from faculty billings for patient services to the University of Florida and University of South Florida Health Science Centers.
6. Other Receipts/Revenues includes categories such as interest, penalties, refunds, admissions, fines, taxes, etc.
7. Other Non-Operating Expenditures includes categories such as refunds, payment of sales taxes, or indirect costs.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2"/>
  <sheetViews>
    <sheetView tabSelected="1" zoomScale="65" zoomScaleNormal="65" zoomScaleSheetLayoutView="70" workbookViewId="0" topLeftCell="A1">
      <pane xSplit="2" ySplit="6" topLeftCell="C7" activePane="bottomRight" state="frozen"/>
      <selection pane="topLeft" activeCell="A1" sqref="A1"/>
      <selection pane="topRight" activeCell="C1" sqref="C1"/>
      <selection pane="bottomLeft" activeCell="A7" sqref="A7"/>
      <selection pane="bottomRight" activeCell="C9" sqref="C9"/>
    </sheetView>
  </sheetViews>
  <sheetFormatPr defaultColWidth="8.88671875" defaultRowHeight="15"/>
  <cols>
    <col min="1" max="1" width="3.10546875" style="11" bestFit="1" customWidth="1"/>
    <col min="2" max="2" width="31.77734375" style="18" customWidth="1"/>
    <col min="3" max="3" width="16.77734375" style="18" bestFit="1" customWidth="1"/>
    <col min="4" max="4" width="16.3359375" style="18" bestFit="1" customWidth="1"/>
    <col min="5" max="5" width="15.99609375" style="18" bestFit="1" customWidth="1"/>
    <col min="6" max="6" width="15.88671875" style="18" customWidth="1"/>
    <col min="7" max="7" width="16.5546875" style="18" bestFit="1" customWidth="1"/>
    <col min="8" max="8" width="16.6640625" style="18" bestFit="1" customWidth="1"/>
    <col min="9" max="9" width="14.99609375" style="18" bestFit="1" customWidth="1"/>
    <col min="10" max="10" width="14.3359375" style="18" customWidth="1"/>
    <col min="11" max="11" width="16.10546875" style="18" bestFit="1" customWidth="1"/>
    <col min="12" max="12" width="15.88671875" style="24" bestFit="1" customWidth="1"/>
    <col min="13" max="13" width="16.21484375" style="18" bestFit="1" customWidth="1"/>
    <col min="14" max="16384" width="8.88671875" style="18" customWidth="1"/>
  </cols>
  <sheetData>
    <row r="1" spans="2:12" ht="15.75">
      <c r="B1" s="50" t="s">
        <v>0</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14"/>
      <c r="C4" s="14"/>
    </row>
    <row r="5" spans="1:12" s="20" customFormat="1" ht="18">
      <c r="A5" s="11"/>
      <c r="B5" s="19"/>
      <c r="C5" s="15" t="s">
        <v>66</v>
      </c>
      <c r="D5" s="15" t="s">
        <v>68</v>
      </c>
      <c r="E5" s="15"/>
      <c r="F5" s="52" t="s">
        <v>65</v>
      </c>
      <c r="G5" s="53"/>
      <c r="H5" s="53"/>
      <c r="I5" s="53"/>
      <c r="J5" s="53"/>
      <c r="K5" s="15" t="s">
        <v>74</v>
      </c>
      <c r="L5" s="25"/>
    </row>
    <row r="6" spans="1:12" s="20" customFormat="1" ht="18">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f>+UF!C8+IFAS!C8+'UF HSC'!C8+FSU!C8+'FSU MS'!C8+FAMU!C8+USF!C8+'USF HSC'!C8+FAU!C8+UWF!C8+UCF!C8+FIU!C8+UNF!C8+FGCU!C8+NCF!C8+Sheet1!C8</f>
        <v>306694952</v>
      </c>
      <c r="D8" s="43">
        <f>+UF!D8+IFAS!D8+'UF HSC'!D8+FSU!D8+'FSU MS'!D8+FAMU!D8+USF!D8+'USF HSC'!D8+FAU!D8+UWF!D8+UCF!D8+FIU!D8+UNF!D8+FGCU!D8+NCF!D8</f>
        <v>328554097</v>
      </c>
      <c r="E8" s="43">
        <f>+UF!E8+IFAS!E8+'UF HSC'!E8+FSU!E8+'FSU MS'!E8+FAMU!E8+USF!E8+'USF HSC'!E8+FAU!E8+UWF!E8+UCF!E8+FIU!E8+UNF!E8+FGCU!E8+NCF!E8</f>
        <v>423990002</v>
      </c>
      <c r="F8" s="43">
        <f>+UF!F8+IFAS!F8+'UF HSC'!F8+FSU!F8+'FSU MS'!F8+FAMU!F8+USF!F8+'USF HSC'!F8+FAU!F8+UWF!F8+UCF!F8+FIU!F8+UNF!F8+FGCU!F8+NCF!F8</f>
        <v>42301406</v>
      </c>
      <c r="G8" s="43">
        <f>+UF!G8+IFAS!G8+'UF HSC'!G8+FSU!G8+'FSU MS'!G8+FAMU!G8+USF!G8+'USF HSC'!G8+FAU!G8+UWF!G8+UCF!G8+FIU!G8+UNF!G8+FGCU!G8+NCF!G8</f>
        <v>139456636</v>
      </c>
      <c r="H8" s="43">
        <f>+UF!H8+IFAS!H8+'UF HSC'!H8+FSU!H8+'FSU MS'!H8+FAMU!H8+USF!H8+'USF HSC'!H8+FAU!H8+UWF!H8+UCF!H8+FIU!H8+UNF!H8+FGCU!H8+NCF!H8</f>
        <v>3616538</v>
      </c>
      <c r="I8" s="43">
        <f>+UF!I8+IFAS!I8+'UF HSC'!I8+FSU!I8+'FSU MS'!I8+FAMU!I8+USF!I8+'USF HSC'!I8+FAU!I8+UWF!I8+UCF!I8+FIU!I8+UNF!I8+FGCU!I8+NCF!I8</f>
        <v>40129348</v>
      </c>
      <c r="J8" s="43">
        <f>+UF!J8+IFAS!J8+'UF HSC'!J8+FSU!J8+'FSU MS'!J8+FAMU!J8+USF!J8+'USF HSC'!J8+FAU!J8+UWF!J8+UCF!J8+FIU!J8+UNF!J8+FGCU!J8+NCF!J8</f>
        <v>81508629</v>
      </c>
      <c r="K8" s="43">
        <f>+UF!K8+IFAS!K8+'UF HSC'!K8+FSU!K8+'FSU MS'!K8+FAMU!K8+USF!K8+'USF HSC'!K8+FAU!K8+UWF!K8+UCF!K8+FIU!K8+UNF!K8+FGCU!K8+NCF!K8</f>
        <v>129738177</v>
      </c>
      <c r="L8" s="7">
        <f>SUM(C8:K8)</f>
        <v>1495989785</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f>+UF!C11+IFAS!C11+'UF HSC'!C11+FSU!C11+'FSU MS'!C11+FAMU!C11+USF!C11+'USF HSC'!C11+FAU!C11+UWF!C11+UCF!C11+FIU!C11+UNF!C11+FGCU!C11+NCF!C11</f>
        <v>128230020</v>
      </c>
      <c r="D11" s="42"/>
      <c r="E11" s="42"/>
      <c r="F11" s="42"/>
      <c r="G11" s="42"/>
      <c r="H11" s="42"/>
      <c r="I11" s="42"/>
      <c r="J11" s="42"/>
      <c r="K11" s="42"/>
      <c r="L11" s="27">
        <f>SUM(C11:K11)</f>
        <v>128230020</v>
      </c>
    </row>
    <row r="12" spans="1:12" ht="15.75">
      <c r="A12" s="11">
        <f t="shared" si="0"/>
        <v>5</v>
      </c>
      <c r="B12" s="6" t="s">
        <v>79</v>
      </c>
      <c r="C12" s="9">
        <f>+UF!C12+IFAS!C12+'UF HSC'!C12+FSU!C12+'FSU MS'!C12+FAMU!C12+USF!C12+'USF HSC'!C12+FAU!C12+UWF!C12+UCF!C12+FIU!C12+UNF!C12+FGCU!C12+NCF!C12</f>
        <v>1853034188</v>
      </c>
      <c r="D12" s="42"/>
      <c r="E12" s="42"/>
      <c r="F12" s="42"/>
      <c r="G12" s="42"/>
      <c r="H12" s="42"/>
      <c r="I12" s="42"/>
      <c r="J12" s="42"/>
      <c r="K12" s="42"/>
      <c r="L12" s="27">
        <f aca="true" t="shared" si="1" ref="L12:L67">SUM(C12:K12)</f>
        <v>1853034188</v>
      </c>
    </row>
    <row r="13" spans="1:12" ht="15.75">
      <c r="A13" s="11">
        <f t="shared" si="0"/>
        <v>6</v>
      </c>
      <c r="B13" s="6" t="s">
        <v>42</v>
      </c>
      <c r="C13" s="9"/>
      <c r="D13" s="42"/>
      <c r="E13" s="42"/>
      <c r="F13" s="42"/>
      <c r="G13" s="42"/>
      <c r="H13" s="42"/>
      <c r="I13" s="42"/>
      <c r="J13" s="42"/>
      <c r="K13" s="42"/>
      <c r="L13" s="27">
        <f t="shared" si="1"/>
        <v>0</v>
      </c>
    </row>
    <row r="14" spans="1:12" ht="15.75">
      <c r="A14" s="11">
        <f t="shared" si="0"/>
        <v>7</v>
      </c>
      <c r="B14" s="6" t="s">
        <v>8</v>
      </c>
      <c r="C14" s="9">
        <f>+UF!C14+IFAS!C13+'UF HSC'!C13+FSU!C14+'FSU MS'!C13+FAMU!C14+USF!C14+'USF HSC'!C13+FAU!C14+UWF!C14+UCF!C14+FIU!C14+UNF!C14+FGCU!C14+NCF!C14</f>
        <v>750354229</v>
      </c>
      <c r="D14" s="42"/>
      <c r="E14" s="42"/>
      <c r="F14" s="42"/>
      <c r="G14" s="42"/>
      <c r="H14" s="42"/>
      <c r="I14" s="42"/>
      <c r="J14" s="42"/>
      <c r="K14" s="42"/>
      <c r="L14" s="27">
        <f t="shared" si="1"/>
        <v>750354229</v>
      </c>
    </row>
    <row r="15" spans="1:12" ht="15.75">
      <c r="A15" s="11">
        <f t="shared" si="0"/>
        <v>8</v>
      </c>
      <c r="B15" s="6" t="s">
        <v>70</v>
      </c>
      <c r="C15" s="9">
        <v>6583722</v>
      </c>
      <c r="D15" s="42"/>
      <c r="E15" s="42"/>
      <c r="F15" s="42"/>
      <c r="G15" s="42"/>
      <c r="H15" s="42"/>
      <c r="I15" s="42"/>
      <c r="J15" s="42"/>
      <c r="K15" s="42"/>
      <c r="L15" s="27">
        <f t="shared" si="1"/>
        <v>6583722</v>
      </c>
    </row>
    <row r="16" spans="1:12" ht="15.75">
      <c r="A16" s="11">
        <f>+A15+1</f>
        <v>9</v>
      </c>
      <c r="B16" s="6" t="s">
        <v>43</v>
      </c>
      <c r="C16" s="9">
        <f>+IFAS!C14</f>
        <v>7509865</v>
      </c>
      <c r="D16" s="42">
        <f>+UF!D16+IFAS!D13+'UF HSC'!D13+FSU!D16+'FSU MS'!D16+FAMU!D16+USF!D16+'USF HSC'!D16+FAU!D16+UWF!D16+UCF!D16+FIU!D16+UNF!D16+FGCU!D16+NCF!D16</f>
        <v>709500842</v>
      </c>
      <c r="E16" s="42"/>
      <c r="F16" s="42"/>
      <c r="G16" s="42">
        <f>+UF!G16+IFAS!G13+'UF HSC'!G13+FSU!G16+'FSU MS'!G16+FAMU!G16+USF!G16+'USF HSC'!G16+FAU!G16+UWF!G16+UCF!G16+FIU!G16+UNF!G16+FGCU!G16+NCF!G16</f>
        <v>431071667</v>
      </c>
      <c r="H16" s="42"/>
      <c r="I16" s="42"/>
      <c r="J16" s="42"/>
      <c r="K16" s="42"/>
      <c r="L16" s="27">
        <f t="shared" si="1"/>
        <v>1148082374</v>
      </c>
    </row>
    <row r="17" spans="1:12" ht="15.75">
      <c r="A17" s="11">
        <f t="shared" si="0"/>
        <v>10</v>
      </c>
      <c r="B17" s="6" t="s">
        <v>44</v>
      </c>
      <c r="C17" s="9"/>
      <c r="D17" s="42">
        <f>+UF!D17+IFAS!D16+'UF HSC'!D17+FSU!D17+'FSU MS'!D17+FAMU!D17+USF!D17+'USF HSC'!D17+FAU!D17+UWF!D17+UCF!D17+FIU!D17+UNF!D17+FGCU!D17+NCF!D17</f>
        <v>8466897</v>
      </c>
      <c r="E17" s="42"/>
      <c r="F17" s="42"/>
      <c r="G17" s="42">
        <f>+UF!G17+IFAS!G16+'UF HSC'!G17+FSU!G17+'FSU MS'!G17+FAMU!G17+USF!G17+'USF HSC'!G17+FAU!G17+UWF!G17+UCF!G17+FIU!G17+UNF!G17+FGCU!G17+NCF!G17</f>
        <v>168147341</v>
      </c>
      <c r="H17" s="42"/>
      <c r="I17" s="42"/>
      <c r="J17" s="42"/>
      <c r="K17" s="42"/>
      <c r="L17" s="27">
        <f t="shared" si="1"/>
        <v>176614238</v>
      </c>
    </row>
    <row r="18" spans="1:12" ht="15.75">
      <c r="A18" s="11">
        <f t="shared" si="0"/>
        <v>11</v>
      </c>
      <c r="B18" s="6" t="s">
        <v>45</v>
      </c>
      <c r="C18" s="9"/>
      <c r="D18" s="42">
        <f>+UF!D18+IFAS!D18+FSU!D18+'FSU MS'!D18+FAMU!D18+USF!D18+'USF HSC'!D18+FAU!D18+UWF!D18+UCF!D18+FIU!D18+UNF!D18+FGCU!D18+NCF!D18</f>
        <v>128247367</v>
      </c>
      <c r="E18" s="42">
        <f>+UF!E18+IFAS!E18+FSU!E18+'FSU MS'!E18+FAMU!E18+USF!E18+'USF HSC'!E18+FAU!E18+UWF!E18+UCF!E18+FIU!E18+UNF!E18+FGCU!E18+NCF!E18</f>
        <v>32501</v>
      </c>
      <c r="F18" s="42">
        <f>+UF!F18+IFAS!F18+FSU!F18+'FSU MS'!F18+FAMU!F18+USF!F18+'USF HSC'!F18+FAU!F18+UWF!F18+UCF!F18+FIU!F18+UNF!F18+FGCU!F18+NCF!F18</f>
        <v>115169</v>
      </c>
      <c r="G18" s="42">
        <f>+UF!G18+IFAS!G18+FSU!G18+'FSU MS'!G18+FAMU!G18+USF!G18+'USF HSC'!G18+FAU!G18+UWF!G18+UCF!G18+FIU!G18+UNF!G18+FGCU!G18+NCF!G18</f>
        <v>120023419</v>
      </c>
      <c r="H18" s="42"/>
      <c r="I18" s="42"/>
      <c r="J18" s="42"/>
      <c r="K18" s="42"/>
      <c r="L18" s="27">
        <f t="shared" si="1"/>
        <v>248418456</v>
      </c>
    </row>
    <row r="19" spans="1:12" ht="15.75">
      <c r="A19" s="11">
        <f t="shared" si="0"/>
        <v>12</v>
      </c>
      <c r="B19" s="6" t="s">
        <v>46</v>
      </c>
      <c r="C19" s="9"/>
      <c r="D19" s="42">
        <f>+UF!D19+IFAS!D19+'UF HSC'!D18+FSU!D19+'FSU MS'!D19+FAMU!D19+USF!D19+'USF HSC'!D19+FAU!D19+UWF!D19+UCF!D19+FIU!D19+UNF!D19+FGCU!D19+NCF!D19</f>
        <v>308961414</v>
      </c>
      <c r="E19" s="42"/>
      <c r="F19" s="42">
        <f>+UF!F19+IFAS!F19+'UF HSC'!F18+FSU!F19+'FSU MS'!F19+FAMU!F19+USF!F19+'USF HSC'!F19+FAU!F19+UWF!F19+UCF!F19+FIU!F19+UNF!F19+FGCU!F19+NCF!F19</f>
        <v>16500</v>
      </c>
      <c r="G19" s="42">
        <f>+UF!G19+IFAS!G19+'UF HSC'!G18+FSU!G19+'FSU MS'!G19+FAMU!G19+USF!G19+'USF HSC'!G19+FAU!G19+UWF!G19+UCF!G19+FIU!G19+UNF!G19+FGCU!G19+NCF!G19</f>
        <v>89964180</v>
      </c>
      <c r="H19" s="42"/>
      <c r="I19" s="42">
        <f>+UF!I19+IFAS!I19+'UF HSC'!I18+FSU!I19+'FSU MS'!I19+FAMU!I19+USF!I19+'USF HSC'!I19+FAU!I19+UWF!I19+UCF!I19+FIU!I19+UNF!I19+FGCU!I19+NCF!I19</f>
        <v>21814775</v>
      </c>
      <c r="J19" s="42"/>
      <c r="K19" s="42">
        <f>+UF!K19+IFAS!K19+'UF HSC'!K18+FSU!K19+'FSU MS'!K19+FAMU!K19+USF!K19+'USF HSC'!K19+FAU!K19+UWF!K19+UCF!K19+FIU!K19+UNF!K19+FGCU!K19+NCF!K19</f>
        <v>47530506</v>
      </c>
      <c r="L19" s="27">
        <f t="shared" si="1"/>
        <v>468287375</v>
      </c>
    </row>
    <row r="20" spans="1:12" ht="15.75">
      <c r="A20" s="11">
        <f t="shared" si="0"/>
        <v>13</v>
      </c>
      <c r="B20" s="6" t="s">
        <v>97</v>
      </c>
      <c r="C20" s="9">
        <f>+UF!C20+'UF HSC'!C16+FSU!C20+FAMU!C20+USF!C20+FAU!C20+UWF!C20+UCF!C20+FIU!C20+UNF!C20+FGCU!C20+NCF!C20</f>
        <v>3700000</v>
      </c>
      <c r="D20" s="42">
        <f>+UF!D20+IFAS!D20+'UF HSC'!D19+FSU!D20+'FSU MS'!D20+FAMU!D20+USF!D20+'USF HSC'!D20+FAU!D20+UWF!D20+UCF!D20+FIU!D20+UNF!D20+FGCU!D20+NCF!D20</f>
        <v>160144853</v>
      </c>
      <c r="E20" s="42">
        <f>+UF!E20+IFAS!E20+'UF HSC'!E19+FSU!E20+'FSU MS'!E20+FAMU!E20+USF!E20+'USF HSC'!E20+FAU!E20+UWF!E20+UCF!E20+FIU!E20+UNF!E20+FGCU!E20+NCF!E20</f>
        <v>395750</v>
      </c>
      <c r="F20" s="42"/>
      <c r="G20" s="42">
        <f>+UF!G20+IFAS!G20+'UF HSC'!G19+FSU!G20+'FSU MS'!G20+FAMU!G20+USF!G20+'USF HSC'!G20+FAU!G20+UWF!G20+UCF!G20+FIU!G20+UNF!G20+FGCU!G20+NCF!G20</f>
        <v>22000000</v>
      </c>
      <c r="H20" s="42"/>
      <c r="I20" s="42"/>
      <c r="J20" s="42"/>
      <c r="K20" s="42"/>
      <c r="L20" s="27">
        <f t="shared" si="1"/>
        <v>186240603</v>
      </c>
    </row>
    <row r="21" spans="1:12" ht="15.75">
      <c r="A21" s="11">
        <f t="shared" si="0"/>
        <v>14</v>
      </c>
      <c r="B21" s="6" t="s">
        <v>47</v>
      </c>
      <c r="C21" s="9">
        <f>+'UF HSC'!C14+FSU!C21</f>
        <v>9500000</v>
      </c>
      <c r="D21" s="42">
        <f>+UF!D21+IFAS!D21+'UF HSC'!D20+FSU!D21+'FSU MS'!D21+FAMU!D21+USF!D21+'USF HSC'!D21+FAU!D21+UWF!D21+UCF!D21+FIU!D21+UNF!D21+FGCU!D21+NCF!D21</f>
        <v>153658265</v>
      </c>
      <c r="E21" s="42">
        <f>+UF!E21+IFAS!E21+'UF HSC'!E20+FSU!E21+'FSU MS'!E21+FAMU!E21+USF!E21+'USF HSC'!E21+FAU!E21+UWF!E21+UCF!E21+FIU!E21+UNF!E21+FGCU!E21+NCF!E21</f>
        <v>155125235</v>
      </c>
      <c r="F21" s="42">
        <f>+UF!F21+IFAS!F21+'UF HSC'!F20+FSU!F21+'FSU MS'!F21+FAMU!F21+USF!F21+'USF HSC'!F21+FAU!F21+UWF!F21+UCF!F21+FIU!F21+UNF!F21+FGCU!F21+NCF!F21</f>
        <v>30372552</v>
      </c>
      <c r="G21" s="42">
        <f>+UF!G21+IFAS!G21+'UF HSC'!G20+FSU!G21+'FSU MS'!G21+FAMU!G21+USF!G21+'USF HSC'!G21+FAU!G21+UWF!G21+UCF!G21+FIU!G21+UNF!G21+FGCU!G21+NCF!G21</f>
        <v>50355931</v>
      </c>
      <c r="H21" s="42">
        <f>+UF!H21+IFAS!H21+'UF HSC'!H20+FSU!H21+'FSU MS'!H21+FAMU!H21+USF!H21+'USF HSC'!H21+FAU!H21+UWF!H21+UCF!H21+FIU!H21+UNF!H21+FGCU!H21+NCF!H21</f>
        <v>857247</v>
      </c>
      <c r="I21" s="42">
        <f>+UF!I21+IFAS!I21+'UF HSC'!I20+FSU!I21+'FSU MS'!I21+FAMU!I21+USF!I21+'USF HSC'!I21+FAU!I21+UWF!I21+UCF!I21+FIU!I21+UNF!I21+FGCU!I21+NCF!I21</f>
        <v>12570159</v>
      </c>
      <c r="J21" s="42"/>
      <c r="K21" s="42">
        <f>+UF!K21+IFAS!K21+'UF HSC'!K20+FSU!K21+'FSU MS'!K21+FAMU!K21+USF!K21+'USF HSC'!K21+FAU!K21+UWF!K21+UCF!K21+FIU!K21+UNF!K21+FGCU!K21+NCF!K21</f>
        <v>150000</v>
      </c>
      <c r="L21" s="27">
        <f t="shared" si="1"/>
        <v>412589389</v>
      </c>
    </row>
    <row r="22" spans="1:12" ht="15.75">
      <c r="A22" s="11">
        <f t="shared" si="0"/>
        <v>15</v>
      </c>
      <c r="B22" s="6" t="s">
        <v>48</v>
      </c>
      <c r="C22" s="9">
        <f>+IFAS!C15+'UF HSC'!C15</f>
        <v>8274440</v>
      </c>
      <c r="D22" s="42">
        <f>+UF!D22+IFAS!D22+'UF HSC'!D21+FSU!D22+'FSU MS'!D22+FAMU!D22+USF!D22+'USF HSC'!D22+FAU!D22+UWF!D22+UCF!D22+FIU!D22+UNF!D22+FGCU!D22+NCF!D22</f>
        <v>89706748</v>
      </c>
      <c r="E22" s="42">
        <f>+UF!E22+IFAS!E22+'UF HSC'!E21+FSU!E22+'FSU MS'!E22+FAMU!E22+USF!E22+'USF HSC'!E22+FAU!E22+UWF!E22+UCF!E22+FIU!E22+UNF!E22+FGCU!E22+NCF!E22</f>
        <v>322279500</v>
      </c>
      <c r="F22" s="42">
        <f>+UF!F22+IFAS!F22+'UF HSC'!F21+FSU!F22+'FSU MS'!F22+FAMU!F22+USF!F22+'USF HSC'!F22+FAU!F22+UWF!F22+UCF!F22+FIU!F22+UNF!F22+FGCU!F22+NCF!F22</f>
        <v>1109850</v>
      </c>
      <c r="G22" s="42"/>
      <c r="H22" s="42">
        <f>+UF!H22+IFAS!H22+'UF HSC'!H21+FSU!H22+'FSU MS'!H22+FAMU!H22+USF!H22+'USF HSC'!H22+FAU!H22+UWF!H22+UCF!H22+FIU!H22+UNF!H22+FGCU!H22+NCF!H22</f>
        <v>460000</v>
      </c>
      <c r="I22" s="42">
        <f>+UF!I22+IFAS!I22+'UF HSC'!I21+FSU!I22+'FSU MS'!I22+FAMU!I22+USF!I22+'USF HSC'!I22+FAU!I22+UWF!I22+UCF!I22+FIU!I22+UNF!I22+FGCU!I22+NCF!I22</f>
        <v>62283875</v>
      </c>
      <c r="J22" s="42"/>
      <c r="K22" s="42">
        <f>+UF!K22+IFAS!K22+'UF HSC'!K21+FSU!K22+'FSU MS'!K22+FAMU!K22+USF!K22+'USF HSC'!K22+FAU!K22+UWF!K22+UCF!K22+FIU!K22+UNF!K22+FGCU!K22+NCF!K22</f>
        <v>4600000</v>
      </c>
      <c r="L22" s="27">
        <f t="shared" si="1"/>
        <v>488714413</v>
      </c>
    </row>
    <row r="23" spans="1:12" ht="15.75">
      <c r="A23" s="11">
        <f t="shared" si="0"/>
        <v>16</v>
      </c>
      <c r="B23" s="6" t="s">
        <v>54</v>
      </c>
      <c r="C23" s="9"/>
      <c r="D23" s="42"/>
      <c r="E23" s="42">
        <f>+UF!E23+IFAS!E23+'UF HSC'!E22+FSU!E23+'FSU MS'!E23+FAMU!E23+USF!E23+'USF HSC'!E23+FAU!E23+UWF!E23+UCF!E23+FIU!E23+UNF!E23+FGCU!E23+NCF!E23</f>
        <v>11355328</v>
      </c>
      <c r="F23" s="42"/>
      <c r="G23" s="42"/>
      <c r="H23" s="42"/>
      <c r="I23" s="42"/>
      <c r="J23" s="42"/>
      <c r="K23" s="42"/>
      <c r="L23" s="27">
        <f t="shared" si="1"/>
        <v>11355328</v>
      </c>
    </row>
    <row r="24" spans="1:12" ht="15.75">
      <c r="A24" s="11">
        <f t="shared" si="0"/>
        <v>17</v>
      </c>
      <c r="B24" s="6" t="s">
        <v>51</v>
      </c>
      <c r="C24" s="9">
        <f>+UF!C24+FSU!C24+FAMU!C24+FAU!C24+UWF!C24+UCF!C24+FIU!C24+UNF!C24+FGCU!C24+NCF!C24</f>
        <v>3853715</v>
      </c>
      <c r="D24" s="42">
        <f>+UF!D24+IFAS!D24+'UF HSC'!D23+FSU!D24+'FSU MS'!D24+FAMU!D24+USF!D24+'USF HSC'!D24+FAU!D24+UWF!D24+UCF!D24+FIU!D24+UNF!D24+FGCU!D24+NCF!D24</f>
        <v>7301062</v>
      </c>
      <c r="E24" s="42">
        <f>+UF!E24+IFAS!E24+'UF HSC'!E23+FSU!E24+'FSU MS'!E24+FAMU!E24+USF!E24+'USF HSC'!E24+FAU!E24+UWF!E24+UCF!E24+FIU!E24+UNF!E24+FGCU!E24+NCF!E24</f>
        <v>137181758</v>
      </c>
      <c r="F24" s="42">
        <f>+UF!F24+IFAS!F24+'UF HSC'!F23+FSU!F24+'FSU MS'!F24+FAMU!F24+USF!F24+'USF HSC'!F24+FAU!F24+UWF!F24+UCF!F24+FIU!F24+UNF!F24+FGCU!F24+NCF!F24</f>
        <v>47042814</v>
      </c>
      <c r="G24" s="42">
        <f>+UF!G24+IFAS!G24+'UF HSC'!G23+FSU!G24+'FSU MS'!G24+FAMU!G24+USF!G24+'USF HSC'!G24+FAU!G24+UWF!G24+UCF!G24+FIU!G24+UNF!G24+FGCU!G24+NCF!G24</f>
        <v>74961369</v>
      </c>
      <c r="H24" s="42">
        <f>+UF!H24+IFAS!H24+'UF HSC'!H23+FSU!H24+'FSU MS'!H24+FAMU!H24+USF!H24+'USF HSC'!H24+FAU!H24+UWF!H24+UCF!H24+FIU!H24+UNF!H24+FGCU!H24+NCF!H24</f>
        <v>1151734</v>
      </c>
      <c r="I24" s="42">
        <f>+UF!I24+IFAS!I24+'UF HSC'!I23+FSU!I24+'FSU MS'!I24+FAMU!I24+USF!I24+'USF HSC'!I24+FAU!I24+UWF!I24+UCF!I24+FIU!I24+UNF!I24+FGCU!I24+NCF!I24</f>
        <v>44340489</v>
      </c>
      <c r="J24" s="42"/>
      <c r="K24" s="42">
        <f>+UF!K24+IFAS!K24+'UF HSC'!K23+FSU!K24+'FSU MS'!K24+FAMU!K24+USF!K24+'USF HSC'!K24+FAU!K24+UWF!K24+UCF!K24+FIU!K24+UNF!K24+FGCU!K24+NCF!K24</f>
        <v>411170655</v>
      </c>
      <c r="L24" s="27">
        <f t="shared" si="1"/>
        <v>727003596</v>
      </c>
    </row>
    <row r="25" spans="1:12" ht="15.75">
      <c r="A25" s="11">
        <f t="shared" si="0"/>
        <v>18</v>
      </c>
      <c r="B25" s="6" t="s">
        <v>52</v>
      </c>
      <c r="C25" s="9">
        <f>+UF!C25+IFAS!C16+FSU!C25+FAMU!C25+USF!C25+FAU!C25+UWF!C25+UCF!C25+FIU!C25+UNF!C25+FGCU!C25+NCF!C25</f>
        <v>55592</v>
      </c>
      <c r="D25" s="42">
        <f>+UF!D25+IFAS!D25+'UF HSC'!D24+FSU!D25+'FSU MS'!D25+FAMU!D25+USF!D25+'USF HSC'!D25+FAU!D25+UWF!D25+UCF!D25+FIU!D25+UNF!D25+FGCU!D25+NCF!D25</f>
        <v>40095130</v>
      </c>
      <c r="E25" s="42">
        <f>+UF!E25+IFAS!E25+'UF HSC'!E24+FSU!E25+'FSU MS'!E25+FAMU!E25+USF!E25+'USF HSC'!E25+FAU!E25+UWF!E25+UCF!E25+FIU!E25+UNF!E25+FGCU!E25+NCF!E25</f>
        <v>236601957</v>
      </c>
      <c r="F25" s="42">
        <f>+UF!F25+IFAS!F25+'UF HSC'!F24+FSU!F25+'FSU MS'!F25+FAMU!F25+USF!F25+'USF HSC'!F25+FAU!F25+UWF!F25+UCF!F25+FIU!F25+UNF!F25+FGCU!F25+NCF!F25</f>
        <v>8983462</v>
      </c>
      <c r="G25" s="42">
        <f>+UF!G25+IFAS!G25+'UF HSC'!G24+FSU!G25+'FSU MS'!G25+FAMU!G25+USF!G25+'USF HSC'!G25+FAU!G25+UWF!G25+UCF!G25+FIU!G25+UNF!G25+FGCU!G25+NCF!G25</f>
        <v>359506505</v>
      </c>
      <c r="H25" s="42">
        <f>+UF!H25+IFAS!H25+'UF HSC'!H24+FSU!H25+'FSU MS'!H25+FAMU!H25+USF!H25+'USF HSC'!H25+FAU!H25+UWF!H25+UCF!H25+FIU!H25+UNF!H25+FGCU!H25+NCF!H25</f>
        <v>1038820</v>
      </c>
      <c r="I25" s="42">
        <f>+UF!I25+IFAS!I25+'UF HSC'!I24+FSU!I25+'FSU MS'!I25+FAMU!I25+USF!I25+'USF HSC'!I25+FAU!I25+UWF!I25+UCF!I25+FIU!I25+UNF!I25+FGCU!I25+NCF!I25</f>
        <v>31373958</v>
      </c>
      <c r="J25" s="42"/>
      <c r="K25" s="42">
        <f>+UF!K25+IFAS!K25+'UF HSC'!K24+FSU!K25+'FSU MS'!K25+FAMU!K25+USF!K25+'USF HSC'!K25+FAU!K25+UWF!K25+UCF!K25+FIU!K25+UNF!K25+FGCU!K25+NCF!K25</f>
        <v>73531517</v>
      </c>
      <c r="L25" s="27">
        <f t="shared" si="1"/>
        <v>751186941</v>
      </c>
    </row>
    <row r="26" spans="1:12" ht="15.75">
      <c r="A26" s="11">
        <f t="shared" si="0"/>
        <v>19</v>
      </c>
      <c r="B26" s="6" t="s">
        <v>53</v>
      </c>
      <c r="C26" s="9">
        <f>+IFAS!C17</f>
        <v>47000</v>
      </c>
      <c r="D26" s="42"/>
      <c r="E26" s="42">
        <f>+UF!E26+IFAS!E26+'UF HSC'!E25+FSU!E26+'FSU MS'!E26+FAMU!E26+USF!E26+'USF HSC'!E26+FAU!E26+UWF!E26+UCF!E26+FIU!E26+UNF!E26+FGCU!E26+NCF!E26</f>
        <v>52696225</v>
      </c>
      <c r="F26" s="42">
        <f>+UF!F26+IFAS!F26+'UF HSC'!F25+FSU!F26+'FSU MS'!F26+FAMU!F26+USF!F26+'USF HSC'!F26+FAU!F26+UWF!F26+UCF!F26+FIU!F26+UNF!F26+FGCU!F26+NCF!F26</f>
        <v>394650</v>
      </c>
      <c r="G26" s="42"/>
      <c r="H26" s="42"/>
      <c r="I26" s="42"/>
      <c r="J26" s="42"/>
      <c r="K26" s="42"/>
      <c r="L26" s="27">
        <f t="shared" si="1"/>
        <v>53137875</v>
      </c>
    </row>
    <row r="27" spans="1:12" ht="15.75">
      <c r="A27" s="11">
        <f t="shared" si="0"/>
        <v>20</v>
      </c>
      <c r="B27" s="6" t="s">
        <v>56</v>
      </c>
      <c r="C27" s="9"/>
      <c r="D27" s="42"/>
      <c r="E27" s="42">
        <f>+UF!E27+IFAS!E27+'UF HSC'!E26+FSU!E27+'FSU MS'!E27+FAMU!E27+USF!E27+'USF HSC'!E27+FAU!E27+UWF!E27+UCF!E27+FIU!E27+UNF!E27+FGCU!E27+NCF!E27</f>
        <v>642800</v>
      </c>
      <c r="F27" s="42"/>
      <c r="G27" s="42"/>
      <c r="H27" s="42">
        <f>+UF!H27+IFAS!H27+'UF HSC'!H26+FSU!H27+'FSU MS'!H27+FAMU!H27+USF!H27+'USF HSC'!H27+FAU!H27+UWF!H27+UCF!H27+FIU!H27+UNF!H27+FGCU!H27+NCF!H27</f>
        <v>1169128</v>
      </c>
      <c r="I27" s="42"/>
      <c r="J27" s="42"/>
      <c r="K27" s="42"/>
      <c r="L27" s="27">
        <f t="shared" si="1"/>
        <v>1811928</v>
      </c>
    </row>
    <row r="28" spans="1:12" ht="15.75">
      <c r="A28" s="11">
        <f t="shared" si="0"/>
        <v>21</v>
      </c>
      <c r="B28" s="6" t="s">
        <v>80</v>
      </c>
      <c r="C28" s="9"/>
      <c r="D28" s="42"/>
      <c r="E28" s="42"/>
      <c r="F28" s="42"/>
      <c r="G28" s="42"/>
      <c r="H28" s="42"/>
      <c r="I28" s="42"/>
      <c r="J28" s="42">
        <f>+UF!J28+IFAS!J28+'UF HSC'!J27+FSU!J28+'FSU MS'!J28+FAMU!J28+USF!J28+'USF HSC'!J28+FAU!J28+UWF!J28+UCF!J28+FIU!J28+UNF!J28+FGCU!J28+NCF!J28</f>
        <v>25933435</v>
      </c>
      <c r="K28" s="42"/>
      <c r="L28" s="27">
        <f t="shared" si="1"/>
        <v>25933435</v>
      </c>
    </row>
    <row r="29" spans="1:12" ht="15.75">
      <c r="A29" s="11">
        <f>+A27+1</f>
        <v>21</v>
      </c>
      <c r="B29" s="6" t="s">
        <v>76</v>
      </c>
      <c r="C29" s="9">
        <f>+UF!C29+IFAS!C18+'UF HSC'!C17+FSU!C29+'FSU MS'!C14+FAMU!C29+USF!C29+'USF HSC'!C14+FAU!C29+UWF!C29+UCF!C29+FIU!C29+UNF!C29+FGCU!C29+NCF!C29</f>
        <v>2081408</v>
      </c>
      <c r="D29" s="9">
        <f>+UF!D29+IFAS!D29+'UF HSC'!D28+FSU!D29+'FSU MS'!D29+FAMU!D29+USF!D29+'USF HSC'!D29+FAU!D29+UWF!D29+UCF!D29+FIU!D29+UNF!D29+FGCU!D29+NCF!D29</f>
        <v>12262445</v>
      </c>
      <c r="E29" s="9">
        <f>+UF!E29+IFAS!E29+'UF HSC'!E28+FSU!E29+'FSU MS'!E29+FAMU!E29+USF!E29+'USF HSC'!E29+FAU!E29+UWF!E29+UCF!E29+FIU!E29+UNF!E29+FGCU!E29+NCF!E29</f>
        <v>26352498</v>
      </c>
      <c r="F29" s="9">
        <f>+UF!F29+IFAS!F29+'UF HSC'!F28+FSU!F29+'FSU MS'!F29+FAMU!F29+USF!F29+'USF HSC'!F29+FAU!F29+UWF!F29+UCF!F29+FIU!F29+UNF!F29+FGCU!F29+NCF!F29</f>
        <v>568244</v>
      </c>
      <c r="G29" s="9">
        <f>+UF!G29+IFAS!G29+'UF HSC'!G28+FSU!G29+'FSU MS'!G29+FAMU!G29+USF!G29+'USF HSC'!G29+FAU!G29+UWF!G29+UCF!G29+FIU!G29+UNF!G29+FGCU!G29+NCF!G29</f>
        <v>1970586</v>
      </c>
      <c r="H29" s="9">
        <f>+UF!H29+IFAS!H29+'UF HSC'!H28+FSU!H29+'FSU MS'!H29+FAMU!H29+USF!H29+'USF HSC'!H29+FAU!H29+UWF!H29+UCF!H29+FIU!H29+UNF!H29+FGCU!H29+NCF!H29</f>
        <v>566000</v>
      </c>
      <c r="I29" s="9">
        <f>+UF!I29+IFAS!I29+'UF HSC'!I28+FSU!I29+'FSU MS'!I29+FAMU!I29+USF!I29+'USF HSC'!I29+FAU!I29+UWF!I29+UCF!I29+FIU!I29+UNF!I29+FGCU!I29+NCF!I29</f>
        <v>8275496</v>
      </c>
      <c r="J29" s="9">
        <f>+UF!J29+IFAS!J29+'UF HSC'!J28+FSU!J29+'FSU MS'!J29+FAMU!J29+USF!J29+'USF HSC'!J29+FAU!J29+UWF!J29+UCF!J29+FIU!J29+UNF!J29+FGCU!J29+NCF!J29</f>
        <v>7194500</v>
      </c>
      <c r="K29" s="9">
        <f>+UF!K29+IFAS!K29+'UF HSC'!K28+FSU!K29+'FSU MS'!K29+FAMU!K29+USF!K29+'USF HSC'!K29+FAU!K29+UWF!K29+UCF!K29+FIU!K29+UNF!K29+FGCU!K29+NCF!K29</f>
        <v>723426</v>
      </c>
      <c r="L29" s="27">
        <f>SUM(C29:K29)</f>
        <v>59994603</v>
      </c>
    </row>
    <row r="30" spans="1:13" ht="15.75">
      <c r="A30" s="11">
        <f t="shared" si="0"/>
        <v>22</v>
      </c>
      <c r="B30" s="6" t="s">
        <v>10</v>
      </c>
      <c r="C30" s="7">
        <f>SUM(C11:C29)</f>
        <v>2773224179</v>
      </c>
      <c r="D30" s="7">
        <f aca="true" t="shared" si="2" ref="D30:K30">SUM(D11:D29)</f>
        <v>1618345023</v>
      </c>
      <c r="E30" s="7">
        <f t="shared" si="2"/>
        <v>942663552</v>
      </c>
      <c r="F30" s="7">
        <f t="shared" si="2"/>
        <v>88603241</v>
      </c>
      <c r="G30" s="7">
        <f t="shared" si="2"/>
        <v>1318000998</v>
      </c>
      <c r="H30" s="7">
        <f t="shared" si="2"/>
        <v>5242929</v>
      </c>
      <c r="I30" s="7">
        <f t="shared" si="2"/>
        <v>180658752</v>
      </c>
      <c r="J30" s="7">
        <f>SUM(J11:J29)</f>
        <v>33127935</v>
      </c>
      <c r="K30" s="7">
        <f t="shared" si="2"/>
        <v>537706104</v>
      </c>
      <c r="L30" s="28">
        <f>SUM(C30:K30)</f>
        <v>7497572713</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f>+UF!C33+IFAS!C22+'UF HSC'!C21+FSU!C33+'FSU MS'!C19+FAMU!C33+USF!C33+'USF HSC'!C19+FAU!C33+UWF!C33+UCF!C33+FIU!C33+UNF!C33+FGCU!C33+NCF!C33</f>
        <v>1206950236</v>
      </c>
      <c r="D33" s="42">
        <f>+UF!D33+FSU!D33+'FSU MS'!D19+FAMU!D33+USF!D33+'USF HSC'!D19+FAU!D33+UWF!D33+UCF!D33+FIU!D33+UNF!D33+FGCU!D33+NCF!D33</f>
        <v>595365237</v>
      </c>
      <c r="E33" s="42">
        <f>+UF!E33+FSU!E33+'FSU MS'!E19+FAMU!E33+USF!E33+'USF HSC'!E19+FAU!E33+UWF!E33+UCF!E33+FIU!E33+UNF!E33+FGCU!E33+NCF!E33</f>
        <v>219620982</v>
      </c>
      <c r="F33" s="42">
        <f>+UF!F33+FSU!F33+'FSU MS'!F19+FAMU!F33+USF!F33+'USF HSC'!F19+FAU!F33+UWF!F33+UCF!F33+FIU!F33+UNF!F33+FGCU!F33+NCF!F33</f>
        <v>11471939</v>
      </c>
      <c r="G33" s="42">
        <f>+UF!G33+FSU!G33+'FSU MS'!G19+FAMU!G33+USF!G33+'USF HSC'!G19+FAU!G33+UWF!G33+UCF!G33+FIU!G33+UNF!G33+FGCU!G33+NCF!G33</f>
        <v>607733</v>
      </c>
      <c r="H33" s="42">
        <f>+UF!H33+FSU!H33+'FSU MS'!H19+FAMU!H33+USF!H33+'USF HSC'!H19+FAU!H33+UWF!H33+UCF!H33+FIU!H33+UNF!H33+FGCU!H33+NCF!H33</f>
        <v>5000</v>
      </c>
      <c r="I33" s="42">
        <f>+UF!I33+FSU!I33+'FSU MS'!I19+FAMU!I33+USF!I33+'USF HSC'!I19+FAU!I33+UWF!I33+UCF!I33+FIU!I33+UNF!I33+FGCU!I33+NCF!I33</f>
        <v>52238574</v>
      </c>
      <c r="J33" s="42">
        <f>+UF!J33+FSU!J33+'FSU MS'!J19+FAMU!J33+USF!J33+'USF HSC'!J19+FAU!J33+UWF!J33+UCF!J33+FIU!J33+UNF!J33+FGCU!J33+NCF!J33</f>
        <v>450000</v>
      </c>
      <c r="K33" s="42">
        <f>+UF!K33+FSU!K33+'FSU MS'!K19+FAMU!K33+USF!K33+'USF HSC'!K19+FAU!K33+UWF!K33+UCF!K33+FIU!K33+UNF!K33+FGCU!K33+NCF!K33</f>
        <v>245432763</v>
      </c>
      <c r="L33" s="27">
        <f t="shared" si="1"/>
        <v>2332142464</v>
      </c>
    </row>
    <row r="34" spans="1:12" ht="15.75">
      <c r="A34" s="11">
        <f t="shared" si="0"/>
        <v>26</v>
      </c>
      <c r="B34" s="6" t="s">
        <v>59</v>
      </c>
      <c r="C34" s="9">
        <f>+UF!C34+IFAS!C23+'UF HSC'!C22+FSU!C34+'FSU MS'!C20+FAMU!C34+USF!C34+'USF HSC'!C20+FAU!C34+UWF!C34+UCF!C34+FIU!C34+UNF!C34+FGCU!C34+NCF!C34</f>
        <v>111177634</v>
      </c>
      <c r="D34" s="42">
        <f>+UF!D34+FSU!D34+'FSU MS'!D20+FAMU!D34+USF!D34+'USF HSC'!D20+FAU!D34+UWF!D34+UCF!D34+FIU!D34+UNF!D34+FGCU!D34+NCF!D34</f>
        <v>327220011</v>
      </c>
      <c r="E34" s="42">
        <f>+UF!E34+FSU!E34+'FSU MS'!E20+FAMU!E34+USF!E34+'USF HSC'!E20+FAU!E34+UWF!E34+UCF!E34+FIU!E34+UNF!E34+FGCU!E34+NCF!E34</f>
        <v>74055820</v>
      </c>
      <c r="F34" s="42">
        <f>+UF!F34+FSU!F34+'FSU MS'!F20+FAMU!F34+USF!F34+'USF HSC'!F20+FAU!F34+UWF!F34+UCF!F34+FIU!F34+UNF!F34+FGCU!F34+NCF!F34</f>
        <v>8141717</v>
      </c>
      <c r="G34" s="42">
        <f>+UF!G34+FSU!G34+'FSU MS'!G20+FAMU!G34+USF!G34+'USF HSC'!G20+FAU!G34+UWF!G34+UCF!G34+FIU!G34+UNF!G34+FGCU!G34+NCF!G34</f>
        <v>1649035</v>
      </c>
      <c r="H34" s="42">
        <f>+UF!H34+FSU!H34+'FSU MS'!H20+FAMU!H34+USF!H34+'USF HSC'!H20+FAU!H34+UWF!H34+UCF!H34+FIU!H34+UNF!H34+FGCU!H34+NCF!H34</f>
        <v>25823</v>
      </c>
      <c r="I34" s="42">
        <f>+UF!I34+FSU!I34+'FSU MS'!I20+FAMU!I34+USF!I34+'USF HSC'!I20+FAU!I34+UWF!I34+UCF!I34+FIU!I34+UNF!I34+FGCU!I34+NCF!I34</f>
        <v>4074766</v>
      </c>
      <c r="J34" s="42"/>
      <c r="K34" s="42">
        <f>+UF!K34+FSU!K34+'FSU MS'!K20+FAMU!K34+USF!K34+'USF HSC'!K20+FAU!K34+UWF!K34+UCF!K34+FIU!K34+UNF!K34+FGCU!K34+NCF!K34</f>
        <v>2407293</v>
      </c>
      <c r="L34" s="27">
        <f t="shared" si="1"/>
        <v>528752099</v>
      </c>
    </row>
    <row r="35" spans="1:12" ht="15.75">
      <c r="A35" s="11">
        <f t="shared" si="0"/>
        <v>27</v>
      </c>
      <c r="B35" s="6" t="s">
        <v>14</v>
      </c>
      <c r="C35" s="9">
        <f>+UF!C35+IFAS!C24+'UF HSC'!C23+FSU!C35+'FSU MS'!C21+FAMU!C35+USF!C35+'USF HSC'!C21+FAU!C35+UWF!C35+UCF!C35+FIU!C35+UNF!C35+FGCU!C35+NCF!C35</f>
        <v>279612785</v>
      </c>
      <c r="D35" s="42">
        <f>+UF!D35+FSU!D35+'FSU MS'!D21+FAMU!D35+USF!D35+'USF HSC'!D21+FAU!D35+UWF!D35+UCF!D35+FIU!D35+UNF!D35+FGCU!D35+NCF!D35</f>
        <v>456403358</v>
      </c>
      <c r="E35" s="42">
        <f>+UF!E35+FSU!E35+'FSU MS'!E21+FAMU!E35+USF!E35+'USF HSC'!E21+FAU!E35+UWF!E35+UCF!E35+FIU!E35+UNF!E35+FGCU!E35+NCF!E35</f>
        <v>427500751</v>
      </c>
      <c r="F35" s="42">
        <f>+UF!F35+FSU!F35+'FSU MS'!F21+FAMU!F35+USF!F35+'USF HSC'!F21+FAU!F35+UWF!F35+UCF!F35+FIU!F35+UNF!F35+FGCU!F35+NCF!F35</f>
        <v>31701759</v>
      </c>
      <c r="G35" s="42">
        <f>+UF!G35+FSU!G35+'FSU MS'!G21+FAMU!G35+USF!G35+'USF HSC'!G21+FAU!G35+UWF!G35+UCF!G35+FIU!G35+UNF!G35+FGCU!G35+NCF!G35</f>
        <v>1301789712</v>
      </c>
      <c r="H35" s="42">
        <f>+UF!H35+FSU!H35+'FSU MS'!H21+FAMU!H35+USF!H35+'USF HSC'!H21+FAU!H35+UWF!H35+UCF!H35+FIU!H35+UNF!H35+FGCU!H35+NCF!H35</f>
        <v>3338699</v>
      </c>
      <c r="I35" s="42">
        <f>+UF!I35+FSU!I35+'FSU MS'!I21+FAMU!I35+USF!I35+'USF HSC'!I21+FAU!I35+UWF!I35+UCF!I35+FIU!I35+UNF!I35+FGCU!I35+NCF!I35</f>
        <v>103416255</v>
      </c>
      <c r="J35" s="42">
        <f>+UF!J35+USF!J35</f>
        <v>21303135</v>
      </c>
      <c r="K35" s="42">
        <f>+UF!K35+FSU!K35+'FSU MS'!K21+FAMU!K35+USF!K35+'USF HSC'!K21+FAU!K35+UWF!K35+UCF!K35+FIU!K35+UNF!K35+FGCU!K35+NCF!K35</f>
        <v>157117117</v>
      </c>
      <c r="L35" s="27">
        <f t="shared" si="1"/>
        <v>2782183571</v>
      </c>
    </row>
    <row r="36" spans="1:12" ht="15.75">
      <c r="A36" s="11">
        <f t="shared" si="0"/>
        <v>28</v>
      </c>
      <c r="B36" s="6" t="s">
        <v>60</v>
      </c>
      <c r="C36" s="9">
        <f>+UF!C36+IFAS!C25+'UF HSC'!C24+FSU!C36+'FSU MS'!C22+FAMU!C36+USF!C36+'USF HSC'!C22+FAU!C36+UWF!C36+UCF!C36+FIU!C36+UNF!C36+FGCU!C36+NCF!C36</f>
        <v>16475173</v>
      </c>
      <c r="D36" s="42">
        <f>+UF!D36+FSU!D36+'FSU MS'!D22+FAMU!D36+USF!D36+'USF HSC'!D22+FAU!D36+UWF!D36+UCF!D36+FIU!D36+UNF!D36+FGCU!D36+NCF!D36</f>
        <v>76547318</v>
      </c>
      <c r="E36" s="42">
        <f>+UF!E36+FSU!E36+'FSU MS'!E22+FAMU!E36+USF!E36+'USF HSC'!E22+FAU!E36+UWF!E36+UCF!E36+FIU!E36+UNF!E36+FGCU!E36+NCF!E36</f>
        <v>33185508</v>
      </c>
      <c r="F36" s="42">
        <f>+UF!F36+FSU!F36+'FSU MS'!F22+FAMU!F36+USF!F36+'USF HSC'!F22+FAU!F36+UWF!F36+UCF!F36+FIU!F36+UNF!F36+FGCU!F36+NCF!F36</f>
        <v>1398343</v>
      </c>
      <c r="G36" s="42">
        <f>+UF!G36+FSU!G36+'FSU MS'!G22+FAMU!G36+USF!G36+'USF HSC'!G22+FAU!G36+UWF!G36+UCF!G36+FIU!G36+UNF!G36+FGCU!G36+NCF!G36</f>
        <v>45000</v>
      </c>
      <c r="H36" s="42">
        <f>+UF!H36+FSU!H36+'FSU MS'!H22+FAMU!H36+USF!H36+'USF HSC'!H22+FAU!H36+UWF!H36+UCF!H36+FIU!H36+UNF!H36+FGCU!H36+NCF!H36</f>
        <v>6172</v>
      </c>
      <c r="I36" s="42">
        <f>+UF!I36+FSU!I36+'FSU MS'!I22+FAMU!I36+USF!I36+'USF HSC'!I22+FAU!I36+UWF!I36+UCF!I36+FIU!I36+UNF!I36+FGCU!I36+NCF!I36</f>
        <v>3216975</v>
      </c>
      <c r="J36" s="42"/>
      <c r="K36" s="42">
        <f>+UF!K36+FSU!K36+'FSU MS'!K22+FAMU!K36+USF!K36+'USF HSC'!K22+FAU!K36+UWF!K36+UCF!K36+FIU!K36+UNF!K36+FGCU!K36+NCF!K36</f>
        <v>2670253</v>
      </c>
      <c r="L36" s="27">
        <f t="shared" si="1"/>
        <v>133544742</v>
      </c>
    </row>
    <row r="37" spans="1:12" ht="15.75">
      <c r="A37" s="11">
        <f t="shared" si="0"/>
        <v>29</v>
      </c>
      <c r="B37" s="6" t="s">
        <v>42</v>
      </c>
      <c r="C37" s="9"/>
      <c r="D37" s="42"/>
      <c r="E37" s="42"/>
      <c r="F37" s="42"/>
      <c r="G37" s="42"/>
      <c r="H37" s="42"/>
      <c r="I37" s="42"/>
      <c r="J37" s="42"/>
      <c r="K37" s="42"/>
      <c r="L37" s="27">
        <f t="shared" si="1"/>
        <v>0</v>
      </c>
    </row>
    <row r="38" spans="1:12" ht="15.75">
      <c r="A38" s="11">
        <f t="shared" si="0"/>
        <v>30</v>
      </c>
      <c r="B38" s="6" t="s">
        <v>16</v>
      </c>
      <c r="C38" s="9">
        <f>+UF!C38+IFAS!C26+'UF HSC'!C25+FSU!C38+'FSU MS'!C23+FAMU!C38+USF!C38+'USF HSC'!C23+FAU!C38+UWF!C38+UCF!C38+FIU!C38+UNF!C38+FGCU!C38+NCF!C38</f>
        <v>566096</v>
      </c>
      <c r="D38" s="42"/>
      <c r="E38" s="42"/>
      <c r="F38" s="42"/>
      <c r="G38" s="42"/>
      <c r="H38" s="42"/>
      <c r="I38" s="42"/>
      <c r="J38" s="42"/>
      <c r="K38" s="42"/>
      <c r="L38" s="27">
        <f t="shared" si="1"/>
        <v>566096</v>
      </c>
    </row>
    <row r="39" spans="1:12" ht="15.75" hidden="1">
      <c r="A39" s="11">
        <f t="shared" si="0"/>
        <v>31</v>
      </c>
      <c r="B39" s="6" t="s">
        <v>27</v>
      </c>
      <c r="C39" s="9">
        <f>+UF!C39+IFAS!C27+'UF HSC'!C26+FSU!C39+'FSU MS'!C24+FAMU!C39+USF!C39+'USF HSC'!C24+FAU!C39+UWF!C39+UCF!C39+FIU!C39+UNF!C39+FGCU!C39+NCF!C39+Sheet1!C25</f>
        <v>0</v>
      </c>
      <c r="D39" s="42"/>
      <c r="E39" s="42"/>
      <c r="F39" s="42"/>
      <c r="G39" s="42"/>
      <c r="H39" s="42"/>
      <c r="I39" s="42"/>
      <c r="J39" s="42"/>
      <c r="K39" s="42"/>
      <c r="L39" s="27">
        <f t="shared" si="1"/>
        <v>0</v>
      </c>
    </row>
    <row r="40" spans="1:12" ht="15.75">
      <c r="A40" s="11">
        <f>+A38+1</f>
        <v>31</v>
      </c>
      <c r="B40" s="6" t="s">
        <v>28</v>
      </c>
      <c r="C40" s="9"/>
      <c r="D40" s="42"/>
      <c r="E40" s="42"/>
      <c r="F40" s="42"/>
      <c r="G40" s="42"/>
      <c r="H40" s="42"/>
      <c r="I40" s="42"/>
      <c r="J40" s="42"/>
      <c r="K40" s="42"/>
      <c r="L40" s="27">
        <f t="shared" si="1"/>
        <v>0</v>
      </c>
    </row>
    <row r="41" spans="1:12" ht="15.75">
      <c r="A41" s="11">
        <f t="shared" si="0"/>
        <v>32</v>
      </c>
      <c r="B41" s="6" t="s">
        <v>34</v>
      </c>
      <c r="C41" s="9">
        <f>+UF!C41+IFAS!C29+'UF HSC'!C28+FSU!C41+'FSU MS'!C26+FAMU!C41+USF!C41+'USF HSC'!C26+FAU!C41+UWF!C41+UCF!C41+FIU!C41+UNF!C41+FGCU!C41+NCF!C41</f>
        <v>1017155</v>
      </c>
      <c r="D41" s="42"/>
      <c r="E41" s="42"/>
      <c r="F41" s="42"/>
      <c r="G41" s="42"/>
      <c r="H41" s="42"/>
      <c r="I41" s="42"/>
      <c r="J41" s="42"/>
      <c r="K41" s="42"/>
      <c r="L41" s="27">
        <f t="shared" si="1"/>
        <v>1017155</v>
      </c>
    </row>
    <row r="42" spans="1:12" ht="15.75">
      <c r="A42" s="11">
        <f t="shared" si="0"/>
        <v>33</v>
      </c>
      <c r="B42" s="6" t="s">
        <v>17</v>
      </c>
      <c r="C42" s="9">
        <f>+UF!C42+IFAS!C30+'UF HSC'!C29+FSU!C42+'FSU MS'!C27+FAMU!C42+USF!C42+'USF HSC'!C27+FAU!C42+UWF!C42+UCF!C42+FIU!C42+UNF!C42+FGCU!C42+NCF!C42</f>
        <v>22956765</v>
      </c>
      <c r="D42" s="42"/>
      <c r="E42" s="42"/>
      <c r="F42" s="42"/>
      <c r="G42" s="42"/>
      <c r="H42" s="42"/>
      <c r="I42" s="42"/>
      <c r="J42" s="42"/>
      <c r="K42" s="42"/>
      <c r="L42" s="27">
        <f t="shared" si="1"/>
        <v>22956765</v>
      </c>
    </row>
    <row r="43" spans="1:12" ht="15.75">
      <c r="A43" s="11">
        <f t="shared" si="0"/>
        <v>34</v>
      </c>
      <c r="B43" s="6" t="s">
        <v>18</v>
      </c>
      <c r="C43" s="9">
        <f>+UF!C43+IFAS!C31+'UF HSC'!C30+FSU!C43+'FSU MS'!C28+FAMU!C43+USF!C43+'USF HSC'!C28+FAU!C43+UWF!C43+UCF!C43+FIU!C43+UNF!C43+FGCU!C43+NCF!C43+Sheet1!C29</f>
        <v>7463536</v>
      </c>
      <c r="D43" s="42">
        <f>+UF!D43+FSU!D43+'FSU MS'!D29+FAMU!D43+USF!D43+'USF HSC'!D29+FAU!D43+UWF!D43+UCF!D43+FIU!D43+UNF!D43+FGCU!D43+NCF!D43</f>
        <v>13902950</v>
      </c>
      <c r="E43" s="42">
        <f>+UF!E43+FSU!E43+'FSU MS'!E29+FAMU!E43+USF!E43+'USF HSC'!E29+FAU!E43+UWF!E43+UCF!E43+FIU!E43+UNF!E43+FGCU!E43+NCF!E43</f>
        <v>1988739</v>
      </c>
      <c r="F43" s="42"/>
      <c r="G43" s="42"/>
      <c r="H43" s="42"/>
      <c r="I43" s="42"/>
      <c r="J43" s="42"/>
      <c r="K43" s="42"/>
      <c r="L43" s="27">
        <f t="shared" si="1"/>
        <v>23355225</v>
      </c>
    </row>
    <row r="44" spans="2:12" ht="15.75" hidden="1">
      <c r="B44" s="6" t="s">
        <v>29</v>
      </c>
      <c r="C44" s="9">
        <f>+UF!C44+IFAS!C32+'UF HSC'!C31+FSU!C44+'FSU MS'!C29+FAMU!C44+USF!C44+'USF HSC'!C29+FAU!C44+UWF!C44+UCF!C44+FIU!C44+UNF!C44+FGCU!C44+NCF!C44+Sheet1!C30</f>
        <v>11373</v>
      </c>
      <c r="D44" s="42">
        <f>+UF!D44+FSU!D44+'FSU MS'!D30+FAMU!D44+USF!D44+'USF HSC'!D30+FAU!D44+UWF!D44+UCF!D44+FIU!D44+UNF!D44+FGCU!D44+NCF!D44</f>
        <v>0</v>
      </c>
      <c r="E44" s="42">
        <f>+UF!E44+FSU!E44+'FSU MS'!E30+FAMU!E44+USF!E44+'USF HSC'!E30+FAU!E44+UWF!E44+UCF!E44+FIU!E44+UNF!E44+FGCU!E44+NCF!E44</f>
        <v>0</v>
      </c>
      <c r="F44" s="42">
        <f>+UF!F44+FSU!F44+'FSU MS'!F30+FAMU!F44+USF!F44+'USF HSC'!F30+FAU!F44+UWF!F44+UCF!F44+FIU!F44+UNF!F44+FGCU!F44+NCF!F44</f>
        <v>0</v>
      </c>
      <c r="G44" s="42">
        <f>+UF!G44+FSU!G44+'FSU MS'!G30+FAMU!G44+USF!G44+'USF HSC'!G30+FAU!G44+UWF!G44+UCF!G44+FIU!G44+UNF!G44+FGCU!G44+NCF!G44</f>
        <v>0</v>
      </c>
      <c r="H44" s="42"/>
      <c r="I44" s="42"/>
      <c r="J44" s="42"/>
      <c r="K44" s="42"/>
      <c r="L44" s="27">
        <f t="shared" si="1"/>
        <v>11373</v>
      </c>
    </row>
    <row r="45" spans="2:12" ht="15.75" hidden="1">
      <c r="B45" s="6" t="s">
        <v>35</v>
      </c>
      <c r="C45" s="9">
        <f>+UF!C45+IFAS!C33+'UF HSC'!C32+FSU!C45+'FSU MS'!C30+FAMU!C45+USF!C45+'USF HSC'!C30+FAU!C45+UWF!C45+UCF!C45+FIU!C45+UNF!C45+FGCU!C45+NCF!C45+Sheet1!C31</f>
        <v>0</v>
      </c>
      <c r="D45" s="42">
        <f>+UF!D45+FSU!D45+'FSU MS'!D31+FAMU!D45+USF!D45+'USF HSC'!D31+FAU!D45+UWF!D45+UCF!D45+FIU!D45+UNF!D45+FGCU!D45+NCF!D45</f>
        <v>0</v>
      </c>
      <c r="E45" s="42">
        <f>+UF!E45+FSU!E45+'FSU MS'!E31+FAMU!E45+USF!E45+'USF HSC'!E31+FAU!E45+UWF!E45+UCF!E45+FIU!E45+UNF!E45+FGCU!E45+NCF!E45</f>
        <v>0</v>
      </c>
      <c r="F45" s="42">
        <f>+UF!F45+FSU!F45+'FSU MS'!F31+FAMU!F45+USF!F45+'USF HSC'!F31+FAU!F45+UWF!F45+UCF!F45+FIU!F45+UNF!F45+FGCU!F45+NCF!F45</f>
        <v>0</v>
      </c>
      <c r="G45" s="42">
        <f>+UF!G45+FSU!G45+'FSU MS'!G31+FAMU!G45+USF!G45+'USF HSC'!G31+FAU!G45+UWF!G45+UCF!G45+FIU!G45+UNF!G45+FGCU!G45+NCF!G45</f>
        <v>0</v>
      </c>
      <c r="H45" s="42"/>
      <c r="I45" s="42"/>
      <c r="J45" s="42"/>
      <c r="K45" s="42"/>
      <c r="L45" s="27">
        <f t="shared" si="1"/>
        <v>0</v>
      </c>
    </row>
    <row r="46" spans="1:12" ht="15.75">
      <c r="A46" s="11">
        <f>+A43+1</f>
        <v>35</v>
      </c>
      <c r="B46" s="6" t="s">
        <v>19</v>
      </c>
      <c r="C46" s="9">
        <f>+UF!C46+IFAS!C34+'UF HSC'!C33+FSU!C46+'FSU MS'!C31+FAMU!C46+USF!C46+'USF HSC'!C31+FAU!C46+UWF!C46+UCF!C46+FIU!C46+UNF!C46+FGCU!C46+NCF!C46+Sheet1!C32</f>
        <v>28386335</v>
      </c>
      <c r="D46" s="42"/>
      <c r="E46" s="42"/>
      <c r="F46" s="42"/>
      <c r="G46" s="42">
        <f>+UF!G46+FSU!G46+'FSU MS'!G32+FAMU!G46+USF!G46+'USF HSC'!G32+FAU!G46+UWF!G46+UCF!G46+FIU!G46+UNF!G46+FGCU!G46+NCF!G46</f>
        <v>735000</v>
      </c>
      <c r="H46" s="42"/>
      <c r="I46" s="42"/>
      <c r="J46" s="42"/>
      <c r="K46" s="42"/>
      <c r="L46" s="27">
        <f t="shared" si="1"/>
        <v>29121335</v>
      </c>
    </row>
    <row r="47" spans="1:12" ht="15.75">
      <c r="A47" s="11">
        <f t="shared" si="0"/>
        <v>36</v>
      </c>
      <c r="B47" s="6" t="s">
        <v>30</v>
      </c>
      <c r="C47" s="9"/>
      <c r="D47" s="42"/>
      <c r="E47" s="42"/>
      <c r="F47" s="42"/>
      <c r="G47" s="42"/>
      <c r="H47" s="42"/>
      <c r="I47" s="42"/>
      <c r="J47" s="42"/>
      <c r="K47" s="42"/>
      <c r="L47" s="27">
        <f t="shared" si="1"/>
        <v>0</v>
      </c>
    </row>
    <row r="48" spans="1:12" ht="15.75">
      <c r="A48" s="11">
        <f t="shared" si="0"/>
        <v>37</v>
      </c>
      <c r="B48" s="6" t="s">
        <v>31</v>
      </c>
      <c r="C48" s="9">
        <f>+UF!C48+IFAS!C36+'UF HSC'!C35+FSU!C48+'FSU MS'!C33+FAMU!C48+USF!C48+'USF HSC'!C33+FAU!C48+UWF!C48+UCF!C48+FIU!C48+UNF!C48+FGCU!C48+NCF!C48+Sheet1!C34</f>
        <v>2027880</v>
      </c>
      <c r="D48" s="42"/>
      <c r="E48" s="42"/>
      <c r="F48" s="42"/>
      <c r="G48" s="42">
        <f>+UF!G48+FSU!G48+'FSU MS'!G34+FAMU!G48+USF!G48+'USF HSC'!G34+FAU!G48+UWF!G48+UCF!G48+FIU!G48+UNF!G48+FGCU!G48+NCF!G48</f>
        <v>1965000</v>
      </c>
      <c r="H48" s="42"/>
      <c r="I48" s="42"/>
      <c r="J48" s="42"/>
      <c r="K48" s="42"/>
      <c r="L48" s="27">
        <f t="shared" si="1"/>
        <v>3992880</v>
      </c>
    </row>
    <row r="49" spans="1:12" ht="15.75">
      <c r="A49" s="11">
        <f t="shared" si="0"/>
        <v>38</v>
      </c>
      <c r="B49" s="6" t="s">
        <v>32</v>
      </c>
      <c r="C49" s="9"/>
      <c r="D49" s="42"/>
      <c r="E49" s="42"/>
      <c r="F49" s="42"/>
      <c r="G49" s="42"/>
      <c r="H49" s="42"/>
      <c r="I49" s="42"/>
      <c r="J49" s="42"/>
      <c r="K49" s="42"/>
      <c r="L49" s="27">
        <f t="shared" si="1"/>
        <v>0</v>
      </c>
    </row>
    <row r="50" spans="1:12" ht="15.75">
      <c r="A50" s="11">
        <f t="shared" si="0"/>
        <v>39</v>
      </c>
      <c r="B50" s="6" t="s">
        <v>20</v>
      </c>
      <c r="C50" s="9">
        <f>+UF!C50+IFAS!C38+'UF HSC'!C37+FSU!C50+'FSU MS'!C35+FAMU!C50+USF!C50+'USF HSC'!C35+FAU!C50+UWF!C50+UCF!C50+FIU!C50+UNF!C50+FGCU!C50+NCF!C50+Sheet1!C36</f>
        <v>1580242</v>
      </c>
      <c r="D50" s="42">
        <f>+UF!D50+FSU!D50+'FSU MS'!D36+FAMU!D50+USF!D50+'USF HSC'!D36+FAU!D50+UWF!D50+UCF!D50+FIU!D50+UNF!D50+FGCU!D50+NCF!D50</f>
        <v>99613</v>
      </c>
      <c r="E50" s="42">
        <f>+UF!E50+FSU!E50+'FSU MS'!E36+FAMU!E50+USF!E50+'USF HSC'!E36+FAU!E50+UWF!E50+UCF!E50+FIU!E50+UNF!E50+FGCU!E50+NCF!E50</f>
        <v>900000</v>
      </c>
      <c r="F50" s="42"/>
      <c r="G50" s="42"/>
      <c r="H50" s="42"/>
      <c r="I50" s="42"/>
      <c r="J50" s="42"/>
      <c r="K50" s="42">
        <f>+UF!K50+FSU!K50+'FSU MS'!K36+FAMU!K50+USF!K50+'USF HSC'!K36+FAU!K50+UWF!K50+UCF!K50+FIU!K50+UNF!K50+FGCU!K50+NCF!K50</f>
        <v>5120927</v>
      </c>
      <c r="L50" s="27">
        <f t="shared" si="1"/>
        <v>7700782</v>
      </c>
    </row>
    <row r="51" spans="1:12" ht="15.75">
      <c r="A51" s="11">
        <f t="shared" si="0"/>
        <v>40</v>
      </c>
      <c r="B51" s="22" t="s">
        <v>33</v>
      </c>
      <c r="C51" s="9"/>
      <c r="D51" s="42"/>
      <c r="E51" s="42"/>
      <c r="F51" s="42"/>
      <c r="G51" s="42"/>
      <c r="H51" s="42"/>
      <c r="I51" s="42"/>
      <c r="J51" s="42"/>
      <c r="K51" s="42"/>
      <c r="L51" s="27">
        <f t="shared" si="1"/>
        <v>0</v>
      </c>
    </row>
    <row r="52" spans="1:12" ht="15.75">
      <c r="A52" s="11">
        <f t="shared" si="0"/>
        <v>41</v>
      </c>
      <c r="B52" s="22" t="s">
        <v>36</v>
      </c>
      <c r="C52" s="9"/>
      <c r="D52" s="42"/>
      <c r="E52" s="42"/>
      <c r="F52" s="42"/>
      <c r="G52" s="42"/>
      <c r="H52" s="42"/>
      <c r="I52" s="42"/>
      <c r="J52" s="42"/>
      <c r="K52" s="42"/>
      <c r="L52" s="27">
        <f t="shared" si="1"/>
        <v>0</v>
      </c>
    </row>
    <row r="53" spans="1:12" ht="15.75">
      <c r="A53" s="11">
        <f t="shared" si="0"/>
        <v>42</v>
      </c>
      <c r="B53" s="22" t="s">
        <v>37</v>
      </c>
      <c r="C53" s="9">
        <f>+UF!C53+IFAS!C41+'UF HSC'!C40+FSU!C53+'FSU MS'!C38+FAMU!C53+USF!C53+'USF HSC'!C38+FAU!C53+UWF!C53+UCF!C53+FIU!C53+UNF!C53+FGCU!C53+NCF!C53+Sheet1!C39</f>
        <v>124917</v>
      </c>
      <c r="D53" s="42"/>
      <c r="E53" s="42"/>
      <c r="F53" s="42"/>
      <c r="G53" s="42"/>
      <c r="H53" s="42"/>
      <c r="I53" s="42"/>
      <c r="J53" s="42"/>
      <c r="K53" s="42"/>
      <c r="L53" s="27">
        <f t="shared" si="1"/>
        <v>124917</v>
      </c>
    </row>
    <row r="54" spans="1:12" ht="15.75">
      <c r="A54" s="11">
        <f t="shared" si="0"/>
        <v>43</v>
      </c>
      <c r="B54" s="23" t="s">
        <v>78</v>
      </c>
      <c r="C54" s="9"/>
      <c r="D54" s="42"/>
      <c r="E54" s="42"/>
      <c r="F54" s="42"/>
      <c r="G54" s="42"/>
      <c r="H54" s="42"/>
      <c r="I54" s="42"/>
      <c r="J54" s="42"/>
      <c r="K54" s="42"/>
      <c r="L54" s="27">
        <f t="shared" si="1"/>
        <v>0</v>
      </c>
    </row>
    <row r="55" spans="1:12" ht="15.75">
      <c r="A55" s="11">
        <f t="shared" si="0"/>
        <v>44</v>
      </c>
      <c r="B55" s="22" t="s">
        <v>39</v>
      </c>
      <c r="C55" s="9">
        <f>+UF!C55+IFAS!C43+'UF HSC'!C42+FSU!C55+'FSU MS'!C40+FAMU!C55+USF!C55+'USF HSC'!C40+FAU!C55+UWF!C55+UCF!C55+FIU!C55+UNF!C55+FGCU!C55+NCF!C55</f>
        <v>1098470122</v>
      </c>
      <c r="D55" s="42"/>
      <c r="E55" s="42"/>
      <c r="F55" s="42"/>
      <c r="G55" s="42"/>
      <c r="H55" s="42"/>
      <c r="I55" s="42"/>
      <c r="J55" s="42"/>
      <c r="K55" s="42"/>
      <c r="L55" s="27">
        <f t="shared" si="1"/>
        <v>1098470122</v>
      </c>
    </row>
    <row r="56" spans="1:12" ht="15.75">
      <c r="A56" s="11">
        <f t="shared" si="0"/>
        <v>45</v>
      </c>
      <c r="B56" s="22" t="s">
        <v>57</v>
      </c>
      <c r="C56" s="9"/>
      <c r="D56" s="42"/>
      <c r="E56" s="42"/>
      <c r="F56" s="42"/>
      <c r="G56" s="42"/>
      <c r="H56" s="42"/>
      <c r="I56" s="42"/>
      <c r="J56" s="42"/>
      <c r="K56" s="42"/>
      <c r="L56" s="27">
        <f t="shared" si="1"/>
        <v>0</v>
      </c>
    </row>
    <row r="57" spans="1:12" ht="15.75">
      <c r="A57" s="11">
        <f t="shared" si="0"/>
        <v>46</v>
      </c>
      <c r="B57" s="22" t="s">
        <v>58</v>
      </c>
      <c r="C57" s="9">
        <f>+UF!C57+IFAS!C45+'UF HSC'!C44+FSU!C57+'FSU MS'!C42+FAMU!C57+USF!C57+'USF HSC'!C42+FAU!C57+UWF!C57+UCF!C57+FIU!C57+UNF!C57+FGCU!C57+NCF!C57+Sheet1!C43</f>
        <v>885340</v>
      </c>
      <c r="D57" s="42"/>
      <c r="E57" s="42"/>
      <c r="F57" s="42"/>
      <c r="G57" s="42"/>
      <c r="H57" s="42"/>
      <c r="I57" s="42"/>
      <c r="J57" s="42"/>
      <c r="K57" s="42"/>
      <c r="L57" s="27">
        <f t="shared" si="1"/>
        <v>885340</v>
      </c>
    </row>
    <row r="58" spans="1:12" ht="15.75">
      <c r="A58" s="11">
        <f t="shared" si="0"/>
        <v>47</v>
      </c>
      <c r="B58" s="6" t="s">
        <v>49</v>
      </c>
      <c r="C58" s="9"/>
      <c r="D58" s="42">
        <f>+UF!D58+FSU!D58+'FSU MS'!D44+FAMU!D58+USF!D58+'USF HSC'!D44+FAU!D58+UWF!D58+UCF!D58+FIU!D58+UNF!D58+FGCU!D58+NCF!D58</f>
        <v>49244290</v>
      </c>
      <c r="E58" s="42"/>
      <c r="F58" s="42"/>
      <c r="G58" s="42"/>
      <c r="H58" s="42"/>
      <c r="I58" s="42"/>
      <c r="J58" s="42"/>
      <c r="K58" s="42"/>
      <c r="L58" s="27">
        <f t="shared" si="1"/>
        <v>49244290</v>
      </c>
    </row>
    <row r="59" spans="1:12" ht="15.75">
      <c r="A59" s="11">
        <f t="shared" si="0"/>
        <v>48</v>
      </c>
      <c r="B59" s="6" t="s">
        <v>55</v>
      </c>
      <c r="C59" s="9"/>
      <c r="D59" s="42">
        <f>+UF!D59+FSU!D59+'FSU MS'!D45+FAMU!D59+USF!D59+'USF HSC'!D45+FAU!D59+UWF!D59+UCF!D59+FIU!D59+UNF!D59+FGCU!D59+NCF!D59</f>
        <v>11000</v>
      </c>
      <c r="E59" s="42">
        <f>+UF!E59+FSU!E59+'FSU MS'!E45+FAMU!E59+USF!E59+'USF HSC'!E45+FAU!E59+UWF!E59+UCF!E59+FIU!E59+UNF!E59+FGCU!E59+NCF!E59</f>
        <v>50677408</v>
      </c>
      <c r="F59" s="42"/>
      <c r="G59" s="42"/>
      <c r="H59" s="42"/>
      <c r="I59" s="42">
        <f>+UF!I59+FSU!I59+'FSU MS'!I45+FAMU!I59+USF!I59+'USF HSC'!I45+FAU!I59+UWF!I59+UCF!I59+FIU!I59+UNF!I59+FGCU!I59+NCF!I59</f>
        <v>3661738</v>
      </c>
      <c r="J59" s="42"/>
      <c r="K59" s="42">
        <f>+UF!K59+FSU!K59+'FSU MS'!K45+FAMU!K59+USF!K59+'USF HSC'!K45+FAU!K59+UWF!K59+UCF!K59+FIU!K59+UNF!K59+FGCU!K59+NCF!K59</f>
        <v>354469</v>
      </c>
      <c r="L59" s="27">
        <f t="shared" si="1"/>
        <v>54704615</v>
      </c>
    </row>
    <row r="60" spans="1:12" ht="15.75">
      <c r="A60" s="11">
        <f>+A59+1</f>
        <v>49</v>
      </c>
      <c r="B60" s="6" t="s">
        <v>21</v>
      </c>
      <c r="C60" s="7">
        <f aca="true" t="shared" si="3" ref="C60:K60">SUM(C33:C59)</f>
        <v>2777705589</v>
      </c>
      <c r="D60" s="7">
        <f t="shared" si="3"/>
        <v>1518793777</v>
      </c>
      <c r="E60" s="7">
        <f t="shared" si="3"/>
        <v>807929208</v>
      </c>
      <c r="F60" s="7">
        <f t="shared" si="3"/>
        <v>52713758</v>
      </c>
      <c r="G60" s="7">
        <f t="shared" si="3"/>
        <v>1306791480</v>
      </c>
      <c r="H60" s="7">
        <f t="shared" si="3"/>
        <v>3375694</v>
      </c>
      <c r="I60" s="7">
        <f t="shared" si="3"/>
        <v>166608308</v>
      </c>
      <c r="J60" s="7">
        <f t="shared" si="3"/>
        <v>21753135</v>
      </c>
      <c r="K60" s="7">
        <f t="shared" si="3"/>
        <v>413102822</v>
      </c>
      <c r="L60" s="28">
        <f>SUM(C60:K60)</f>
        <v>7068773771</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42">
        <f>+UF!D63+FSU!D63+'FSU MS'!D49+FAMU!D63+USF!D63+'USF HSC'!D49+FAU!D63+UWF!D63+UCF!D63+FIU!D63+UNF!D63+FGCU!D63+NCF!D63</f>
        <v>118047500</v>
      </c>
      <c r="E63" s="42">
        <f>+UF!E63+FSU!E63+'FSU MS'!E49+FAMU!E63+USF!E63+'USF HSC'!E49+FAU!E63+UWF!E63+UCF!E63+FIU!E63+UNF!E63+FGCU!E63+NCF!E63</f>
        <v>179284748</v>
      </c>
      <c r="F63" s="42">
        <f>+UF!F63+FSU!F63+'FSU MS'!F49+FAMU!F63+USF!F63+'USF HSC'!F49+FAU!F63+UWF!F63+UCF!F63+FIU!F63+UNF!F63+FGCU!F63+NCF!F63</f>
        <v>41377572</v>
      </c>
      <c r="G63" s="42">
        <f>+UF!G63+FSU!G63+'FSU MS'!G49+FAMU!G63+USF!G63+'USF HSC'!G49+FAU!G63+UWF!G63+UCF!G63+FIU!G63+UNF!G63+FGCU!G63+NCF!G63</f>
        <v>7873988</v>
      </c>
      <c r="H63" s="42">
        <f>+UF!H63+FSU!H63+'FSU MS'!H49+FAMU!H63+USF!H63+'USF HSC'!H49+FAU!H63+UWF!H63+UCF!H63+FIU!H63+UNF!H63+FGCU!H63+NCF!H63</f>
        <v>1588747</v>
      </c>
      <c r="I63" s="42">
        <f>+UF!I63+FSU!I63+'FSU MS'!I49+FAMU!I63+USF!I63+'USF HSC'!I49+FAU!I63+UWF!I63+UCF!I63+FIU!I63+UNF!I63+FGCU!I63+NCF!I63</f>
        <v>16182004</v>
      </c>
      <c r="J63" s="42">
        <f>+UF!J63+FSU!J63+'FSU MS'!J49+FAMU!J63+USF!J63+'USF HSC'!J49+FAU!J63+UWF!J63+UCF!J63+FIU!J63+UNF!J63+FGCU!J63+NCF!J63</f>
        <v>299200</v>
      </c>
      <c r="K63" s="42">
        <f>+UF!K63+USF!K63</f>
        <v>47873520</v>
      </c>
      <c r="L63" s="27">
        <f t="shared" si="1"/>
        <v>412527279</v>
      </c>
    </row>
    <row r="64" spans="1:12" ht="15.75">
      <c r="A64" s="11">
        <f t="shared" si="0"/>
        <v>53</v>
      </c>
      <c r="B64" s="6" t="s">
        <v>50</v>
      </c>
      <c r="C64" s="9"/>
      <c r="D64" s="42"/>
      <c r="E64" s="42">
        <f>+UF!E64+FSU!E64+'FSU MS'!E50+FAMU!E64+USF!E64+'USF HSC'!E50+FAU!E64+UWF!E64+UCF!E64+FIU!E64+UNF!E64+FGCU!E64+NCF!E64</f>
        <v>385000</v>
      </c>
      <c r="F64" s="42"/>
      <c r="G64" s="42"/>
      <c r="H64" s="42"/>
      <c r="I64" s="42">
        <f>+UF!I64+FSU!I64+'FSU MS'!I50+FAMU!I64+USF!I64+'USF HSC'!I50+FAU!I64+UWF!I64+UCF!I64+FIU!I64+UNF!I64+FGCU!I64+NCF!I64</f>
        <v>1263564</v>
      </c>
      <c r="J64" s="42"/>
      <c r="K64" s="42"/>
      <c r="L64" s="27">
        <f t="shared" si="1"/>
        <v>1648564</v>
      </c>
    </row>
    <row r="65" spans="1:12" ht="15.75">
      <c r="A65" s="11">
        <f>+A64+1</f>
        <v>54</v>
      </c>
      <c r="B65" s="6" t="s">
        <v>26</v>
      </c>
      <c r="C65" s="9">
        <f>+UF!C65+IFAS!C48+'UF HSC'!C47+FSU!C65+'FSU MS'!C45+FAMU!C65+USF!C65+'USF HSC'!C45+FAU!C65+UWF!C65+UCF!C65+FIU!C65+UNF!C65+FGCU!C65+NCF!C65</f>
        <v>64642212</v>
      </c>
      <c r="D65" s="42"/>
      <c r="E65" s="42"/>
      <c r="F65" s="42"/>
      <c r="G65" s="42"/>
      <c r="H65" s="42"/>
      <c r="I65" s="42"/>
      <c r="J65" s="42"/>
      <c r="K65" s="42"/>
      <c r="L65" s="27">
        <f>SUM(C65:K65)</f>
        <v>64642212</v>
      </c>
    </row>
    <row r="66" spans="1:12" ht="16.5">
      <c r="A66" s="11">
        <f>+A65+1</f>
        <v>55</v>
      </c>
      <c r="B66" s="6" t="s">
        <v>77</v>
      </c>
      <c r="C66" s="9">
        <f>+UF!C66+IFAS!C49+'UF HSC'!C48+FSU!C66+'FSU MS'!C46+FAMU!C66+USF!C66+'USF HSC'!C46+FAU!C66+UWF!C66+UCF!C66+FIU!C66+UNF!C66+FGCU!C66+NCF!C66+Sheet1!C47</f>
        <v>780310</v>
      </c>
      <c r="D66" s="42">
        <f>+UF!D66+FSU!D66+'FSU MS'!D52+FAMU!D66+USF!D66+'USF HSC'!D52+FAU!D66+UWF!D66+UCF!D66+FIU!D66+UNF!D66+FGCU!D66+NCF!D66</f>
        <v>794926</v>
      </c>
      <c r="E66" s="42"/>
      <c r="F66" s="42"/>
      <c r="G66" s="42">
        <f>+UF!G66+FSU!G66+'FSU MS'!G52+FAMU!G66+USF!G66+'USF HSC'!G52+FAU!G66+UWF!G66+UCF!G66+FIU!G66+UNF!G66+FGCU!G66+NCF!G66</f>
        <v>54395</v>
      </c>
      <c r="H66" s="42"/>
      <c r="I66" s="42"/>
      <c r="J66" s="42"/>
      <c r="K66" s="42"/>
      <c r="L66" s="27">
        <f t="shared" si="1"/>
        <v>1629631</v>
      </c>
    </row>
    <row r="67" spans="1:12" ht="15.75">
      <c r="A67" s="11">
        <f t="shared" si="0"/>
        <v>56</v>
      </c>
      <c r="B67" s="6" t="s">
        <v>24</v>
      </c>
      <c r="C67" s="7">
        <f aca="true" t="shared" si="4" ref="C67:K67">SUM(C63:C66)</f>
        <v>65422522</v>
      </c>
      <c r="D67" s="7">
        <f t="shared" si="4"/>
        <v>118842426</v>
      </c>
      <c r="E67" s="7">
        <f t="shared" si="4"/>
        <v>179669748</v>
      </c>
      <c r="F67" s="7">
        <f t="shared" si="4"/>
        <v>41377572</v>
      </c>
      <c r="G67" s="7">
        <f t="shared" si="4"/>
        <v>7928383</v>
      </c>
      <c r="H67" s="7">
        <f t="shared" si="4"/>
        <v>1588747</v>
      </c>
      <c r="I67" s="7">
        <f t="shared" si="4"/>
        <v>17445568</v>
      </c>
      <c r="J67" s="7">
        <f t="shared" si="4"/>
        <v>299200</v>
      </c>
      <c r="K67" s="7">
        <f t="shared" si="4"/>
        <v>47873520</v>
      </c>
      <c r="L67" s="28">
        <f t="shared" si="1"/>
        <v>480447686</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236791020</v>
      </c>
      <c r="D69" s="13">
        <f t="shared" si="5"/>
        <v>309262917</v>
      </c>
      <c r="E69" s="13">
        <f t="shared" si="5"/>
        <v>379054598</v>
      </c>
      <c r="F69" s="13">
        <f t="shared" si="5"/>
        <v>36813317</v>
      </c>
      <c r="G69" s="13">
        <f t="shared" si="5"/>
        <v>142737771</v>
      </c>
      <c r="H69" s="13">
        <f t="shared" si="5"/>
        <v>3895026</v>
      </c>
      <c r="I69" s="13">
        <f t="shared" si="5"/>
        <v>36734224</v>
      </c>
      <c r="J69" s="13">
        <f t="shared" si="5"/>
        <v>92584229</v>
      </c>
      <c r="K69" s="13">
        <f t="shared" si="5"/>
        <v>206467939</v>
      </c>
      <c r="L69" s="29">
        <f>SUM(C69:K69)</f>
        <v>1444341041</v>
      </c>
      <c r="M69" s="21">
        <f>+L8+L30-L60-L67</f>
        <v>1444341041</v>
      </c>
    </row>
    <row r="70" ht="16.5" thickTop="1">
      <c r="J70" s="30"/>
    </row>
    <row r="71" ht="15.75">
      <c r="J71" s="21"/>
    </row>
    <row r="72" ht="15.75">
      <c r="C72" s="21"/>
    </row>
  </sheetData>
  <mergeCells count="4">
    <mergeCell ref="F5:J5"/>
    <mergeCell ref="B1:L1"/>
    <mergeCell ref="B2:L2"/>
    <mergeCell ref="B3:L3"/>
  </mergeCells>
  <printOptions horizontalCentered="1"/>
  <pageMargins left="0" right="0" top="1" bottom="1" header="0.5" footer="0.5"/>
  <pageSetup horizontalDpi="600" verticalDpi="600" orientation="landscape" scale="58" r:id="rId4"/>
  <headerFooter alignWithMargins="0">
    <oddFooter>&amp;L&amp;8G:/budgets/opbudget/0405/ &amp;F&amp;R&amp;10Page &amp;P</oddFooter>
  </headerFooter>
  <rowBreaks count="1" manualBreakCount="1">
    <brk id="54" max="11" man="1"/>
  </rowBreaks>
  <drawing r:id="rId3"/>
  <legacyDrawing r:id="rId2"/>
</worksheet>
</file>

<file path=xl/worksheets/sheet10.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89</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8.75">
      <c r="B4" s="49"/>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5495115</v>
      </c>
      <c r="D8" s="7">
        <v>6161355</v>
      </c>
      <c r="E8" s="7">
        <v>29980720</v>
      </c>
      <c r="F8" s="7">
        <v>2008000</v>
      </c>
      <c r="G8" s="7">
        <v>-482531</v>
      </c>
      <c r="H8" s="7">
        <v>137924</v>
      </c>
      <c r="I8" s="7">
        <v>2473236</v>
      </c>
      <c r="J8" s="7">
        <v>0</v>
      </c>
      <c r="K8" s="7">
        <v>0</v>
      </c>
      <c r="L8" s="7">
        <f>SUM(C8:K8)</f>
        <v>45773819</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10492348</v>
      </c>
      <c r="D11" s="31"/>
      <c r="E11" s="31"/>
      <c r="F11" s="9"/>
      <c r="G11" s="32"/>
      <c r="J11" s="30"/>
      <c r="L11" s="27">
        <f>SUM(C11:K11)</f>
        <v>10492348</v>
      </c>
    </row>
    <row r="12" spans="1:12" ht="15.75">
      <c r="A12" s="11">
        <f t="shared" si="0"/>
        <v>5</v>
      </c>
      <c r="B12" s="6" t="s">
        <v>79</v>
      </c>
      <c r="C12" s="9">
        <v>130631600</v>
      </c>
      <c r="D12" s="31"/>
      <c r="E12" s="9"/>
      <c r="F12" s="9"/>
      <c r="G12" s="32"/>
      <c r="J12" s="30"/>
      <c r="L12" s="27">
        <f aca="true" t="shared" si="1" ref="L12:L67">SUM(C12:K12)</f>
        <v>130631600</v>
      </c>
    </row>
    <row r="13" spans="1:12" ht="15.75">
      <c r="A13" s="11">
        <f t="shared" si="0"/>
        <v>6</v>
      </c>
      <c r="B13" s="6" t="s">
        <v>42</v>
      </c>
      <c r="C13" s="9"/>
      <c r="D13" s="9"/>
      <c r="E13" s="9"/>
      <c r="F13" s="9"/>
      <c r="G13" s="32"/>
      <c r="J13" s="30"/>
      <c r="L13" s="27">
        <f t="shared" si="1"/>
        <v>0</v>
      </c>
    </row>
    <row r="14" spans="1:12" ht="15.75">
      <c r="A14" s="11">
        <f t="shared" si="0"/>
        <v>7</v>
      </c>
      <c r="B14" s="6" t="s">
        <v>8</v>
      </c>
      <c r="C14" s="9">
        <v>62320192</v>
      </c>
      <c r="D14" s="9"/>
      <c r="E14" s="9"/>
      <c r="F14" s="9"/>
      <c r="G14" s="32"/>
      <c r="J14" s="30"/>
      <c r="L14" s="27">
        <f t="shared" si="1"/>
        <v>62320192</v>
      </c>
    </row>
    <row r="15" spans="1:12" ht="15.75">
      <c r="A15" s="11">
        <f t="shared" si="0"/>
        <v>8</v>
      </c>
      <c r="B15" s="6" t="s">
        <v>70</v>
      </c>
      <c r="C15" s="9"/>
      <c r="D15" s="9"/>
      <c r="E15" s="9"/>
      <c r="F15" s="9"/>
      <c r="J15" s="30"/>
      <c r="L15" s="27">
        <f t="shared" si="1"/>
        <v>0</v>
      </c>
    </row>
    <row r="16" spans="1:12" ht="15.75">
      <c r="A16" s="11">
        <f>+A15+1</f>
        <v>9</v>
      </c>
      <c r="B16" s="6" t="s">
        <v>43</v>
      </c>
      <c r="C16" s="9"/>
      <c r="D16" s="9">
        <v>30188191</v>
      </c>
      <c r="E16" s="9"/>
      <c r="F16" s="9"/>
      <c r="G16" s="9">
        <v>18936994</v>
      </c>
      <c r="H16" s="9"/>
      <c r="I16" s="9"/>
      <c r="J16" s="9"/>
      <c r="K16" s="9"/>
      <c r="L16" s="27">
        <f t="shared" si="1"/>
        <v>49125185</v>
      </c>
    </row>
    <row r="17" spans="1:12" ht="15.75">
      <c r="A17" s="11">
        <f t="shared" si="0"/>
        <v>10</v>
      </c>
      <c r="B17" s="6" t="s">
        <v>44</v>
      </c>
      <c r="C17" s="9"/>
      <c r="D17" s="9"/>
      <c r="E17" s="9"/>
      <c r="F17" s="9"/>
      <c r="G17" s="9"/>
      <c r="H17" s="9"/>
      <c r="I17" s="9"/>
      <c r="J17" s="9"/>
      <c r="K17" s="9"/>
      <c r="L17" s="27">
        <f t="shared" si="1"/>
        <v>0</v>
      </c>
    </row>
    <row r="18" spans="1:12" ht="15.75">
      <c r="A18" s="11">
        <f t="shared" si="0"/>
        <v>11</v>
      </c>
      <c r="B18" s="6" t="s">
        <v>45</v>
      </c>
      <c r="C18" s="9"/>
      <c r="D18" s="9">
        <v>17700300</v>
      </c>
      <c r="E18" s="9"/>
      <c r="F18" s="9"/>
      <c r="G18" s="9"/>
      <c r="H18" s="9"/>
      <c r="I18" s="9"/>
      <c r="J18" s="9"/>
      <c r="K18" s="9"/>
      <c r="L18" s="27">
        <f t="shared" si="1"/>
        <v>17700300</v>
      </c>
    </row>
    <row r="19" spans="1:12" ht="15.75">
      <c r="A19" s="11">
        <f t="shared" si="0"/>
        <v>12</v>
      </c>
      <c r="B19" s="6" t="s">
        <v>46</v>
      </c>
      <c r="C19" s="9"/>
      <c r="D19" s="9">
        <v>18291901</v>
      </c>
      <c r="E19" s="9"/>
      <c r="F19" s="9"/>
      <c r="G19" s="9">
        <v>70813191</v>
      </c>
      <c r="H19" s="9"/>
      <c r="I19" s="9"/>
      <c r="J19" s="9"/>
      <c r="K19" s="9"/>
      <c r="L19" s="27">
        <f t="shared" si="1"/>
        <v>89105092</v>
      </c>
    </row>
    <row r="20" spans="1:12" ht="15.75">
      <c r="A20" s="11">
        <f t="shared" si="0"/>
        <v>13</v>
      </c>
      <c r="B20" s="6" t="s">
        <v>97</v>
      </c>
      <c r="C20" s="9"/>
      <c r="D20" s="9"/>
      <c r="E20" s="9"/>
      <c r="F20" s="9"/>
      <c r="J20" s="30"/>
      <c r="L20" s="27">
        <f t="shared" si="1"/>
        <v>0</v>
      </c>
    </row>
    <row r="21" spans="1:12" ht="15.75">
      <c r="A21" s="11">
        <f t="shared" si="0"/>
        <v>14</v>
      </c>
      <c r="B21" s="6" t="s">
        <v>47</v>
      </c>
      <c r="C21" s="9"/>
      <c r="D21" s="9">
        <v>1386842</v>
      </c>
      <c r="E21" s="9">
        <v>6491200</v>
      </c>
      <c r="F21" s="9"/>
      <c r="G21" s="9">
        <f>2194185+6248998</f>
        <v>8443183</v>
      </c>
      <c r="H21" s="9"/>
      <c r="I21" s="9"/>
      <c r="J21" s="9"/>
      <c r="K21" s="9"/>
      <c r="L21" s="27">
        <f t="shared" si="1"/>
        <v>16321225</v>
      </c>
    </row>
    <row r="22" spans="1:12" ht="15.75">
      <c r="A22" s="11">
        <f t="shared" si="0"/>
        <v>15</v>
      </c>
      <c r="B22" s="6" t="s">
        <v>48</v>
      </c>
      <c r="C22" s="9"/>
      <c r="D22" s="9"/>
      <c r="E22" s="9">
        <f>540325+1368057</f>
        <v>1908382</v>
      </c>
      <c r="F22" s="9"/>
      <c r="I22" s="9"/>
      <c r="J22" s="30"/>
      <c r="L22" s="27">
        <f t="shared" si="1"/>
        <v>1908382</v>
      </c>
    </row>
    <row r="23" spans="1:12" ht="15.75">
      <c r="A23" s="11">
        <f t="shared" si="0"/>
        <v>16</v>
      </c>
      <c r="B23" s="6" t="s">
        <v>54</v>
      </c>
      <c r="C23" s="9"/>
      <c r="D23" s="9"/>
      <c r="E23" s="9"/>
      <c r="F23" s="9"/>
      <c r="J23" s="30"/>
      <c r="L23" s="27">
        <f t="shared" si="1"/>
        <v>0</v>
      </c>
    </row>
    <row r="24" spans="1:12" ht="15.75">
      <c r="A24" s="11">
        <f t="shared" si="0"/>
        <v>17</v>
      </c>
      <c r="B24" s="6" t="s">
        <v>51</v>
      </c>
      <c r="C24" s="9"/>
      <c r="D24" s="9">
        <v>3738375</v>
      </c>
      <c r="E24" s="9">
        <v>31596174</v>
      </c>
      <c r="F24" s="9">
        <v>5646580</v>
      </c>
      <c r="G24" s="9">
        <v>4092791</v>
      </c>
      <c r="H24" s="9">
        <v>325575</v>
      </c>
      <c r="I24" s="9">
        <v>7306281</v>
      </c>
      <c r="J24" s="9"/>
      <c r="K24" s="9"/>
      <c r="L24" s="27">
        <f t="shared" si="1"/>
        <v>52705776</v>
      </c>
    </row>
    <row r="25" spans="1:12" ht="15.75">
      <c r="A25" s="11">
        <f t="shared" si="0"/>
        <v>18</v>
      </c>
      <c r="B25" s="6" t="s">
        <v>52</v>
      </c>
      <c r="C25" s="9"/>
      <c r="D25" s="9">
        <v>597341</v>
      </c>
      <c r="E25" s="9">
        <v>5693880</v>
      </c>
      <c r="F25" s="9"/>
      <c r="G25" s="9">
        <v>7520147</v>
      </c>
      <c r="H25" s="9"/>
      <c r="I25" s="9"/>
      <c r="J25" s="9"/>
      <c r="K25" s="9"/>
      <c r="L25" s="27">
        <f t="shared" si="1"/>
        <v>13811368</v>
      </c>
    </row>
    <row r="26" spans="1:12" ht="15.75">
      <c r="A26" s="11">
        <f t="shared" si="0"/>
        <v>19</v>
      </c>
      <c r="B26" s="6" t="s">
        <v>53</v>
      </c>
      <c r="C26" s="9"/>
      <c r="D26" s="9"/>
      <c r="E26" s="9"/>
      <c r="F26" s="9"/>
      <c r="J26" s="30"/>
      <c r="L26" s="27">
        <f t="shared" si="1"/>
        <v>0</v>
      </c>
    </row>
    <row r="27" spans="1:12" ht="15.75">
      <c r="A27" s="11">
        <f t="shared" si="0"/>
        <v>20</v>
      </c>
      <c r="B27" s="6" t="s">
        <v>56</v>
      </c>
      <c r="C27" s="9"/>
      <c r="D27" s="9"/>
      <c r="E27" s="9"/>
      <c r="F27" s="9"/>
      <c r="H27" s="9"/>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f>120000+578468</f>
        <v>698468</v>
      </c>
      <c r="D29" s="9"/>
      <c r="E29" s="9">
        <v>1685875</v>
      </c>
      <c r="F29" s="9"/>
      <c r="G29" s="9">
        <v>23623</v>
      </c>
      <c r="H29" s="9"/>
      <c r="I29" s="9"/>
      <c r="J29" s="9"/>
      <c r="K29" s="9"/>
      <c r="L29" s="27">
        <f>SUM(C29:K29)</f>
        <v>2407966</v>
      </c>
    </row>
    <row r="30" spans="1:13" ht="15.75">
      <c r="A30" s="11">
        <f t="shared" si="0"/>
        <v>22</v>
      </c>
      <c r="B30" s="6" t="s">
        <v>10</v>
      </c>
      <c r="C30" s="7">
        <f>SUM(C11:C29)</f>
        <v>204142608</v>
      </c>
      <c r="D30" s="7">
        <f aca="true" t="shared" si="2" ref="D30:K30">SUM(D11:D29)</f>
        <v>71902950</v>
      </c>
      <c r="E30" s="7">
        <f t="shared" si="2"/>
        <v>47375511</v>
      </c>
      <c r="F30" s="7">
        <f t="shared" si="2"/>
        <v>5646580</v>
      </c>
      <c r="G30" s="7">
        <f t="shared" si="2"/>
        <v>109829929</v>
      </c>
      <c r="H30" s="7">
        <f t="shared" si="2"/>
        <v>325575</v>
      </c>
      <c r="I30" s="7">
        <f t="shared" si="2"/>
        <v>7306281</v>
      </c>
      <c r="J30" s="7">
        <f>SUM(J11:J29)</f>
        <v>0</v>
      </c>
      <c r="K30" s="7">
        <f t="shared" si="2"/>
        <v>0</v>
      </c>
      <c r="L30" s="28">
        <f>SUM(C30:K30)</f>
        <v>446529434</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143617369</v>
      </c>
      <c r="D33" s="9">
        <v>31201051</v>
      </c>
      <c r="E33" s="9">
        <v>12536919</v>
      </c>
      <c r="F33" s="9">
        <v>160110</v>
      </c>
      <c r="G33" s="9">
        <v>298346</v>
      </c>
      <c r="H33" s="9"/>
      <c r="I33" s="9">
        <v>3787852</v>
      </c>
      <c r="J33" s="9"/>
      <c r="K33" s="9"/>
      <c r="L33" s="27">
        <f t="shared" si="1"/>
        <v>191601647</v>
      </c>
    </row>
    <row r="34" spans="1:12" ht="15.75">
      <c r="A34" s="11">
        <f t="shared" si="0"/>
        <v>26</v>
      </c>
      <c r="B34" s="6" t="s">
        <v>59</v>
      </c>
      <c r="C34" s="9">
        <v>15466648</v>
      </c>
      <c r="D34" s="9">
        <v>14950355</v>
      </c>
      <c r="E34" s="9">
        <v>5298088</v>
      </c>
      <c r="F34" s="9">
        <v>943764</v>
      </c>
      <c r="G34" s="9">
        <v>37621</v>
      </c>
      <c r="H34" s="9"/>
      <c r="I34" s="9">
        <v>281825</v>
      </c>
      <c r="J34" s="9"/>
      <c r="K34" s="9"/>
      <c r="L34" s="27">
        <f t="shared" si="1"/>
        <v>36978301</v>
      </c>
    </row>
    <row r="35" spans="1:12" ht="15.75">
      <c r="A35" s="11">
        <f t="shared" si="0"/>
        <v>27</v>
      </c>
      <c r="B35" s="6" t="s">
        <v>14</v>
      </c>
      <c r="C35" s="9">
        <v>45058591</v>
      </c>
      <c r="D35" s="9">
        <v>21231042</v>
      </c>
      <c r="E35" s="9">
        <v>27023138</v>
      </c>
      <c r="F35" s="9">
        <v>3813384</v>
      </c>
      <c r="G35" s="9">
        <v>104172280</v>
      </c>
      <c r="H35" s="9">
        <v>325575</v>
      </c>
      <c r="I35" s="9">
        <v>3236604</v>
      </c>
      <c r="J35" s="9"/>
      <c r="K35" s="9"/>
      <c r="L35" s="27">
        <f t="shared" si="1"/>
        <v>204860614</v>
      </c>
    </row>
    <row r="36" spans="1:12" ht="15.75">
      <c r="A36" s="11">
        <f t="shared" si="0"/>
        <v>28</v>
      </c>
      <c r="B36" s="6" t="s">
        <v>60</v>
      </c>
      <c r="C36" s="9"/>
      <c r="D36" s="9"/>
      <c r="E36" s="9"/>
      <c r="F36" s="9"/>
      <c r="G36" s="9"/>
      <c r="H36" s="9"/>
      <c r="I36" s="9"/>
      <c r="J36" s="9"/>
      <c r="K36" s="9"/>
      <c r="L36" s="27">
        <f t="shared" si="1"/>
        <v>0</v>
      </c>
    </row>
    <row r="37" spans="1:12" ht="15.75">
      <c r="A37" s="11">
        <f t="shared" si="0"/>
        <v>29</v>
      </c>
      <c r="B37" s="6" t="s">
        <v>42</v>
      </c>
      <c r="C37" s="9"/>
      <c r="D37" s="9"/>
      <c r="E37" s="9"/>
      <c r="F37" s="9"/>
      <c r="J37" s="30"/>
      <c r="L37" s="27">
        <f t="shared" si="1"/>
        <v>0</v>
      </c>
    </row>
    <row r="38" spans="1:12" ht="15.75">
      <c r="A38" s="11">
        <f t="shared" si="0"/>
        <v>30</v>
      </c>
      <c r="B38" s="6" t="s">
        <v>16</v>
      </c>
      <c r="C38" s="9"/>
      <c r="D38" s="9"/>
      <c r="E38" s="9"/>
      <c r="F38" s="9"/>
      <c r="J38" s="30"/>
      <c r="L38" s="27">
        <f t="shared" si="1"/>
        <v>0</v>
      </c>
    </row>
    <row r="39" spans="1:12" ht="15.75" hidden="1">
      <c r="A39" s="11">
        <f t="shared" si="0"/>
        <v>31</v>
      </c>
      <c r="B39" s="6" t="s">
        <v>27</v>
      </c>
      <c r="C39" s="9"/>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c r="D41" s="9"/>
      <c r="E41" s="9"/>
      <c r="F41" s="9"/>
      <c r="J41" s="30"/>
      <c r="L41" s="27">
        <f t="shared" si="1"/>
        <v>0</v>
      </c>
    </row>
    <row r="42" spans="1:12" ht="15.75">
      <c r="A42" s="11">
        <f t="shared" si="0"/>
        <v>33</v>
      </c>
      <c r="B42" s="6" t="s">
        <v>17</v>
      </c>
      <c r="C42" s="9"/>
      <c r="D42" s="9"/>
      <c r="E42" s="9"/>
      <c r="F42" s="9"/>
      <c r="J42" s="30"/>
      <c r="L42" s="27">
        <f t="shared" si="1"/>
        <v>0</v>
      </c>
    </row>
    <row r="43" spans="1:12" ht="15.75">
      <c r="A43" s="11">
        <f t="shared" si="0"/>
        <v>34</v>
      </c>
      <c r="B43" s="6" t="s">
        <v>18</v>
      </c>
      <c r="C43" s="9"/>
      <c r="D43" s="9"/>
      <c r="E43" s="9"/>
      <c r="F43" s="9"/>
      <c r="J43" s="30"/>
      <c r="L43" s="27">
        <f t="shared" si="1"/>
        <v>0</v>
      </c>
    </row>
    <row r="44" spans="2:12" ht="15.75" hidden="1">
      <c r="B44" s="6" t="s">
        <v>29</v>
      </c>
      <c r="C44" s="9"/>
      <c r="D44" s="9"/>
      <c r="E44" s="9"/>
      <c r="F44" s="9"/>
      <c r="J44" s="30"/>
      <c r="L44" s="27">
        <f t="shared" si="1"/>
        <v>0</v>
      </c>
    </row>
    <row r="45" spans="2:12" ht="15.75" hidden="1">
      <c r="B45" s="6" t="s">
        <v>35</v>
      </c>
      <c r="C45" s="9"/>
      <c r="D45" s="9"/>
      <c r="E45" s="9"/>
      <c r="F45" s="9"/>
      <c r="J45" s="30"/>
      <c r="L45" s="27">
        <f t="shared" si="1"/>
        <v>0</v>
      </c>
    </row>
    <row r="46" spans="1:12" ht="15.75">
      <c r="A46" s="11">
        <f>+A43+1</f>
        <v>35</v>
      </c>
      <c r="B46" s="6" t="s">
        <v>19</v>
      </c>
      <c r="C46" s="9"/>
      <c r="D46" s="9"/>
      <c r="E46" s="9"/>
      <c r="F46" s="9"/>
      <c r="J46" s="30"/>
      <c r="L46" s="27">
        <f t="shared" si="1"/>
        <v>0</v>
      </c>
    </row>
    <row r="47" spans="1:12" ht="15.75">
      <c r="A47" s="11">
        <f t="shared" si="0"/>
        <v>36</v>
      </c>
      <c r="B47" s="6" t="s">
        <v>30</v>
      </c>
      <c r="C47" s="9"/>
      <c r="D47" s="9"/>
      <c r="E47" s="9"/>
      <c r="F47" s="9"/>
      <c r="J47" s="30"/>
      <c r="L47" s="27">
        <f t="shared" si="1"/>
        <v>0</v>
      </c>
    </row>
    <row r="48" spans="1:12" ht="15.75">
      <c r="A48" s="11">
        <f t="shared" si="0"/>
        <v>37</v>
      </c>
      <c r="B48" s="6" t="s">
        <v>31</v>
      </c>
      <c r="C48" s="9"/>
      <c r="D48" s="9"/>
      <c r="E48" s="9"/>
      <c r="F48" s="9"/>
      <c r="J48" s="30"/>
      <c r="L48" s="27">
        <f t="shared" si="1"/>
        <v>0</v>
      </c>
    </row>
    <row r="49" spans="1:12" ht="15.75">
      <c r="A49" s="11">
        <f t="shared" si="0"/>
        <v>38</v>
      </c>
      <c r="B49" s="6" t="s">
        <v>32</v>
      </c>
      <c r="C49" s="9"/>
      <c r="D49" s="9"/>
      <c r="E49" s="9"/>
      <c r="F49" s="9"/>
      <c r="J49" s="30"/>
      <c r="L49" s="27">
        <f t="shared" si="1"/>
        <v>0</v>
      </c>
    </row>
    <row r="50" spans="1:12" ht="15.75">
      <c r="A50" s="11">
        <f t="shared" si="0"/>
        <v>39</v>
      </c>
      <c r="B50" s="6" t="s">
        <v>20</v>
      </c>
      <c r="C50" s="9"/>
      <c r="D50" s="9"/>
      <c r="E50" s="9"/>
      <c r="F50" s="9"/>
      <c r="J50" s="30"/>
      <c r="K50" s="9"/>
      <c r="L50" s="27">
        <f t="shared" si="1"/>
        <v>0</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c r="D53" s="9"/>
      <c r="E53" s="9"/>
      <c r="F53" s="9"/>
      <c r="J53" s="30"/>
      <c r="L53" s="27">
        <f t="shared" si="1"/>
        <v>0</v>
      </c>
    </row>
    <row r="54" spans="1:12" ht="15.75">
      <c r="A54" s="11">
        <f t="shared" si="0"/>
        <v>43</v>
      </c>
      <c r="B54" s="23" t="s">
        <v>78</v>
      </c>
      <c r="C54" s="9"/>
      <c r="D54" s="9"/>
      <c r="E54" s="9"/>
      <c r="F54" s="9"/>
      <c r="J54" s="30"/>
      <c r="L54" s="27">
        <f t="shared" si="1"/>
        <v>0</v>
      </c>
    </row>
    <row r="55" spans="1:12" ht="15.75">
      <c r="A55" s="11">
        <f t="shared" si="0"/>
        <v>44</v>
      </c>
      <c r="B55" s="22" t="s">
        <v>39</v>
      </c>
      <c r="C55" s="9"/>
      <c r="D55" s="9"/>
      <c r="E55" s="9"/>
      <c r="F55" s="9"/>
      <c r="J55" s="30"/>
      <c r="L55" s="27">
        <f t="shared" si="1"/>
        <v>0</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D58" s="9"/>
      <c r="E58" s="9"/>
      <c r="F58" s="9"/>
      <c r="J58" s="30"/>
      <c r="L58" s="27">
        <f t="shared" si="1"/>
        <v>0</v>
      </c>
    </row>
    <row r="59" spans="1:12" ht="15.75">
      <c r="A59" s="11">
        <f t="shared" si="0"/>
        <v>48</v>
      </c>
      <c r="B59" s="6" t="s">
        <v>55</v>
      </c>
      <c r="D59" s="31"/>
      <c r="E59" s="9"/>
      <c r="F59" s="31"/>
      <c r="I59" s="9"/>
      <c r="J59" s="9"/>
      <c r="K59" s="9"/>
      <c r="L59" s="27">
        <f t="shared" si="1"/>
        <v>0</v>
      </c>
    </row>
    <row r="60" spans="1:12" ht="15.75">
      <c r="A60" s="11">
        <f>+A59+1</f>
        <v>49</v>
      </c>
      <c r="B60" s="6" t="s">
        <v>21</v>
      </c>
      <c r="C60" s="7">
        <f>SUM(C33:C59)</f>
        <v>204142608</v>
      </c>
      <c r="D60" s="7">
        <f aca="true" t="shared" si="3" ref="D60:K60">SUM(D33:D59)</f>
        <v>67382448</v>
      </c>
      <c r="E60" s="7">
        <f t="shared" si="3"/>
        <v>44858145</v>
      </c>
      <c r="F60" s="7">
        <f t="shared" si="3"/>
        <v>4917258</v>
      </c>
      <c r="G60" s="7">
        <f t="shared" si="3"/>
        <v>104508247</v>
      </c>
      <c r="H60" s="7">
        <f t="shared" si="3"/>
        <v>325575</v>
      </c>
      <c r="I60" s="7">
        <f t="shared" si="3"/>
        <v>7306281</v>
      </c>
      <c r="J60" s="7">
        <f t="shared" si="3"/>
        <v>0</v>
      </c>
      <c r="K60" s="7">
        <f t="shared" si="3"/>
        <v>0</v>
      </c>
      <c r="L60" s="28">
        <f>SUM(C60:K60)</f>
        <v>433440562</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v>2002347</v>
      </c>
      <c r="E63" s="9">
        <v>7184783</v>
      </c>
      <c r="F63" s="12">
        <v>769114</v>
      </c>
      <c r="G63" s="12">
        <v>3439328</v>
      </c>
      <c r="H63" s="12">
        <v>47000</v>
      </c>
      <c r="I63" s="12"/>
      <c r="J63" s="12"/>
      <c r="K63" s="12"/>
      <c r="L63" s="27">
        <f t="shared" si="1"/>
        <v>13442572</v>
      </c>
    </row>
    <row r="64" spans="1:12" ht="15.75">
      <c r="A64" s="11">
        <f t="shared" si="0"/>
        <v>53</v>
      </c>
      <c r="B64" s="6" t="s">
        <v>50</v>
      </c>
      <c r="C64" s="9"/>
      <c r="D64" s="9"/>
      <c r="E64" s="9"/>
      <c r="F64" s="9"/>
      <c r="I64" s="9"/>
      <c r="J64" s="9"/>
      <c r="L64" s="27">
        <f t="shared" si="1"/>
        <v>0</v>
      </c>
    </row>
    <row r="65" spans="1:12" ht="15.75">
      <c r="A65" s="11">
        <f>+A64+1</f>
        <v>54</v>
      </c>
      <c r="B65" s="6" t="s">
        <v>26</v>
      </c>
      <c r="C65" s="9"/>
      <c r="D65" s="9"/>
      <c r="E65" s="9"/>
      <c r="F65" s="9"/>
      <c r="J65" s="30"/>
      <c r="L65" s="27">
        <f>SUM(C65:K65)</f>
        <v>0</v>
      </c>
    </row>
    <row r="66" spans="1:12" ht="16.5">
      <c r="A66" s="11">
        <f>+A65+1</f>
        <v>55</v>
      </c>
      <c r="B66" s="6" t="s">
        <v>77</v>
      </c>
      <c r="C66" s="9"/>
      <c r="D66" s="9"/>
      <c r="E66" s="9"/>
      <c r="F66" s="9"/>
      <c r="G66" s="27">
        <v>54395</v>
      </c>
      <c r="I66" s="32"/>
      <c r="J66" s="30"/>
      <c r="L66" s="27">
        <f t="shared" si="1"/>
        <v>54395</v>
      </c>
    </row>
    <row r="67" spans="1:12" ht="15.75">
      <c r="A67" s="11">
        <f t="shared" si="0"/>
        <v>56</v>
      </c>
      <c r="B67" s="6" t="s">
        <v>24</v>
      </c>
      <c r="C67" s="7">
        <f aca="true" t="shared" si="4" ref="C67:K67">SUM(C63:C66)</f>
        <v>0</v>
      </c>
      <c r="D67" s="7">
        <f t="shared" si="4"/>
        <v>2002347</v>
      </c>
      <c r="E67" s="7">
        <f t="shared" si="4"/>
        <v>7184783</v>
      </c>
      <c r="F67" s="7">
        <f t="shared" si="4"/>
        <v>769114</v>
      </c>
      <c r="G67" s="7">
        <f t="shared" si="4"/>
        <v>3493723</v>
      </c>
      <c r="H67" s="7">
        <f t="shared" si="4"/>
        <v>47000</v>
      </c>
      <c r="I67" s="7">
        <f t="shared" si="4"/>
        <v>0</v>
      </c>
      <c r="J67" s="7">
        <f t="shared" si="4"/>
        <v>0</v>
      </c>
      <c r="K67" s="7">
        <f t="shared" si="4"/>
        <v>0</v>
      </c>
      <c r="L67" s="28">
        <f t="shared" si="1"/>
        <v>13496967</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5495115</v>
      </c>
      <c r="D69" s="13">
        <f t="shared" si="5"/>
        <v>8679510</v>
      </c>
      <c r="E69" s="13">
        <f t="shared" si="5"/>
        <v>25313303</v>
      </c>
      <c r="F69" s="13">
        <f t="shared" si="5"/>
        <v>1968208</v>
      </c>
      <c r="G69" s="13">
        <f t="shared" si="5"/>
        <v>1345428</v>
      </c>
      <c r="H69" s="13">
        <f t="shared" si="5"/>
        <v>90924</v>
      </c>
      <c r="I69" s="13">
        <f t="shared" si="5"/>
        <v>2473236</v>
      </c>
      <c r="J69" s="13">
        <f t="shared" si="5"/>
        <v>0</v>
      </c>
      <c r="K69" s="13">
        <f t="shared" si="5"/>
        <v>0</v>
      </c>
      <c r="L69" s="29">
        <f>SUM(C69:K69)</f>
        <v>45365724</v>
      </c>
      <c r="M69" s="21">
        <f>+L8+L30-L60-L67</f>
        <v>45365724</v>
      </c>
    </row>
    <row r="70" ht="16.5" thickTop="1">
      <c r="J70" s="30"/>
    </row>
    <row r="72" ht="15.75">
      <c r="C72" s="21"/>
    </row>
  </sheetData>
  <mergeCells count="4">
    <mergeCell ref="B1:L1"/>
    <mergeCell ref="B2:L2"/>
    <mergeCell ref="B3:L3"/>
    <mergeCell ref="F5:J5"/>
  </mergeCells>
  <printOptions horizontalCentered="1"/>
  <pageMargins left="0" right="0" top="0.38" bottom="0.52" header="0.29" footer="0.5"/>
  <pageSetup horizontalDpi="600" verticalDpi="600" orientation="landscape" scale="60" r:id="rId2"/>
  <rowBreaks count="1" manualBreakCount="1">
    <brk id="60" max="11" man="1"/>
  </rowBreaks>
  <drawing r:id="rId1"/>
</worksheet>
</file>

<file path=xl/worksheets/sheet11.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90</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8.75">
      <c r="B4" s="49"/>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4949975</v>
      </c>
      <c r="D8" s="7">
        <v>3608028</v>
      </c>
      <c r="E8" s="7">
        <v>7984992</v>
      </c>
      <c r="F8" s="7">
        <v>1348743</v>
      </c>
      <c r="G8" s="7">
        <v>1079571</v>
      </c>
      <c r="H8" s="7">
        <v>171549</v>
      </c>
      <c r="I8" s="7">
        <v>652324</v>
      </c>
      <c r="J8" s="7">
        <v>0</v>
      </c>
      <c r="K8" s="7">
        <v>0</v>
      </c>
      <c r="L8" s="7">
        <f>SUM(C8:K8)</f>
        <v>19795182</v>
      </c>
    </row>
    <row r="9" spans="1:12" ht="15.75">
      <c r="A9" s="11">
        <f>+A8+1</f>
        <v>2</v>
      </c>
      <c r="B9" s="6"/>
      <c r="C9" s="12"/>
      <c r="D9" s="12"/>
      <c r="E9" s="12"/>
      <c r="F9" s="12"/>
      <c r="J9" s="30"/>
      <c r="L9" s="26"/>
    </row>
    <row r="10" spans="1:12" ht="15.75">
      <c r="A10" s="11">
        <f aca="true" t="shared" si="0" ref="A10:A69">+A9+1</f>
        <v>3</v>
      </c>
      <c r="B10" s="8" t="s">
        <v>5</v>
      </c>
      <c r="C10" s="9"/>
      <c r="D10" s="35"/>
      <c r="E10" s="37"/>
      <c r="F10" s="9"/>
      <c r="J10" s="30"/>
      <c r="L10" s="26"/>
    </row>
    <row r="11" spans="1:12" ht="15.75">
      <c r="A11" s="11">
        <f t="shared" si="0"/>
        <v>4</v>
      </c>
      <c r="B11" s="6" t="s">
        <v>81</v>
      </c>
      <c r="C11" s="9">
        <v>3765403</v>
      </c>
      <c r="D11" s="9"/>
      <c r="E11" s="9"/>
      <c r="F11" s="9"/>
      <c r="J11" s="30"/>
      <c r="L11" s="27">
        <f>SUM(C11:K11)</f>
        <v>3765403</v>
      </c>
    </row>
    <row r="12" spans="1:12" ht="15.75">
      <c r="A12" s="11">
        <f t="shared" si="0"/>
        <v>5</v>
      </c>
      <c r="B12" s="6" t="s">
        <v>79</v>
      </c>
      <c r="C12" s="9">
        <v>55737209</v>
      </c>
      <c r="D12" s="9"/>
      <c r="E12" s="9"/>
      <c r="F12" s="9"/>
      <c r="J12" s="30"/>
      <c r="L12" s="27">
        <f aca="true" t="shared" si="1" ref="L12:L67">SUM(C12:K12)</f>
        <v>55737209</v>
      </c>
    </row>
    <row r="13" spans="1:12" ht="15.75">
      <c r="A13" s="11">
        <f t="shared" si="0"/>
        <v>6</v>
      </c>
      <c r="B13" s="6" t="s">
        <v>42</v>
      </c>
      <c r="C13" s="9"/>
      <c r="D13" s="9"/>
      <c r="E13" s="9"/>
      <c r="F13" s="9"/>
      <c r="J13" s="30"/>
      <c r="L13" s="27">
        <f t="shared" si="1"/>
        <v>0</v>
      </c>
    </row>
    <row r="14" spans="1:12" ht="15.75">
      <c r="A14" s="11">
        <f t="shared" si="0"/>
        <v>7</v>
      </c>
      <c r="B14" s="6" t="s">
        <v>8</v>
      </c>
      <c r="C14" s="9">
        <v>20795165</v>
      </c>
      <c r="D14" s="9"/>
      <c r="E14" s="9"/>
      <c r="F14" s="9"/>
      <c r="J14" s="30"/>
      <c r="L14" s="27">
        <f t="shared" si="1"/>
        <v>20795165</v>
      </c>
    </row>
    <row r="15" spans="1:12" ht="15.75">
      <c r="A15" s="11">
        <f t="shared" si="0"/>
        <v>8</v>
      </c>
      <c r="B15" s="6" t="s">
        <v>70</v>
      </c>
      <c r="C15" s="9"/>
      <c r="D15" s="9"/>
      <c r="E15" s="9"/>
      <c r="F15" s="9"/>
      <c r="J15" s="30"/>
      <c r="L15" s="27">
        <f t="shared" si="1"/>
        <v>0</v>
      </c>
    </row>
    <row r="16" spans="1:12" ht="15.75">
      <c r="A16" s="11">
        <f>+A15+1</f>
        <v>9</v>
      </c>
      <c r="B16" s="6" t="s">
        <v>43</v>
      </c>
      <c r="C16" s="9"/>
      <c r="D16" s="9">
        <v>12400000</v>
      </c>
      <c r="E16" s="9"/>
      <c r="F16" s="9"/>
      <c r="G16" s="9">
        <v>32149258</v>
      </c>
      <c r="H16" s="9"/>
      <c r="I16" s="9"/>
      <c r="J16" s="9"/>
      <c r="K16" s="9"/>
      <c r="L16" s="27">
        <f t="shared" si="1"/>
        <v>44549258</v>
      </c>
    </row>
    <row r="17" spans="1:12" ht="15.75">
      <c r="A17" s="11">
        <f t="shared" si="0"/>
        <v>10</v>
      </c>
      <c r="B17" s="6" t="s">
        <v>44</v>
      </c>
      <c r="C17" s="9"/>
      <c r="D17" s="9">
        <v>600000</v>
      </c>
      <c r="E17" s="9"/>
      <c r="F17" s="9"/>
      <c r="G17" s="9"/>
      <c r="H17" s="9"/>
      <c r="I17" s="9"/>
      <c r="J17" s="9"/>
      <c r="K17" s="9"/>
      <c r="L17" s="27">
        <f t="shared" si="1"/>
        <v>600000</v>
      </c>
    </row>
    <row r="18" spans="1:12" ht="15.75">
      <c r="A18" s="11">
        <f t="shared" si="0"/>
        <v>11</v>
      </c>
      <c r="B18" s="6" t="s">
        <v>45</v>
      </c>
      <c r="C18" s="9"/>
      <c r="D18" s="9">
        <v>100000</v>
      </c>
      <c r="E18" s="9"/>
      <c r="F18" s="9"/>
      <c r="G18" s="9"/>
      <c r="H18" s="9"/>
      <c r="I18" s="9"/>
      <c r="J18" s="9"/>
      <c r="K18" s="9"/>
      <c r="L18" s="27">
        <f t="shared" si="1"/>
        <v>100000</v>
      </c>
    </row>
    <row r="19" spans="1:12" ht="15.75">
      <c r="A19" s="11">
        <f t="shared" si="0"/>
        <v>12</v>
      </c>
      <c r="B19" s="6" t="s">
        <v>46</v>
      </c>
      <c r="C19" s="9"/>
      <c r="D19" s="9">
        <v>2700000</v>
      </c>
      <c r="E19" s="9"/>
      <c r="F19" s="9"/>
      <c r="G19" s="9"/>
      <c r="H19" s="9"/>
      <c r="I19" s="9"/>
      <c r="J19" s="9"/>
      <c r="K19" s="9"/>
      <c r="L19" s="27">
        <f t="shared" si="1"/>
        <v>2700000</v>
      </c>
    </row>
    <row r="20" spans="1:12" ht="15.75">
      <c r="A20" s="11">
        <f t="shared" si="0"/>
        <v>13</v>
      </c>
      <c r="B20" s="6" t="s">
        <v>97</v>
      </c>
      <c r="C20" s="9"/>
      <c r="D20" s="9"/>
      <c r="E20" s="9"/>
      <c r="F20" s="9"/>
      <c r="J20" s="30"/>
      <c r="L20" s="27">
        <f t="shared" si="1"/>
        <v>0</v>
      </c>
    </row>
    <row r="21" spans="1:12" ht="15.75">
      <c r="A21" s="11">
        <f t="shared" si="0"/>
        <v>14</v>
      </c>
      <c r="B21" s="6" t="s">
        <v>47</v>
      </c>
      <c r="C21" s="9"/>
      <c r="D21" s="9">
        <v>29469670</v>
      </c>
      <c r="E21" s="9">
        <v>6795758</v>
      </c>
      <c r="F21" s="9">
        <v>410000</v>
      </c>
      <c r="G21" s="9">
        <v>3034568</v>
      </c>
      <c r="H21" s="9"/>
      <c r="I21" s="9">
        <v>1132207</v>
      </c>
      <c r="J21" s="9"/>
      <c r="K21" s="9"/>
      <c r="L21" s="27">
        <f t="shared" si="1"/>
        <v>40842203</v>
      </c>
    </row>
    <row r="22" spans="1:12" ht="15.75">
      <c r="A22" s="11">
        <f t="shared" si="0"/>
        <v>15</v>
      </c>
      <c r="B22" s="6" t="s">
        <v>48</v>
      </c>
      <c r="C22" s="9"/>
      <c r="D22" s="9">
        <f>4600000+10000</f>
        <v>4610000</v>
      </c>
      <c r="E22" s="9">
        <f>2500000+100000+10000</f>
        <v>2610000</v>
      </c>
      <c r="F22" s="9">
        <f>10000+300000</f>
        <v>310000</v>
      </c>
      <c r="I22" s="9">
        <f>10000+20000</f>
        <v>30000</v>
      </c>
      <c r="J22" s="30"/>
      <c r="L22" s="27">
        <f t="shared" si="1"/>
        <v>7560000</v>
      </c>
    </row>
    <row r="23" spans="1:12" ht="15.75">
      <c r="A23" s="11">
        <f t="shared" si="0"/>
        <v>16</v>
      </c>
      <c r="B23" s="6" t="s">
        <v>54</v>
      </c>
      <c r="C23" s="9"/>
      <c r="D23" s="9"/>
      <c r="E23" s="9"/>
      <c r="F23" s="9"/>
      <c r="J23" s="30"/>
      <c r="L23" s="27">
        <f t="shared" si="1"/>
        <v>0</v>
      </c>
    </row>
    <row r="24" spans="1:12" ht="15.75">
      <c r="A24" s="11">
        <f t="shared" si="0"/>
        <v>17</v>
      </c>
      <c r="B24" s="6" t="s">
        <v>51</v>
      </c>
      <c r="C24" s="9"/>
      <c r="D24" s="9">
        <v>10000</v>
      </c>
      <c r="E24" s="9">
        <v>3000000</v>
      </c>
      <c r="F24" s="9">
        <v>2000000</v>
      </c>
      <c r="G24" s="9"/>
      <c r="H24" s="9"/>
      <c r="I24" s="9">
        <v>3000000</v>
      </c>
      <c r="J24" s="9"/>
      <c r="K24" s="9"/>
      <c r="L24" s="27">
        <f t="shared" si="1"/>
        <v>8010000</v>
      </c>
    </row>
    <row r="25" spans="1:12" ht="15.75">
      <c r="A25" s="11">
        <f t="shared" si="0"/>
        <v>18</v>
      </c>
      <c r="B25" s="6" t="s">
        <v>52</v>
      </c>
      <c r="C25" s="9"/>
      <c r="D25" s="9">
        <v>2700000</v>
      </c>
      <c r="E25" s="9">
        <v>6000000</v>
      </c>
      <c r="F25" s="9">
        <v>100000</v>
      </c>
      <c r="G25" s="9">
        <v>600000</v>
      </c>
      <c r="H25" s="9">
        <v>170000</v>
      </c>
      <c r="I25" s="9">
        <v>500000</v>
      </c>
      <c r="J25" s="9"/>
      <c r="K25" s="9"/>
      <c r="L25" s="27">
        <f t="shared" si="1"/>
        <v>10070000</v>
      </c>
    </row>
    <row r="26" spans="1:12" ht="15.75">
      <c r="A26" s="11">
        <f t="shared" si="0"/>
        <v>19</v>
      </c>
      <c r="B26" s="6" t="s">
        <v>53</v>
      </c>
      <c r="C26" s="9"/>
      <c r="D26" s="9"/>
      <c r="E26" s="9">
        <v>300000</v>
      </c>
      <c r="F26" s="9">
        <v>100000</v>
      </c>
      <c r="J26" s="30"/>
      <c r="L26" s="27">
        <f t="shared" si="1"/>
        <v>400000</v>
      </c>
    </row>
    <row r="27" spans="1:12" ht="15.75">
      <c r="A27" s="11">
        <f t="shared" si="0"/>
        <v>20</v>
      </c>
      <c r="B27" s="6" t="s">
        <v>56</v>
      </c>
      <c r="C27" s="9"/>
      <c r="D27" s="9"/>
      <c r="E27" s="9"/>
      <c r="F27" s="9"/>
      <c r="H27" s="9"/>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c r="D29" s="9">
        <f>210000+10000+10000</f>
        <v>230000</v>
      </c>
      <c r="E29" s="9">
        <f>30000+300000+225000+1800000+3000</f>
        <v>2358000</v>
      </c>
      <c r="F29" s="9">
        <f>20000+75000</f>
        <v>95000</v>
      </c>
      <c r="G29" s="9">
        <v>15000</v>
      </c>
      <c r="H29" s="9"/>
      <c r="I29" s="9"/>
      <c r="J29" s="9"/>
      <c r="K29" s="9"/>
      <c r="L29" s="27">
        <f>SUM(C29:K29)</f>
        <v>2698000</v>
      </c>
    </row>
    <row r="30" spans="1:13" ht="15.75">
      <c r="A30" s="11">
        <f t="shared" si="0"/>
        <v>22</v>
      </c>
      <c r="B30" s="6" t="s">
        <v>10</v>
      </c>
      <c r="C30" s="7">
        <f>SUM(C11:C29)</f>
        <v>80297777</v>
      </c>
      <c r="D30" s="7">
        <f aca="true" t="shared" si="2" ref="D30:K30">SUM(D11:D29)</f>
        <v>52819670</v>
      </c>
      <c r="E30" s="7">
        <f t="shared" si="2"/>
        <v>21063758</v>
      </c>
      <c r="F30" s="7">
        <f t="shared" si="2"/>
        <v>3015000</v>
      </c>
      <c r="G30" s="7">
        <f t="shared" si="2"/>
        <v>35798826</v>
      </c>
      <c r="H30" s="7">
        <f t="shared" si="2"/>
        <v>170000</v>
      </c>
      <c r="I30" s="7">
        <f t="shared" si="2"/>
        <v>4662207</v>
      </c>
      <c r="J30" s="7">
        <f>SUM(J11:J29)</f>
        <v>0</v>
      </c>
      <c r="K30" s="7">
        <f t="shared" si="2"/>
        <v>0</v>
      </c>
      <c r="L30" s="28">
        <f>SUM(C30:K30)</f>
        <v>197827238</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64435779</v>
      </c>
      <c r="D33" s="9">
        <v>9640012</v>
      </c>
      <c r="E33" s="9">
        <v>2634591</v>
      </c>
      <c r="F33" s="9">
        <v>774656</v>
      </c>
      <c r="G33" s="9"/>
      <c r="H33" s="9"/>
      <c r="I33" s="9">
        <v>1189927</v>
      </c>
      <c r="J33" s="9"/>
      <c r="K33" s="9"/>
      <c r="L33" s="27">
        <f t="shared" si="1"/>
        <v>78674965</v>
      </c>
    </row>
    <row r="34" spans="1:12" ht="15.75">
      <c r="A34" s="11">
        <f t="shared" si="0"/>
        <v>26</v>
      </c>
      <c r="B34" s="6" t="s">
        <v>59</v>
      </c>
      <c r="C34" s="9">
        <v>2586821</v>
      </c>
      <c r="D34" s="9">
        <v>7277977</v>
      </c>
      <c r="E34" s="9">
        <v>1550780</v>
      </c>
      <c r="F34" s="9">
        <v>780384</v>
      </c>
      <c r="G34" s="9"/>
      <c r="H34" s="9"/>
      <c r="I34" s="9">
        <v>325263</v>
      </c>
      <c r="J34" s="9"/>
      <c r="K34" s="9"/>
      <c r="L34" s="27">
        <f t="shared" si="1"/>
        <v>12521225</v>
      </c>
    </row>
    <row r="35" spans="1:12" ht="15.75">
      <c r="A35" s="11">
        <f t="shared" si="0"/>
        <v>27</v>
      </c>
      <c r="B35" s="6" t="s">
        <v>14</v>
      </c>
      <c r="C35" s="9">
        <v>10816970</v>
      </c>
      <c r="D35" s="9">
        <v>8401111</v>
      </c>
      <c r="E35" s="9">
        <v>7910238</v>
      </c>
      <c r="F35" s="9">
        <v>723213</v>
      </c>
      <c r="G35" s="9">
        <v>33777052</v>
      </c>
      <c r="H35" s="9">
        <v>160000</v>
      </c>
      <c r="I35" s="9">
        <v>1092359</v>
      </c>
      <c r="J35" s="9"/>
      <c r="K35" s="9"/>
      <c r="L35" s="27">
        <f t="shared" si="1"/>
        <v>62880943</v>
      </c>
    </row>
    <row r="36" spans="1:12" ht="15.75">
      <c r="A36" s="11">
        <f t="shared" si="0"/>
        <v>28</v>
      </c>
      <c r="B36" s="6" t="s">
        <v>60</v>
      </c>
      <c r="C36" s="9"/>
      <c r="D36" s="9">
        <v>916396</v>
      </c>
      <c r="E36" s="9">
        <v>2072436</v>
      </c>
      <c r="F36" s="9">
        <v>71521</v>
      </c>
      <c r="G36" s="9"/>
      <c r="H36" s="9"/>
      <c r="I36" s="9">
        <v>76483</v>
      </c>
      <c r="J36" s="9"/>
      <c r="K36" s="9"/>
      <c r="L36" s="27">
        <f t="shared" si="1"/>
        <v>3136836</v>
      </c>
    </row>
    <row r="37" spans="1:12" ht="15.75">
      <c r="A37" s="11">
        <f t="shared" si="0"/>
        <v>29</v>
      </c>
      <c r="B37" s="6" t="s">
        <v>42</v>
      </c>
      <c r="C37" s="9"/>
      <c r="D37" s="9"/>
      <c r="E37" s="9"/>
      <c r="F37" s="9"/>
      <c r="J37" s="30"/>
      <c r="L37" s="27">
        <f t="shared" si="1"/>
        <v>0</v>
      </c>
    </row>
    <row r="38" spans="1:12" ht="15.75">
      <c r="A38" s="11">
        <f t="shared" si="0"/>
        <v>30</v>
      </c>
      <c r="B38" s="6" t="s">
        <v>16</v>
      </c>
      <c r="C38" s="9"/>
      <c r="D38" s="9"/>
      <c r="E38" s="9"/>
      <c r="F38" s="9"/>
      <c r="J38" s="30"/>
      <c r="L38" s="27">
        <f t="shared" si="1"/>
        <v>0</v>
      </c>
    </row>
    <row r="39" spans="1:12" ht="15.75" hidden="1">
      <c r="A39" s="11">
        <f t="shared" si="0"/>
        <v>31</v>
      </c>
      <c r="B39" s="6" t="s">
        <v>27</v>
      </c>
      <c r="C39" s="9"/>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c r="D41" s="9"/>
      <c r="E41" s="9"/>
      <c r="F41" s="9"/>
      <c r="J41" s="30"/>
      <c r="L41" s="27">
        <f t="shared" si="1"/>
        <v>0</v>
      </c>
    </row>
    <row r="42" spans="1:12" ht="15.75">
      <c r="A42" s="11">
        <f t="shared" si="0"/>
        <v>33</v>
      </c>
      <c r="B42" s="6" t="s">
        <v>17</v>
      </c>
      <c r="C42" s="9">
        <v>1120000</v>
      </c>
      <c r="D42" s="9"/>
      <c r="E42" s="9"/>
      <c r="F42" s="9"/>
      <c r="J42" s="30"/>
      <c r="L42" s="27">
        <f t="shared" si="1"/>
        <v>1120000</v>
      </c>
    </row>
    <row r="43" spans="1:12" ht="15.75">
      <c r="A43" s="11">
        <f t="shared" si="0"/>
        <v>34</v>
      </c>
      <c r="B43" s="6" t="s">
        <v>18</v>
      </c>
      <c r="C43" s="9">
        <v>840004</v>
      </c>
      <c r="D43" s="9"/>
      <c r="E43" s="9"/>
      <c r="F43" s="9"/>
      <c r="J43" s="30"/>
      <c r="L43" s="27">
        <f t="shared" si="1"/>
        <v>840004</v>
      </c>
    </row>
    <row r="44" spans="2:12" ht="15.75" hidden="1">
      <c r="B44" s="6" t="s">
        <v>29</v>
      </c>
      <c r="C44" s="9">
        <v>0</v>
      </c>
      <c r="D44" s="9"/>
      <c r="E44" s="9"/>
      <c r="F44" s="9"/>
      <c r="J44" s="30"/>
      <c r="L44" s="27">
        <f t="shared" si="1"/>
        <v>0</v>
      </c>
    </row>
    <row r="45" spans="2:12" ht="15.75" hidden="1">
      <c r="B45" s="6" t="s">
        <v>35</v>
      </c>
      <c r="C45" s="9">
        <v>0</v>
      </c>
      <c r="D45" s="9"/>
      <c r="E45" s="9"/>
      <c r="F45" s="9"/>
      <c r="J45" s="30"/>
      <c r="L45" s="27">
        <f t="shared" si="1"/>
        <v>0</v>
      </c>
    </row>
    <row r="46" spans="1:12" ht="15.75">
      <c r="A46" s="11">
        <f>+A43+1</f>
        <v>35</v>
      </c>
      <c r="B46" s="6" t="s">
        <v>19</v>
      </c>
      <c r="C46" s="9">
        <v>455703</v>
      </c>
      <c r="D46" s="9"/>
      <c r="E46" s="9"/>
      <c r="F46" s="9"/>
      <c r="J46" s="30"/>
      <c r="L46" s="27">
        <f t="shared" si="1"/>
        <v>455703</v>
      </c>
    </row>
    <row r="47" spans="1:12" ht="15.75">
      <c r="A47" s="11">
        <f t="shared" si="0"/>
        <v>36</v>
      </c>
      <c r="B47" s="6" t="s">
        <v>30</v>
      </c>
      <c r="C47" s="9"/>
      <c r="D47" s="9"/>
      <c r="E47" s="9"/>
      <c r="F47" s="9"/>
      <c r="J47" s="30"/>
      <c r="L47" s="27">
        <f t="shared" si="1"/>
        <v>0</v>
      </c>
    </row>
    <row r="48" spans="1:12" ht="15.75">
      <c r="A48" s="11">
        <f t="shared" si="0"/>
        <v>37</v>
      </c>
      <c r="B48" s="6" t="s">
        <v>31</v>
      </c>
      <c r="C48" s="9">
        <v>42500</v>
      </c>
      <c r="D48" s="9"/>
      <c r="E48" s="9"/>
      <c r="F48" s="9"/>
      <c r="J48" s="30"/>
      <c r="L48" s="27">
        <f t="shared" si="1"/>
        <v>42500</v>
      </c>
    </row>
    <row r="49" spans="1:12" ht="15.75">
      <c r="A49" s="11">
        <f t="shared" si="0"/>
        <v>38</v>
      </c>
      <c r="B49" s="6" t="s">
        <v>32</v>
      </c>
      <c r="C49" s="9"/>
      <c r="D49" s="9"/>
      <c r="E49" s="9"/>
      <c r="F49" s="9"/>
      <c r="J49" s="30"/>
      <c r="L49" s="27">
        <f t="shared" si="1"/>
        <v>0</v>
      </c>
    </row>
    <row r="50" spans="1:12" ht="15.75">
      <c r="A50" s="11">
        <f t="shared" si="0"/>
        <v>39</v>
      </c>
      <c r="B50" s="6" t="s">
        <v>20</v>
      </c>
      <c r="C50" s="9"/>
      <c r="D50" s="9"/>
      <c r="E50" s="9"/>
      <c r="F50" s="9"/>
      <c r="J50" s="30"/>
      <c r="K50" s="9"/>
      <c r="L50" s="27">
        <f t="shared" si="1"/>
        <v>0</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c r="D53" s="9"/>
      <c r="E53" s="9"/>
      <c r="F53" s="9"/>
      <c r="J53" s="30"/>
      <c r="L53" s="27">
        <f t="shared" si="1"/>
        <v>0</v>
      </c>
    </row>
    <row r="54" spans="1:12" ht="15.75">
      <c r="A54" s="11">
        <f t="shared" si="0"/>
        <v>43</v>
      </c>
      <c r="B54" s="23" t="s">
        <v>78</v>
      </c>
      <c r="C54" s="9"/>
      <c r="D54" s="9"/>
      <c r="E54" s="9"/>
      <c r="F54" s="9"/>
      <c r="J54" s="30"/>
      <c r="L54" s="27">
        <f t="shared" si="1"/>
        <v>0</v>
      </c>
    </row>
    <row r="55" spans="1:12" ht="15.75">
      <c r="A55" s="11">
        <f t="shared" si="0"/>
        <v>44</v>
      </c>
      <c r="B55" s="22" t="s">
        <v>39</v>
      </c>
      <c r="C55" s="9"/>
      <c r="D55" s="9"/>
      <c r="E55" s="9"/>
      <c r="F55" s="9"/>
      <c r="J55" s="30"/>
      <c r="L55" s="27">
        <f t="shared" si="1"/>
        <v>0</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D58" s="9">
        <v>1896809</v>
      </c>
      <c r="E58" s="9"/>
      <c r="F58" s="9"/>
      <c r="J58" s="30"/>
      <c r="L58" s="27">
        <f t="shared" si="1"/>
        <v>1896809</v>
      </c>
    </row>
    <row r="59" spans="1:12" ht="15.75">
      <c r="A59" s="11">
        <f t="shared" si="0"/>
        <v>48</v>
      </c>
      <c r="B59" s="6" t="s">
        <v>55</v>
      </c>
      <c r="D59" s="9"/>
      <c r="E59" s="9">
        <v>983843</v>
      </c>
      <c r="F59" s="9"/>
      <c r="I59" s="9"/>
      <c r="J59" s="9"/>
      <c r="K59" s="9"/>
      <c r="L59" s="27">
        <f t="shared" si="1"/>
        <v>983843</v>
      </c>
    </row>
    <row r="60" spans="1:12" ht="15.75">
      <c r="A60" s="11">
        <f>+A59+1</f>
        <v>49</v>
      </c>
      <c r="B60" s="6" t="s">
        <v>21</v>
      </c>
      <c r="C60" s="7">
        <f>SUM(C33:C59)</f>
        <v>80297777</v>
      </c>
      <c r="D60" s="7">
        <f aca="true" t="shared" si="3" ref="D60:K60">SUM(D33:D59)</f>
        <v>28132305</v>
      </c>
      <c r="E60" s="7">
        <f t="shared" si="3"/>
        <v>15151888</v>
      </c>
      <c r="F60" s="7">
        <f t="shared" si="3"/>
        <v>2349774</v>
      </c>
      <c r="G60" s="7">
        <f t="shared" si="3"/>
        <v>33777052</v>
      </c>
      <c r="H60" s="7">
        <f t="shared" si="3"/>
        <v>160000</v>
      </c>
      <c r="I60" s="7">
        <f t="shared" si="3"/>
        <v>2684032</v>
      </c>
      <c r="J60" s="7">
        <f t="shared" si="3"/>
        <v>0</v>
      </c>
      <c r="K60" s="7">
        <f t="shared" si="3"/>
        <v>0</v>
      </c>
      <c r="L60" s="28">
        <f>SUM(C60:K60)</f>
        <v>162552828</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v>0</v>
      </c>
      <c r="D63" s="9">
        <f>500000+20937787</f>
        <v>21437787</v>
      </c>
      <c r="E63" s="9">
        <v>9671905</v>
      </c>
      <c r="F63" s="12">
        <v>464216</v>
      </c>
      <c r="G63" s="12">
        <v>1832342</v>
      </c>
      <c r="H63" s="12">
        <v>0</v>
      </c>
      <c r="I63" s="12">
        <v>2335793</v>
      </c>
      <c r="J63" s="12"/>
      <c r="K63" s="12">
        <v>0</v>
      </c>
      <c r="L63" s="27">
        <f t="shared" si="1"/>
        <v>35742043</v>
      </c>
    </row>
    <row r="64" spans="1:12" ht="15.75">
      <c r="A64" s="11">
        <f t="shared" si="0"/>
        <v>53</v>
      </c>
      <c r="B64" s="6" t="s">
        <v>50</v>
      </c>
      <c r="C64" s="9"/>
      <c r="D64" s="9"/>
      <c r="E64" s="9">
        <v>0</v>
      </c>
      <c r="F64" s="9"/>
      <c r="I64" s="9">
        <v>0</v>
      </c>
      <c r="J64" s="9"/>
      <c r="L64" s="27">
        <f t="shared" si="1"/>
        <v>0</v>
      </c>
    </row>
    <row r="65" spans="1:12" ht="15.75">
      <c r="A65" s="11">
        <f>+A64+1</f>
        <v>54</v>
      </c>
      <c r="B65" s="6" t="s">
        <v>26</v>
      </c>
      <c r="C65" s="9">
        <v>2765390</v>
      </c>
      <c r="D65" s="9"/>
      <c r="E65" s="9"/>
      <c r="F65" s="9"/>
      <c r="J65" s="30"/>
      <c r="L65" s="27">
        <f>SUM(C65:K65)</f>
        <v>2765390</v>
      </c>
    </row>
    <row r="66" spans="1:12" ht="16.5">
      <c r="A66" s="11">
        <f>+A65+1</f>
        <v>55</v>
      </c>
      <c r="B66" s="6" t="s">
        <v>77</v>
      </c>
      <c r="C66" s="9">
        <f>727309+53001</f>
        <v>780310</v>
      </c>
      <c r="D66" s="9">
        <f>727309+53001+14616</f>
        <v>794926</v>
      </c>
      <c r="E66" s="9">
        <v>0</v>
      </c>
      <c r="F66" s="9"/>
      <c r="J66" s="30"/>
      <c r="L66" s="27">
        <f t="shared" si="1"/>
        <v>1575236</v>
      </c>
    </row>
    <row r="67" spans="1:12" ht="15.75">
      <c r="A67" s="11">
        <f t="shared" si="0"/>
        <v>56</v>
      </c>
      <c r="B67" s="6" t="s">
        <v>24</v>
      </c>
      <c r="C67" s="7">
        <f aca="true" t="shared" si="4" ref="C67:K67">SUM(C63:C66)</f>
        <v>3545700</v>
      </c>
      <c r="D67" s="7">
        <f t="shared" si="4"/>
        <v>22232713</v>
      </c>
      <c r="E67" s="7">
        <f t="shared" si="4"/>
        <v>9671905</v>
      </c>
      <c r="F67" s="7">
        <f t="shared" si="4"/>
        <v>464216</v>
      </c>
      <c r="G67" s="7">
        <f t="shared" si="4"/>
        <v>1832342</v>
      </c>
      <c r="H67" s="7">
        <f t="shared" si="4"/>
        <v>0</v>
      </c>
      <c r="I67" s="7">
        <f t="shared" si="4"/>
        <v>2335793</v>
      </c>
      <c r="J67" s="7">
        <f t="shared" si="4"/>
        <v>0</v>
      </c>
      <c r="K67" s="7">
        <f t="shared" si="4"/>
        <v>0</v>
      </c>
      <c r="L67" s="28">
        <f t="shared" si="1"/>
        <v>40082669</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1404275</v>
      </c>
      <c r="D69" s="13">
        <f t="shared" si="5"/>
        <v>6062680</v>
      </c>
      <c r="E69" s="13">
        <f t="shared" si="5"/>
        <v>4224957</v>
      </c>
      <c r="F69" s="13">
        <f t="shared" si="5"/>
        <v>1549753</v>
      </c>
      <c r="G69" s="13">
        <f t="shared" si="5"/>
        <v>1269003</v>
      </c>
      <c r="H69" s="13">
        <f t="shared" si="5"/>
        <v>181549</v>
      </c>
      <c r="I69" s="13">
        <f t="shared" si="5"/>
        <v>294706</v>
      </c>
      <c r="J69" s="13">
        <f t="shared" si="5"/>
        <v>0</v>
      </c>
      <c r="K69" s="13">
        <f t="shared" si="5"/>
        <v>0</v>
      </c>
      <c r="L69" s="29">
        <f>SUM(C69:K69)</f>
        <v>14986923</v>
      </c>
      <c r="M69" s="21">
        <f>+L8+L30-L60-L67</f>
        <v>14986923</v>
      </c>
    </row>
    <row r="70" ht="16.5" thickTop="1">
      <c r="J70" s="30"/>
    </row>
    <row r="72" ht="15.75">
      <c r="C72" s="21"/>
    </row>
  </sheetData>
  <mergeCells count="4">
    <mergeCell ref="B1:L1"/>
    <mergeCell ref="B2:L2"/>
    <mergeCell ref="B3:L3"/>
    <mergeCell ref="F5:J5"/>
  </mergeCells>
  <printOptions horizontalCentered="1"/>
  <pageMargins left="0" right="0" top="0.32" bottom="0.52" header="0.27" footer="0.5"/>
  <pageSetup horizontalDpi="600" verticalDpi="600" orientation="landscape" scale="60" r:id="rId2"/>
  <drawing r:id="rId1"/>
</worksheet>
</file>

<file path=xl/worksheets/sheet12.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91</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41559177</v>
      </c>
      <c r="D8" s="7">
        <v>28501301</v>
      </c>
      <c r="E8" s="7">
        <v>28439881</v>
      </c>
      <c r="F8" s="7">
        <v>7988370</v>
      </c>
      <c r="G8" s="7">
        <v>23817594</v>
      </c>
      <c r="H8" s="7">
        <v>1073845</v>
      </c>
      <c r="I8" s="7">
        <v>179507</v>
      </c>
      <c r="J8" s="7">
        <v>0</v>
      </c>
      <c r="K8" s="7">
        <v>0</v>
      </c>
      <c r="L8" s="7">
        <f>SUM(C8:K8)</f>
        <v>131559675</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15277538</v>
      </c>
      <c r="D11" s="9"/>
      <c r="E11" s="31"/>
      <c r="F11" s="9"/>
      <c r="J11" s="30"/>
      <c r="L11" s="27">
        <f>SUM(C11:K11)</f>
        <v>15277538</v>
      </c>
    </row>
    <row r="12" spans="1:12" ht="15.75">
      <c r="A12" s="11">
        <f t="shared" si="0"/>
        <v>5</v>
      </c>
      <c r="B12" s="6" t="s">
        <v>79</v>
      </c>
      <c r="C12" s="9">
        <v>215892624</v>
      </c>
      <c r="D12" s="9"/>
      <c r="E12" s="9"/>
      <c r="F12" s="9"/>
      <c r="J12" s="30"/>
      <c r="L12" s="27">
        <f aca="true" t="shared" si="1" ref="L12:L67">SUM(C12:K12)</f>
        <v>215892624</v>
      </c>
    </row>
    <row r="13" spans="1:12" ht="15.75">
      <c r="A13" s="11">
        <f t="shared" si="0"/>
        <v>6</v>
      </c>
      <c r="B13" s="6" t="s">
        <v>42</v>
      </c>
      <c r="C13" s="9"/>
      <c r="D13" s="9"/>
      <c r="E13" s="9"/>
      <c r="F13" s="9"/>
      <c r="J13" s="30"/>
      <c r="L13" s="27">
        <f t="shared" si="1"/>
        <v>0</v>
      </c>
    </row>
    <row r="14" spans="1:12" ht="15.75">
      <c r="A14" s="11">
        <f t="shared" si="0"/>
        <v>7</v>
      </c>
      <c r="B14" s="6" t="s">
        <v>8</v>
      </c>
      <c r="C14" s="9">
        <f>103800000+6694342</f>
        <v>110494342</v>
      </c>
      <c r="D14" s="9"/>
      <c r="E14" s="9"/>
      <c r="F14" s="9"/>
      <c r="J14" s="30"/>
      <c r="L14" s="27">
        <f t="shared" si="1"/>
        <v>110494342</v>
      </c>
    </row>
    <row r="15" spans="1:12" ht="15.75">
      <c r="A15" s="11">
        <f t="shared" si="0"/>
        <v>8</v>
      </c>
      <c r="B15" s="6" t="s">
        <v>70</v>
      </c>
      <c r="C15" s="9"/>
      <c r="D15" s="9"/>
      <c r="E15" s="9"/>
      <c r="F15" s="9"/>
      <c r="J15" s="30"/>
      <c r="L15" s="27">
        <f t="shared" si="1"/>
        <v>0</v>
      </c>
    </row>
    <row r="16" spans="1:12" ht="15.75">
      <c r="A16" s="11">
        <f>+A15+1</f>
        <v>9</v>
      </c>
      <c r="B16" s="6" t="s">
        <v>43</v>
      </c>
      <c r="C16" s="9"/>
      <c r="D16" s="9">
        <v>49200000</v>
      </c>
      <c r="E16" s="9"/>
      <c r="F16" s="9"/>
      <c r="G16" s="9"/>
      <c r="H16" s="9"/>
      <c r="I16" s="9"/>
      <c r="J16" s="9"/>
      <c r="K16" s="9"/>
      <c r="L16" s="27">
        <f t="shared" si="1"/>
        <v>49200000</v>
      </c>
    </row>
    <row r="17" spans="1:12" ht="15.75">
      <c r="A17" s="11">
        <f t="shared" si="0"/>
        <v>10</v>
      </c>
      <c r="B17" s="6" t="s">
        <v>44</v>
      </c>
      <c r="C17" s="9"/>
      <c r="D17" s="9"/>
      <c r="E17" s="9"/>
      <c r="F17" s="9"/>
      <c r="G17" s="9"/>
      <c r="H17" s="9"/>
      <c r="I17" s="9"/>
      <c r="J17" s="9"/>
      <c r="K17" s="9"/>
      <c r="L17" s="27">
        <f t="shared" si="1"/>
        <v>0</v>
      </c>
    </row>
    <row r="18" spans="1:12" ht="15.75">
      <c r="A18" s="11">
        <f t="shared" si="0"/>
        <v>11</v>
      </c>
      <c r="B18" s="6" t="s">
        <v>45</v>
      </c>
      <c r="C18" s="9"/>
      <c r="D18" s="9">
        <v>18200000</v>
      </c>
      <c r="E18" s="9"/>
      <c r="F18" s="9"/>
      <c r="G18" s="9"/>
      <c r="H18" s="9"/>
      <c r="I18" s="9"/>
      <c r="J18" s="9"/>
      <c r="K18" s="9"/>
      <c r="L18" s="27">
        <f t="shared" si="1"/>
        <v>18200000</v>
      </c>
    </row>
    <row r="19" spans="1:12" ht="15.75">
      <c r="A19" s="11">
        <f t="shared" si="0"/>
        <v>12</v>
      </c>
      <c r="B19" s="6" t="s">
        <v>46</v>
      </c>
      <c r="C19" s="9"/>
      <c r="D19" s="9">
        <v>22000000</v>
      </c>
      <c r="E19" s="9"/>
      <c r="F19" s="9"/>
      <c r="G19" s="9"/>
      <c r="H19" s="9"/>
      <c r="I19" s="9"/>
      <c r="J19" s="9"/>
      <c r="K19" s="9"/>
      <c r="L19" s="27">
        <f t="shared" si="1"/>
        <v>22000000</v>
      </c>
    </row>
    <row r="20" spans="1:12" ht="15.75">
      <c r="A20" s="11">
        <f t="shared" si="0"/>
        <v>13</v>
      </c>
      <c r="B20" s="6" t="s">
        <v>97</v>
      </c>
      <c r="C20" s="9"/>
      <c r="D20" s="9"/>
      <c r="E20" s="9"/>
      <c r="F20" s="9"/>
      <c r="J20" s="30"/>
      <c r="L20" s="27">
        <f t="shared" si="1"/>
        <v>0</v>
      </c>
    </row>
    <row r="21" spans="1:12" ht="15.75">
      <c r="A21" s="11">
        <f t="shared" si="0"/>
        <v>14</v>
      </c>
      <c r="B21" s="6" t="s">
        <v>47</v>
      </c>
      <c r="C21" s="9"/>
      <c r="D21" s="9">
        <v>15060000</v>
      </c>
      <c r="E21" s="9"/>
      <c r="F21" s="9"/>
      <c r="G21" s="9"/>
      <c r="H21" s="9"/>
      <c r="I21" s="9"/>
      <c r="J21" s="9"/>
      <c r="K21" s="9"/>
      <c r="L21" s="27">
        <f t="shared" si="1"/>
        <v>15060000</v>
      </c>
    </row>
    <row r="22" spans="1:12" ht="15.75">
      <c r="A22" s="11">
        <f t="shared" si="0"/>
        <v>15</v>
      </c>
      <c r="B22" s="6" t="s">
        <v>48</v>
      </c>
      <c r="C22" s="9"/>
      <c r="D22" s="9"/>
      <c r="E22" s="9"/>
      <c r="F22" s="9"/>
      <c r="I22" s="9"/>
      <c r="J22" s="30"/>
      <c r="L22" s="27">
        <f t="shared" si="1"/>
        <v>0</v>
      </c>
    </row>
    <row r="23" spans="1:12" ht="15.75">
      <c r="A23" s="11">
        <f t="shared" si="0"/>
        <v>16</v>
      </c>
      <c r="B23" s="6" t="s">
        <v>54</v>
      </c>
      <c r="C23" s="9"/>
      <c r="D23" s="9"/>
      <c r="E23" s="9"/>
      <c r="F23" s="9"/>
      <c r="J23" s="30"/>
      <c r="L23" s="27">
        <f t="shared" si="1"/>
        <v>0</v>
      </c>
    </row>
    <row r="24" spans="1:12" ht="15.75">
      <c r="A24" s="11">
        <f t="shared" si="0"/>
        <v>17</v>
      </c>
      <c r="B24" s="6" t="s">
        <v>51</v>
      </c>
      <c r="C24" s="9"/>
      <c r="D24" s="9"/>
      <c r="E24" s="9"/>
      <c r="F24" s="9"/>
      <c r="G24" s="9"/>
      <c r="H24" s="9"/>
      <c r="I24" s="9"/>
      <c r="J24" s="9"/>
      <c r="K24" s="9"/>
      <c r="L24" s="27">
        <f t="shared" si="1"/>
        <v>0</v>
      </c>
    </row>
    <row r="25" spans="1:12" ht="15.75">
      <c r="A25" s="11">
        <f t="shared" si="0"/>
        <v>18</v>
      </c>
      <c r="B25" s="6" t="s">
        <v>52</v>
      </c>
      <c r="C25" s="9"/>
      <c r="D25" s="9">
        <v>420000</v>
      </c>
      <c r="E25" s="9">
        <v>94340000</v>
      </c>
      <c r="F25" s="9">
        <v>5000000</v>
      </c>
      <c r="G25" s="9">
        <v>195000000</v>
      </c>
      <c r="H25" s="9">
        <v>600000</v>
      </c>
      <c r="I25" s="9">
        <v>20933700</v>
      </c>
      <c r="J25" s="9"/>
      <c r="K25" s="9"/>
      <c r="L25" s="27">
        <f t="shared" si="1"/>
        <v>316293700</v>
      </c>
    </row>
    <row r="26" spans="1:12" ht="15.75">
      <c r="A26" s="11">
        <f t="shared" si="0"/>
        <v>19</v>
      </c>
      <c r="B26" s="6" t="s">
        <v>53</v>
      </c>
      <c r="C26" s="9"/>
      <c r="D26" s="9"/>
      <c r="E26" s="9"/>
      <c r="F26" s="9"/>
      <c r="J26" s="30"/>
      <c r="L26" s="27">
        <f t="shared" si="1"/>
        <v>0</v>
      </c>
    </row>
    <row r="27" spans="1:12" ht="15.75">
      <c r="A27" s="11">
        <f t="shared" si="0"/>
        <v>20</v>
      </c>
      <c r="B27" s="6" t="s">
        <v>56</v>
      </c>
      <c r="C27" s="9"/>
      <c r="D27" s="9"/>
      <c r="E27" s="9"/>
      <c r="F27" s="9"/>
      <c r="H27" s="9"/>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c r="D29" s="9"/>
      <c r="E29" s="9"/>
      <c r="F29" s="9"/>
      <c r="G29" s="9"/>
      <c r="H29" s="9"/>
      <c r="I29" s="9"/>
      <c r="J29" s="9"/>
      <c r="K29" s="9"/>
      <c r="L29" s="27">
        <f>SUM(C29:K29)</f>
        <v>0</v>
      </c>
    </row>
    <row r="30" spans="1:13" ht="15.75">
      <c r="A30" s="11">
        <f t="shared" si="0"/>
        <v>22</v>
      </c>
      <c r="B30" s="6" t="s">
        <v>10</v>
      </c>
      <c r="C30" s="7">
        <f>SUM(C11:C29)</f>
        <v>341664504</v>
      </c>
      <c r="D30" s="7">
        <f aca="true" t="shared" si="2" ref="D30:K30">SUM(D11:D29)</f>
        <v>104880000</v>
      </c>
      <c r="E30" s="7">
        <f t="shared" si="2"/>
        <v>94340000</v>
      </c>
      <c r="F30" s="7">
        <f t="shared" si="2"/>
        <v>5000000</v>
      </c>
      <c r="G30" s="7">
        <f t="shared" si="2"/>
        <v>195000000</v>
      </c>
      <c r="H30" s="7">
        <f t="shared" si="2"/>
        <v>600000</v>
      </c>
      <c r="I30" s="7">
        <f t="shared" si="2"/>
        <v>20933700</v>
      </c>
      <c r="J30" s="7">
        <f>SUM(J11:J29)</f>
        <v>0</v>
      </c>
      <c r="K30" s="7">
        <f t="shared" si="2"/>
        <v>0</v>
      </c>
      <c r="L30" s="28">
        <f>SUM(C30:K30)</f>
        <v>762418204</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c r="D33" s="9">
        <v>30866750</v>
      </c>
      <c r="E33" s="9">
        <v>20036389</v>
      </c>
      <c r="F33" s="9">
        <v>1000000</v>
      </c>
      <c r="G33" s="9">
        <v>38000</v>
      </c>
      <c r="H33" s="9">
        <v>5000</v>
      </c>
      <c r="I33" s="9">
        <v>6300382</v>
      </c>
      <c r="J33" s="9"/>
      <c r="K33" s="9"/>
      <c r="L33" s="27">
        <f t="shared" si="1"/>
        <v>58246521</v>
      </c>
    </row>
    <row r="34" spans="1:12" ht="15.75">
      <c r="A34" s="11">
        <f t="shared" si="0"/>
        <v>26</v>
      </c>
      <c r="B34" s="6" t="s">
        <v>59</v>
      </c>
      <c r="C34" s="9"/>
      <c r="D34" s="9">
        <v>26835250</v>
      </c>
      <c r="E34" s="9">
        <v>6746944</v>
      </c>
      <c r="F34" s="9">
        <v>1085748</v>
      </c>
      <c r="G34" s="9">
        <v>100000</v>
      </c>
      <c r="H34" s="9">
        <v>5000</v>
      </c>
      <c r="I34" s="9">
        <v>391419</v>
      </c>
      <c r="J34" s="9"/>
      <c r="K34" s="9"/>
      <c r="L34" s="27">
        <f t="shared" si="1"/>
        <v>35164361</v>
      </c>
    </row>
    <row r="35" spans="1:12" ht="15.75">
      <c r="A35" s="11">
        <f t="shared" si="0"/>
        <v>27</v>
      </c>
      <c r="B35" s="6" t="s">
        <v>14</v>
      </c>
      <c r="C35" s="9"/>
      <c r="D35" s="9">
        <v>44831000</v>
      </c>
      <c r="E35" s="9">
        <v>51758590</v>
      </c>
      <c r="F35" s="9">
        <v>2805780</v>
      </c>
      <c r="G35" s="9">
        <v>198812000</v>
      </c>
      <c r="H35" s="9">
        <v>485000</v>
      </c>
      <c r="I35" s="9">
        <v>12506571</v>
      </c>
      <c r="J35" s="9"/>
      <c r="K35" s="9"/>
      <c r="L35" s="27">
        <f t="shared" si="1"/>
        <v>311198941</v>
      </c>
    </row>
    <row r="36" spans="1:12" ht="15.75">
      <c r="A36" s="11">
        <f t="shared" si="0"/>
        <v>28</v>
      </c>
      <c r="B36" s="6" t="s">
        <v>60</v>
      </c>
      <c r="C36" s="9"/>
      <c r="D36" s="9">
        <v>9956000</v>
      </c>
      <c r="E36" s="9">
        <v>1377732</v>
      </c>
      <c r="F36" s="9">
        <v>195336</v>
      </c>
      <c r="G36" s="9">
        <v>25000</v>
      </c>
      <c r="H36" s="9">
        <v>5000</v>
      </c>
      <c r="I36" s="9">
        <v>1733128</v>
      </c>
      <c r="J36" s="9"/>
      <c r="K36" s="9"/>
      <c r="L36" s="27">
        <f t="shared" si="1"/>
        <v>13292196</v>
      </c>
    </row>
    <row r="37" spans="1:12" ht="15.75">
      <c r="A37" s="11">
        <f t="shared" si="0"/>
        <v>29</v>
      </c>
      <c r="B37" s="6" t="s">
        <v>42</v>
      </c>
      <c r="C37" s="9"/>
      <c r="D37" s="9"/>
      <c r="E37" s="9"/>
      <c r="F37" s="9"/>
      <c r="G37" s="9"/>
      <c r="J37" s="30"/>
      <c r="L37" s="27">
        <f t="shared" si="1"/>
        <v>0</v>
      </c>
    </row>
    <row r="38" spans="1:12" ht="15.75">
      <c r="A38" s="11">
        <f t="shared" si="0"/>
        <v>30</v>
      </c>
      <c r="B38" s="6" t="s">
        <v>16</v>
      </c>
      <c r="C38" s="9"/>
      <c r="D38" s="9"/>
      <c r="E38" s="9"/>
      <c r="F38" s="9"/>
      <c r="G38" s="9"/>
      <c r="J38" s="30"/>
      <c r="L38" s="27">
        <f t="shared" si="1"/>
        <v>0</v>
      </c>
    </row>
    <row r="39" spans="1:12" ht="15.75" hidden="1">
      <c r="A39" s="11">
        <f t="shared" si="0"/>
        <v>31</v>
      </c>
      <c r="B39" s="6" t="s">
        <v>27</v>
      </c>
      <c r="C39" s="9"/>
      <c r="D39" s="9"/>
      <c r="E39" s="9"/>
      <c r="F39" s="9"/>
      <c r="G39" s="9"/>
      <c r="J39" s="30"/>
      <c r="L39" s="27">
        <f t="shared" si="1"/>
        <v>0</v>
      </c>
    </row>
    <row r="40" spans="1:12" ht="15.75">
      <c r="A40" s="11">
        <f>+A38+1</f>
        <v>31</v>
      </c>
      <c r="B40" s="6" t="s">
        <v>28</v>
      </c>
      <c r="C40" s="9"/>
      <c r="D40" s="9"/>
      <c r="E40" s="9"/>
      <c r="F40" s="9"/>
      <c r="G40" s="9"/>
      <c r="J40" s="30"/>
      <c r="L40" s="27">
        <f t="shared" si="1"/>
        <v>0</v>
      </c>
    </row>
    <row r="41" spans="1:12" ht="15.75">
      <c r="A41" s="11">
        <f t="shared" si="0"/>
        <v>32</v>
      </c>
      <c r="B41" s="6" t="s">
        <v>34</v>
      </c>
      <c r="C41" s="9"/>
      <c r="D41" s="9"/>
      <c r="E41" s="9"/>
      <c r="F41" s="9"/>
      <c r="G41" s="9"/>
      <c r="J41" s="30"/>
      <c r="L41" s="27">
        <f t="shared" si="1"/>
        <v>0</v>
      </c>
    </row>
    <row r="42" spans="1:12" ht="15.75">
      <c r="A42" s="11">
        <f t="shared" si="0"/>
        <v>33</v>
      </c>
      <c r="B42" s="6" t="s">
        <v>17</v>
      </c>
      <c r="C42" s="9"/>
      <c r="D42" s="9"/>
      <c r="E42" s="9"/>
      <c r="F42" s="9"/>
      <c r="G42" s="9"/>
      <c r="J42" s="30"/>
      <c r="L42" s="27">
        <f t="shared" si="1"/>
        <v>0</v>
      </c>
    </row>
    <row r="43" spans="1:12" ht="15.75">
      <c r="A43" s="11">
        <f t="shared" si="0"/>
        <v>34</v>
      </c>
      <c r="B43" s="6" t="s">
        <v>18</v>
      </c>
      <c r="C43" s="9"/>
      <c r="D43" s="9"/>
      <c r="E43" s="9"/>
      <c r="F43" s="9"/>
      <c r="G43" s="9"/>
      <c r="J43" s="30"/>
      <c r="L43" s="27">
        <f t="shared" si="1"/>
        <v>0</v>
      </c>
    </row>
    <row r="44" spans="2:12" ht="15.75" hidden="1">
      <c r="B44" s="6" t="s">
        <v>29</v>
      </c>
      <c r="C44" s="9"/>
      <c r="D44" s="9"/>
      <c r="E44" s="9"/>
      <c r="F44" s="9"/>
      <c r="G44" s="9"/>
      <c r="J44" s="30"/>
      <c r="L44" s="27">
        <f t="shared" si="1"/>
        <v>0</v>
      </c>
    </row>
    <row r="45" spans="2:12" ht="15.75" hidden="1">
      <c r="B45" s="6" t="s">
        <v>35</v>
      </c>
      <c r="C45" s="9"/>
      <c r="D45" s="9"/>
      <c r="E45" s="9"/>
      <c r="F45" s="9"/>
      <c r="G45" s="9"/>
      <c r="J45" s="30"/>
      <c r="L45" s="27">
        <f t="shared" si="1"/>
        <v>0</v>
      </c>
    </row>
    <row r="46" spans="1:12" ht="15.75">
      <c r="A46" s="11">
        <f>+A43+1</f>
        <v>35</v>
      </c>
      <c r="B46" s="6" t="s">
        <v>19</v>
      </c>
      <c r="C46" s="9"/>
      <c r="D46" s="9"/>
      <c r="E46" s="9"/>
      <c r="F46" s="9"/>
      <c r="G46" s="9">
        <v>25000</v>
      </c>
      <c r="J46" s="30"/>
      <c r="L46" s="27">
        <f t="shared" si="1"/>
        <v>25000</v>
      </c>
    </row>
    <row r="47" spans="1:12" ht="15.75">
      <c r="A47" s="11">
        <f t="shared" si="0"/>
        <v>36</v>
      </c>
      <c r="B47" s="6" t="s">
        <v>30</v>
      </c>
      <c r="C47" s="9"/>
      <c r="D47" s="9"/>
      <c r="E47" s="9"/>
      <c r="F47" s="9"/>
      <c r="G47" s="9"/>
      <c r="J47" s="30"/>
      <c r="L47" s="27">
        <f t="shared" si="1"/>
        <v>0</v>
      </c>
    </row>
    <row r="48" spans="1:12" ht="15.75">
      <c r="A48" s="11">
        <f t="shared" si="0"/>
        <v>37</v>
      </c>
      <c r="B48" s="6" t="s">
        <v>31</v>
      </c>
      <c r="C48" s="9"/>
      <c r="D48" s="9"/>
      <c r="E48" s="9"/>
      <c r="F48" s="9"/>
      <c r="G48" s="9"/>
      <c r="J48" s="30"/>
      <c r="L48" s="27">
        <f t="shared" si="1"/>
        <v>0</v>
      </c>
    </row>
    <row r="49" spans="1:12" ht="15.75">
      <c r="A49" s="11">
        <f t="shared" si="0"/>
        <v>38</v>
      </c>
      <c r="B49" s="6" t="s">
        <v>32</v>
      </c>
      <c r="C49" s="9"/>
      <c r="D49" s="9"/>
      <c r="E49" s="9"/>
      <c r="F49" s="9"/>
      <c r="G49" s="9"/>
      <c r="J49" s="30"/>
      <c r="L49" s="27">
        <f t="shared" si="1"/>
        <v>0</v>
      </c>
    </row>
    <row r="50" spans="1:12" ht="15.75">
      <c r="A50" s="11">
        <f t="shared" si="0"/>
        <v>39</v>
      </c>
      <c r="B50" s="6" t="s">
        <v>20</v>
      </c>
      <c r="C50" s="9"/>
      <c r="D50" s="9"/>
      <c r="E50" s="9"/>
      <c r="F50" s="9"/>
      <c r="G50" s="9"/>
      <c r="J50" s="30"/>
      <c r="K50" s="9"/>
      <c r="L50" s="27">
        <f t="shared" si="1"/>
        <v>0</v>
      </c>
    </row>
    <row r="51" spans="1:12" ht="15.75">
      <c r="A51" s="11">
        <f t="shared" si="0"/>
        <v>40</v>
      </c>
      <c r="B51" s="22" t="s">
        <v>33</v>
      </c>
      <c r="C51" s="9"/>
      <c r="D51" s="9"/>
      <c r="E51" s="9"/>
      <c r="F51" s="9"/>
      <c r="G51" s="9"/>
      <c r="J51" s="30"/>
      <c r="L51" s="27">
        <f t="shared" si="1"/>
        <v>0</v>
      </c>
    </row>
    <row r="52" spans="1:12" ht="15.75">
      <c r="A52" s="11">
        <f t="shared" si="0"/>
        <v>41</v>
      </c>
      <c r="B52" s="22" t="s">
        <v>36</v>
      </c>
      <c r="C52" s="9"/>
      <c r="D52" s="9"/>
      <c r="E52" s="9"/>
      <c r="F52" s="9"/>
      <c r="G52" s="9"/>
      <c r="J52" s="30"/>
      <c r="L52" s="27">
        <f t="shared" si="1"/>
        <v>0</v>
      </c>
    </row>
    <row r="53" spans="1:12" ht="15.75">
      <c r="A53" s="11">
        <f t="shared" si="0"/>
        <v>42</v>
      </c>
      <c r="B53" s="22" t="s">
        <v>37</v>
      </c>
      <c r="C53" s="9"/>
      <c r="D53" s="9"/>
      <c r="E53" s="9"/>
      <c r="F53" s="9"/>
      <c r="J53" s="30"/>
      <c r="L53" s="27">
        <f t="shared" si="1"/>
        <v>0</v>
      </c>
    </row>
    <row r="54" spans="1:12" ht="15.75">
      <c r="A54" s="11">
        <f t="shared" si="0"/>
        <v>43</v>
      </c>
      <c r="B54" s="23" t="s">
        <v>78</v>
      </c>
      <c r="C54" s="9"/>
      <c r="D54" s="9"/>
      <c r="E54" s="9"/>
      <c r="F54" s="9"/>
      <c r="I54" s="32"/>
      <c r="J54" s="30"/>
      <c r="L54" s="27">
        <f t="shared" si="1"/>
        <v>0</v>
      </c>
    </row>
    <row r="55" spans="1:12" ht="15.75">
      <c r="A55" s="11">
        <f t="shared" si="0"/>
        <v>44</v>
      </c>
      <c r="B55" s="22" t="s">
        <v>39</v>
      </c>
      <c r="C55" s="9">
        <v>341664504</v>
      </c>
      <c r="D55" s="9"/>
      <c r="E55" s="9"/>
      <c r="F55" s="9"/>
      <c r="I55" s="32"/>
      <c r="J55" s="30"/>
      <c r="L55" s="27">
        <f t="shared" si="1"/>
        <v>341664504</v>
      </c>
    </row>
    <row r="56" spans="1:12" ht="15.75">
      <c r="A56" s="11">
        <f t="shared" si="0"/>
        <v>45</v>
      </c>
      <c r="B56" s="22" t="s">
        <v>57</v>
      </c>
      <c r="C56" s="9"/>
      <c r="D56" s="9"/>
      <c r="E56" s="9"/>
      <c r="F56" s="9"/>
      <c r="I56" s="32"/>
      <c r="J56" s="30"/>
      <c r="L56" s="27">
        <f t="shared" si="1"/>
        <v>0</v>
      </c>
    </row>
    <row r="57" spans="1:12" ht="15.75">
      <c r="A57" s="11">
        <f t="shared" si="0"/>
        <v>46</v>
      </c>
      <c r="B57" s="22" t="s">
        <v>58</v>
      </c>
      <c r="C57" s="9"/>
      <c r="D57" s="9"/>
      <c r="E57" s="9"/>
      <c r="F57" s="31"/>
      <c r="I57" s="32"/>
      <c r="J57" s="30"/>
      <c r="L57" s="27">
        <f t="shared" si="1"/>
        <v>0</v>
      </c>
    </row>
    <row r="58" spans="1:12" ht="15.75">
      <c r="A58" s="11">
        <f t="shared" si="0"/>
        <v>47</v>
      </c>
      <c r="B58" s="6" t="s">
        <v>49</v>
      </c>
      <c r="D58" s="9"/>
      <c r="E58" s="9"/>
      <c r="F58" s="31"/>
      <c r="J58" s="30"/>
      <c r="L58" s="27">
        <f t="shared" si="1"/>
        <v>0</v>
      </c>
    </row>
    <row r="59" spans="1:12" ht="15.75">
      <c r="A59" s="11">
        <f t="shared" si="0"/>
        <v>48</v>
      </c>
      <c r="B59" s="6" t="s">
        <v>55</v>
      </c>
      <c r="D59" s="9">
        <v>11000</v>
      </c>
      <c r="E59" s="9">
        <v>10980345</v>
      </c>
      <c r="F59" s="31"/>
      <c r="I59" s="9"/>
      <c r="J59" s="9"/>
      <c r="K59" s="9"/>
      <c r="L59" s="27">
        <f t="shared" si="1"/>
        <v>10991345</v>
      </c>
    </row>
    <row r="60" spans="1:12" ht="15.75">
      <c r="A60" s="11">
        <f>+A59+1</f>
        <v>49</v>
      </c>
      <c r="B60" s="6" t="s">
        <v>21</v>
      </c>
      <c r="C60" s="7">
        <f>SUM(C33:C59)</f>
        <v>341664504</v>
      </c>
      <c r="D60" s="7">
        <f aca="true" t="shared" si="3" ref="D60:K60">SUM(D33:D59)</f>
        <v>112500000</v>
      </c>
      <c r="E60" s="7">
        <f t="shared" si="3"/>
        <v>90900000</v>
      </c>
      <c r="F60" s="7">
        <f t="shared" si="3"/>
        <v>5086864</v>
      </c>
      <c r="G60" s="7">
        <f t="shared" si="3"/>
        <v>199000000</v>
      </c>
      <c r="H60" s="7">
        <f t="shared" si="3"/>
        <v>500000</v>
      </c>
      <c r="I60" s="7">
        <f t="shared" si="3"/>
        <v>20931500</v>
      </c>
      <c r="J60" s="7">
        <f t="shared" si="3"/>
        <v>0</v>
      </c>
      <c r="K60" s="7">
        <f t="shared" si="3"/>
        <v>0</v>
      </c>
      <c r="L60" s="28">
        <f>SUM(C60:K60)</f>
        <v>770582868</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c r="E63" s="9"/>
      <c r="F63" s="12"/>
      <c r="G63" s="12"/>
      <c r="H63" s="12"/>
      <c r="I63" s="12"/>
      <c r="J63" s="12"/>
      <c r="K63" s="12"/>
      <c r="L63" s="27">
        <f t="shared" si="1"/>
        <v>0</v>
      </c>
    </row>
    <row r="64" spans="1:12" ht="15.75">
      <c r="A64" s="11">
        <f t="shared" si="0"/>
        <v>53</v>
      </c>
      <c r="B64" s="6" t="s">
        <v>50</v>
      </c>
      <c r="C64" s="9"/>
      <c r="D64" s="9"/>
      <c r="E64" s="9"/>
      <c r="F64" s="9"/>
      <c r="I64" s="9"/>
      <c r="J64" s="9"/>
      <c r="L64" s="27">
        <f t="shared" si="1"/>
        <v>0</v>
      </c>
    </row>
    <row r="65" spans="1:12" ht="15.75">
      <c r="A65" s="11">
        <f>+A64+1</f>
        <v>54</v>
      </c>
      <c r="B65" s="6" t="s">
        <v>26</v>
      </c>
      <c r="C65" s="9"/>
      <c r="D65" s="9"/>
      <c r="E65" s="9"/>
      <c r="F65" s="9"/>
      <c r="J65" s="30"/>
      <c r="L65" s="27">
        <f>SUM(C65:K65)</f>
        <v>0</v>
      </c>
    </row>
    <row r="66" spans="1:12" ht="16.5">
      <c r="A66" s="11">
        <f>+A65+1</f>
        <v>55</v>
      </c>
      <c r="B66" s="6" t="s">
        <v>77</v>
      </c>
      <c r="C66" s="31"/>
      <c r="D66" s="9"/>
      <c r="E66" s="9"/>
      <c r="F66" s="31"/>
      <c r="G66" s="32"/>
      <c r="J66" s="33"/>
      <c r="K66" s="32"/>
      <c r="L66" s="27">
        <f t="shared" si="1"/>
        <v>0</v>
      </c>
    </row>
    <row r="67" spans="1:12" ht="15.75">
      <c r="A67" s="11">
        <f t="shared" si="0"/>
        <v>56</v>
      </c>
      <c r="B67" s="6" t="s">
        <v>24</v>
      </c>
      <c r="C67" s="7">
        <f aca="true" t="shared" si="4" ref="C67:K67">SUM(C63:C66)</f>
        <v>0</v>
      </c>
      <c r="D67" s="7">
        <f t="shared" si="4"/>
        <v>0</v>
      </c>
      <c r="E67" s="7">
        <f t="shared" si="4"/>
        <v>0</v>
      </c>
      <c r="F67" s="7">
        <f t="shared" si="4"/>
        <v>0</v>
      </c>
      <c r="G67" s="7">
        <f t="shared" si="4"/>
        <v>0</v>
      </c>
      <c r="H67" s="7">
        <f t="shared" si="4"/>
        <v>0</v>
      </c>
      <c r="I67" s="7">
        <f t="shared" si="4"/>
        <v>0</v>
      </c>
      <c r="J67" s="7">
        <f t="shared" si="4"/>
        <v>0</v>
      </c>
      <c r="K67" s="7">
        <f t="shared" si="4"/>
        <v>0</v>
      </c>
      <c r="L67" s="28">
        <f t="shared" si="1"/>
        <v>0</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41559177</v>
      </c>
      <c r="D69" s="13">
        <f t="shared" si="5"/>
        <v>20881301</v>
      </c>
      <c r="E69" s="13">
        <f t="shared" si="5"/>
        <v>31879881</v>
      </c>
      <c r="F69" s="13">
        <f t="shared" si="5"/>
        <v>7901506</v>
      </c>
      <c r="G69" s="13">
        <f t="shared" si="5"/>
        <v>19817594</v>
      </c>
      <c r="H69" s="13">
        <f t="shared" si="5"/>
        <v>1173845</v>
      </c>
      <c r="I69" s="13">
        <f t="shared" si="5"/>
        <v>181707</v>
      </c>
      <c r="J69" s="13">
        <f t="shared" si="5"/>
        <v>0</v>
      </c>
      <c r="K69" s="13">
        <f t="shared" si="5"/>
        <v>0</v>
      </c>
      <c r="L69" s="29">
        <f>SUM(C69:K69)</f>
        <v>123395011</v>
      </c>
      <c r="M69" s="44">
        <f>+L8+L30-L60-L67</f>
        <v>123395011</v>
      </c>
    </row>
    <row r="70" ht="16.5" thickTop="1">
      <c r="J70" s="30"/>
    </row>
    <row r="72" ht="15.75">
      <c r="C72" s="21"/>
    </row>
  </sheetData>
  <mergeCells count="4">
    <mergeCell ref="B1:L1"/>
    <mergeCell ref="B2:L2"/>
    <mergeCell ref="B3:L3"/>
    <mergeCell ref="F5:J5"/>
  </mergeCells>
  <printOptions horizontalCentered="1"/>
  <pageMargins left="0" right="0" top="0.45" bottom="0.45" header="0.27" footer="0.21"/>
  <pageSetup horizontalDpi="600" verticalDpi="600" orientation="landscape" scale="60" r:id="rId2"/>
  <drawing r:id="rId1"/>
</worksheet>
</file>

<file path=xl/worksheets/sheet13.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92</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8.75">
      <c r="B4" s="49"/>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20990647</v>
      </c>
      <c r="D8" s="7">
        <v>162459</v>
      </c>
      <c r="E8" s="7">
        <v>48773644</v>
      </c>
      <c r="F8" s="7">
        <v>3261241</v>
      </c>
      <c r="G8" s="7">
        <v>75041391</v>
      </c>
      <c r="H8" s="7">
        <v>340348</v>
      </c>
      <c r="I8" s="7">
        <v>1011101</v>
      </c>
      <c r="J8" s="7">
        <v>0</v>
      </c>
      <c r="K8" s="7">
        <v>0</v>
      </c>
      <c r="L8" s="7">
        <f>SUM(C8:K8)</f>
        <v>149580831</v>
      </c>
    </row>
    <row r="9" spans="1:12" ht="15.75">
      <c r="A9" s="11">
        <f>+A8+1</f>
        <v>2</v>
      </c>
      <c r="B9" s="6"/>
      <c r="C9" s="12"/>
      <c r="D9" s="12"/>
      <c r="E9" s="12"/>
      <c r="F9" s="12"/>
      <c r="J9" s="30"/>
      <c r="L9" s="26"/>
    </row>
    <row r="10" spans="1:12" ht="15.75">
      <c r="A10" s="11">
        <f aca="true" t="shared" si="0" ref="A10:A69">+A9+1</f>
        <v>3</v>
      </c>
      <c r="B10" s="8" t="s">
        <v>5</v>
      </c>
      <c r="C10" s="9"/>
      <c r="D10" s="35"/>
      <c r="E10" s="37"/>
      <c r="F10" s="9"/>
      <c r="J10" s="30"/>
      <c r="L10" s="26"/>
    </row>
    <row r="11" spans="1:12" ht="15.75">
      <c r="A11" s="11">
        <f t="shared" si="0"/>
        <v>4</v>
      </c>
      <c r="B11" s="6" t="s">
        <v>81</v>
      </c>
      <c r="C11" s="9">
        <v>12249129</v>
      </c>
      <c r="D11" s="9"/>
      <c r="E11" s="9"/>
      <c r="F11" s="9"/>
      <c r="J11" s="30"/>
      <c r="L11" s="27">
        <f>SUM(C11:K11)</f>
        <v>12249129</v>
      </c>
    </row>
    <row r="12" spans="1:12" ht="15.75">
      <c r="A12" s="11">
        <f t="shared" si="0"/>
        <v>5</v>
      </c>
      <c r="B12" s="6" t="s">
        <v>79</v>
      </c>
      <c r="C12" s="9">
        <v>161956758</v>
      </c>
      <c r="D12" s="9"/>
      <c r="E12" s="9"/>
      <c r="F12" s="9"/>
      <c r="J12" s="30"/>
      <c r="L12" s="27">
        <f aca="true" t="shared" si="1" ref="L12:L67">SUM(C12:K12)</f>
        <v>161956758</v>
      </c>
    </row>
    <row r="13" spans="1:12" ht="15.75">
      <c r="A13" s="11">
        <f t="shared" si="0"/>
        <v>6</v>
      </c>
      <c r="B13" s="6" t="s">
        <v>42</v>
      </c>
      <c r="C13" s="9"/>
      <c r="D13" s="9"/>
      <c r="E13" s="9"/>
      <c r="F13" s="9"/>
      <c r="J13" s="30"/>
      <c r="L13" s="27">
        <f t="shared" si="1"/>
        <v>0</v>
      </c>
    </row>
    <row r="14" spans="1:12" ht="15.75">
      <c r="A14" s="11">
        <f t="shared" si="0"/>
        <v>7</v>
      </c>
      <c r="B14" s="6" t="s">
        <v>8</v>
      </c>
      <c r="C14" s="9">
        <v>88546332</v>
      </c>
      <c r="D14" s="9"/>
      <c r="E14" s="9"/>
      <c r="F14" s="9"/>
      <c r="J14" s="30"/>
      <c r="L14" s="27">
        <f t="shared" si="1"/>
        <v>88546332</v>
      </c>
    </row>
    <row r="15" spans="1:12" ht="15.75">
      <c r="A15" s="11">
        <f t="shared" si="0"/>
        <v>8</v>
      </c>
      <c r="B15" s="6" t="s">
        <v>70</v>
      </c>
      <c r="C15" s="9"/>
      <c r="D15" s="9"/>
      <c r="E15" s="9"/>
      <c r="F15" s="9"/>
      <c r="J15" s="30"/>
      <c r="L15" s="27">
        <f t="shared" si="1"/>
        <v>0</v>
      </c>
    </row>
    <row r="16" spans="1:12" ht="15.75">
      <c r="A16" s="11">
        <f>+A15+1</f>
        <v>9</v>
      </c>
      <c r="B16" s="6" t="s">
        <v>43</v>
      </c>
      <c r="C16" s="9"/>
      <c r="D16" s="9">
        <v>43905355</v>
      </c>
      <c r="E16" s="9"/>
      <c r="F16" s="9"/>
      <c r="G16" s="9">
        <v>73700000</v>
      </c>
      <c r="H16" s="9"/>
      <c r="I16" s="9"/>
      <c r="J16" s="9"/>
      <c r="K16" s="9"/>
      <c r="L16" s="27">
        <f t="shared" si="1"/>
        <v>117605355</v>
      </c>
    </row>
    <row r="17" spans="1:12" ht="15.75">
      <c r="A17" s="11">
        <f t="shared" si="0"/>
        <v>10</v>
      </c>
      <c r="B17" s="6" t="s">
        <v>44</v>
      </c>
      <c r="C17" s="9"/>
      <c r="D17" s="9">
        <v>5391886</v>
      </c>
      <c r="E17" s="9"/>
      <c r="F17" s="9"/>
      <c r="G17" s="9"/>
      <c r="H17" s="9"/>
      <c r="I17" s="9"/>
      <c r="J17" s="9"/>
      <c r="K17" s="9"/>
      <c r="L17" s="27">
        <f t="shared" si="1"/>
        <v>5391886</v>
      </c>
    </row>
    <row r="18" spans="1:12" ht="15.75">
      <c r="A18" s="11">
        <f t="shared" si="0"/>
        <v>11</v>
      </c>
      <c r="B18" s="6" t="s">
        <v>45</v>
      </c>
      <c r="C18" s="9"/>
      <c r="D18" s="9">
        <v>6932425</v>
      </c>
      <c r="E18" s="9"/>
      <c r="F18" s="9"/>
      <c r="G18" s="9"/>
      <c r="H18" s="9"/>
      <c r="I18" s="9"/>
      <c r="J18" s="9"/>
      <c r="K18" s="9"/>
      <c r="L18" s="27">
        <f t="shared" si="1"/>
        <v>6932425</v>
      </c>
    </row>
    <row r="19" spans="1:12" ht="15.75">
      <c r="A19" s="11">
        <f t="shared" si="0"/>
        <v>12</v>
      </c>
      <c r="B19" s="6" t="s">
        <v>46</v>
      </c>
      <c r="C19" s="9"/>
      <c r="D19" s="9"/>
      <c r="E19" s="9"/>
      <c r="F19" s="9"/>
      <c r="G19" s="9"/>
      <c r="H19" s="9"/>
      <c r="I19" s="9"/>
      <c r="J19" s="9"/>
      <c r="K19" s="9"/>
      <c r="L19" s="27">
        <f t="shared" si="1"/>
        <v>0</v>
      </c>
    </row>
    <row r="20" spans="1:12" ht="15.75">
      <c r="A20" s="11">
        <f t="shared" si="0"/>
        <v>13</v>
      </c>
      <c r="B20" s="6" t="s">
        <v>97</v>
      </c>
      <c r="C20" s="9"/>
      <c r="D20" s="9"/>
      <c r="E20" s="9"/>
      <c r="F20" s="9"/>
      <c r="J20" s="30"/>
      <c r="L20" s="27">
        <f t="shared" si="1"/>
        <v>0</v>
      </c>
    </row>
    <row r="21" spans="1:12" ht="15.75">
      <c r="A21" s="11">
        <f t="shared" si="0"/>
        <v>14</v>
      </c>
      <c r="B21" s="6" t="s">
        <v>47</v>
      </c>
      <c r="C21" s="9"/>
      <c r="D21" s="9">
        <v>25000</v>
      </c>
      <c r="E21" s="9">
        <v>24390754</v>
      </c>
      <c r="F21" s="9">
        <v>9800000</v>
      </c>
      <c r="G21" s="9"/>
      <c r="H21" s="9">
        <v>380000</v>
      </c>
      <c r="I21" s="9"/>
      <c r="J21" s="9"/>
      <c r="K21" s="9"/>
      <c r="L21" s="27">
        <f t="shared" si="1"/>
        <v>34595754</v>
      </c>
    </row>
    <row r="22" spans="1:12" ht="15.75">
      <c r="A22" s="11">
        <f t="shared" si="0"/>
        <v>15</v>
      </c>
      <c r="B22" s="6" t="s">
        <v>48</v>
      </c>
      <c r="C22" s="9"/>
      <c r="D22" s="9"/>
      <c r="E22" s="9">
        <f>12119509+13144056</f>
        <v>25263565</v>
      </c>
      <c r="F22" s="9"/>
      <c r="I22" s="9"/>
      <c r="J22" s="30"/>
      <c r="L22" s="27">
        <f t="shared" si="1"/>
        <v>25263565</v>
      </c>
    </row>
    <row r="23" spans="1:12" ht="15.75">
      <c r="A23" s="11">
        <f t="shared" si="0"/>
        <v>16</v>
      </c>
      <c r="B23" s="6" t="s">
        <v>54</v>
      </c>
      <c r="C23" s="9"/>
      <c r="D23" s="9"/>
      <c r="E23" s="9"/>
      <c r="F23" s="9"/>
      <c r="J23" s="30"/>
      <c r="L23" s="27">
        <f t="shared" si="1"/>
        <v>0</v>
      </c>
    </row>
    <row r="24" spans="1:12" ht="15.75">
      <c r="A24" s="11">
        <f t="shared" si="0"/>
        <v>17</v>
      </c>
      <c r="B24" s="6" t="s">
        <v>51</v>
      </c>
      <c r="C24" s="9"/>
      <c r="D24" s="9"/>
      <c r="E24" s="9">
        <v>12113085</v>
      </c>
      <c r="F24" s="9">
        <v>8640000</v>
      </c>
      <c r="G24" s="9"/>
      <c r="H24" s="9">
        <v>500000</v>
      </c>
      <c r="I24" s="9">
        <v>13072776</v>
      </c>
      <c r="J24" s="9"/>
      <c r="K24" s="9"/>
      <c r="L24" s="27">
        <f t="shared" si="1"/>
        <v>34325861</v>
      </c>
    </row>
    <row r="25" spans="1:12" ht="15.75">
      <c r="A25" s="11">
        <f t="shared" si="0"/>
        <v>18</v>
      </c>
      <c r="B25" s="6" t="s">
        <v>52</v>
      </c>
      <c r="C25" s="9"/>
      <c r="D25" s="9">
        <v>20797273</v>
      </c>
      <c r="E25" s="9">
        <v>21003977</v>
      </c>
      <c r="F25" s="9"/>
      <c r="G25" s="9">
        <v>70830000</v>
      </c>
      <c r="H25" s="9"/>
      <c r="I25" s="9"/>
      <c r="J25" s="9"/>
      <c r="K25" s="9"/>
      <c r="L25" s="27">
        <f t="shared" si="1"/>
        <v>112631250</v>
      </c>
    </row>
    <row r="26" spans="1:12" ht="15.75">
      <c r="A26" s="11">
        <f t="shared" si="0"/>
        <v>19</v>
      </c>
      <c r="B26" s="6" t="s">
        <v>53</v>
      </c>
      <c r="C26" s="9"/>
      <c r="D26" s="9"/>
      <c r="E26" s="9">
        <v>15268378</v>
      </c>
      <c r="F26" s="9"/>
      <c r="J26" s="30"/>
      <c r="L26" s="27">
        <f t="shared" si="1"/>
        <v>15268378</v>
      </c>
    </row>
    <row r="27" spans="1:12" ht="15.75">
      <c r="A27" s="11">
        <f t="shared" si="0"/>
        <v>20</v>
      </c>
      <c r="B27" s="6" t="s">
        <v>56</v>
      </c>
      <c r="C27" s="9"/>
      <c r="D27" s="9"/>
      <c r="E27" s="9"/>
      <c r="F27" s="9"/>
      <c r="H27" s="9"/>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v>450000</v>
      </c>
      <c r="D29" s="9"/>
      <c r="E29" s="9">
        <v>1692357</v>
      </c>
      <c r="F29" s="9"/>
      <c r="G29" s="9"/>
      <c r="H29" s="9"/>
      <c r="I29" s="9"/>
      <c r="J29" s="9"/>
      <c r="K29" s="9"/>
      <c r="L29" s="27">
        <f>SUM(C29:K29)</f>
        <v>2142357</v>
      </c>
    </row>
    <row r="30" spans="1:13" ht="15.75">
      <c r="A30" s="11">
        <f t="shared" si="0"/>
        <v>22</v>
      </c>
      <c r="B30" s="6" t="s">
        <v>10</v>
      </c>
      <c r="C30" s="7">
        <f>SUM(C11:C29)</f>
        <v>263202219</v>
      </c>
      <c r="D30" s="7">
        <f aca="true" t="shared" si="2" ref="D30:K30">SUM(D11:D29)</f>
        <v>77051939</v>
      </c>
      <c r="E30" s="7">
        <f t="shared" si="2"/>
        <v>99732116</v>
      </c>
      <c r="F30" s="7">
        <f t="shared" si="2"/>
        <v>18440000</v>
      </c>
      <c r="G30" s="7">
        <f t="shared" si="2"/>
        <v>144530000</v>
      </c>
      <c r="H30" s="7">
        <f t="shared" si="2"/>
        <v>880000</v>
      </c>
      <c r="I30" s="7">
        <f t="shared" si="2"/>
        <v>13072776</v>
      </c>
      <c r="J30" s="7">
        <f>SUM(J11:J29)</f>
        <v>0</v>
      </c>
      <c r="K30" s="7">
        <f t="shared" si="2"/>
        <v>0</v>
      </c>
      <c r="L30" s="28">
        <f>SUM(C30:K30)</f>
        <v>616909050</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183456106</v>
      </c>
      <c r="D33" s="9">
        <v>25645637</v>
      </c>
      <c r="E33" s="9">
        <v>19370573</v>
      </c>
      <c r="F33" s="9"/>
      <c r="G33" s="9"/>
      <c r="H33" s="9"/>
      <c r="I33" s="9"/>
      <c r="J33" s="9"/>
      <c r="K33" s="9">
        <v>0</v>
      </c>
      <c r="L33" s="27">
        <f t="shared" si="1"/>
        <v>228472316</v>
      </c>
    </row>
    <row r="34" spans="1:12" ht="15.75">
      <c r="A34" s="11">
        <f t="shared" si="0"/>
        <v>26</v>
      </c>
      <c r="B34" s="6" t="s">
        <v>59</v>
      </c>
      <c r="C34" s="9">
        <v>28442499</v>
      </c>
      <c r="D34" s="9">
        <v>19347983</v>
      </c>
      <c r="E34" s="9">
        <v>11721735</v>
      </c>
      <c r="F34" s="9"/>
      <c r="G34" s="9"/>
      <c r="H34" s="9"/>
      <c r="I34" s="9"/>
      <c r="J34" s="9"/>
      <c r="K34" s="9">
        <v>0</v>
      </c>
      <c r="L34" s="27">
        <f t="shared" si="1"/>
        <v>59512217</v>
      </c>
    </row>
    <row r="35" spans="1:12" ht="15.75">
      <c r="A35" s="11">
        <f t="shared" si="0"/>
        <v>27</v>
      </c>
      <c r="B35" s="6" t="s">
        <v>14</v>
      </c>
      <c r="C35" s="9">
        <v>37998659</v>
      </c>
      <c r="D35" s="9">
        <v>19732692</v>
      </c>
      <c r="E35" s="9">
        <v>25046619</v>
      </c>
      <c r="F35" s="9">
        <v>2661511</v>
      </c>
      <c r="G35" s="9">
        <v>142850109</v>
      </c>
      <c r="H35" s="9">
        <v>520000</v>
      </c>
      <c r="I35" s="9">
        <v>4449888</v>
      </c>
      <c r="J35" s="9"/>
      <c r="K35" s="9">
        <v>0</v>
      </c>
      <c r="L35" s="27">
        <f t="shared" si="1"/>
        <v>233259478</v>
      </c>
    </row>
    <row r="36" spans="1:12" ht="15.75">
      <c r="A36" s="11">
        <f t="shared" si="0"/>
        <v>28</v>
      </c>
      <c r="B36" s="6" t="s">
        <v>60</v>
      </c>
      <c r="C36" s="9"/>
      <c r="D36" s="9">
        <v>1471806</v>
      </c>
      <c r="E36" s="9">
        <v>2011284</v>
      </c>
      <c r="F36" s="9">
        <v>110000</v>
      </c>
      <c r="G36" s="9"/>
      <c r="H36" s="9"/>
      <c r="I36" s="9"/>
      <c r="J36" s="9"/>
      <c r="K36" s="9">
        <v>0</v>
      </c>
      <c r="L36" s="27">
        <f t="shared" si="1"/>
        <v>3593090</v>
      </c>
    </row>
    <row r="37" spans="1:12" ht="15.75">
      <c r="A37" s="11">
        <f t="shared" si="0"/>
        <v>29</v>
      </c>
      <c r="B37" s="6" t="s">
        <v>42</v>
      </c>
      <c r="C37" s="9"/>
      <c r="D37" s="9"/>
      <c r="E37" s="9"/>
      <c r="F37" s="9"/>
      <c r="J37" s="30"/>
      <c r="L37" s="27">
        <f t="shared" si="1"/>
        <v>0</v>
      </c>
    </row>
    <row r="38" spans="1:12" ht="15.75">
      <c r="A38" s="11">
        <f t="shared" si="0"/>
        <v>30</v>
      </c>
      <c r="B38" s="6" t="s">
        <v>16</v>
      </c>
      <c r="C38" s="9">
        <v>369623</v>
      </c>
      <c r="D38" s="9"/>
      <c r="E38" s="9"/>
      <c r="F38" s="9"/>
      <c r="J38" s="30"/>
      <c r="L38" s="27">
        <f t="shared" si="1"/>
        <v>369623</v>
      </c>
    </row>
    <row r="39" spans="1:12" ht="15.75" hidden="1">
      <c r="A39" s="11">
        <f t="shared" si="0"/>
        <v>31</v>
      </c>
      <c r="B39" s="6" t="s">
        <v>27</v>
      </c>
      <c r="C39" s="9">
        <v>0</v>
      </c>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c r="D41" s="9"/>
      <c r="E41" s="9"/>
      <c r="F41" s="9"/>
      <c r="J41" s="30"/>
      <c r="L41" s="27">
        <f t="shared" si="1"/>
        <v>0</v>
      </c>
    </row>
    <row r="42" spans="1:12" ht="15.75">
      <c r="A42" s="11">
        <f t="shared" si="0"/>
        <v>33</v>
      </c>
      <c r="B42" s="6" t="s">
        <v>17</v>
      </c>
      <c r="C42" s="9">
        <v>4690023</v>
      </c>
      <c r="D42" s="9"/>
      <c r="E42" s="9"/>
      <c r="F42" s="9"/>
      <c r="J42" s="30"/>
      <c r="L42" s="27">
        <f t="shared" si="1"/>
        <v>4690023</v>
      </c>
    </row>
    <row r="43" spans="1:12" ht="15.75">
      <c r="A43" s="11">
        <f t="shared" si="0"/>
        <v>34</v>
      </c>
      <c r="B43" s="6" t="s">
        <v>18</v>
      </c>
      <c r="C43" s="9">
        <v>891294</v>
      </c>
      <c r="D43" s="9">
        <v>10828821</v>
      </c>
      <c r="E43" s="9"/>
      <c r="F43" s="9"/>
      <c r="J43" s="30"/>
      <c r="L43" s="27">
        <f t="shared" si="1"/>
        <v>11720115</v>
      </c>
    </row>
    <row r="44" spans="2:12" ht="15.75" hidden="1">
      <c r="B44" s="6" t="s">
        <v>29</v>
      </c>
      <c r="C44" s="9">
        <v>0</v>
      </c>
      <c r="D44" s="9"/>
      <c r="E44" s="9"/>
      <c r="F44" s="9"/>
      <c r="J44" s="30"/>
      <c r="L44" s="27">
        <f t="shared" si="1"/>
        <v>0</v>
      </c>
    </row>
    <row r="45" spans="2:12" ht="15.75" hidden="1">
      <c r="B45" s="6" t="s">
        <v>35</v>
      </c>
      <c r="C45" s="9">
        <v>0</v>
      </c>
      <c r="D45" s="9"/>
      <c r="E45" s="9"/>
      <c r="F45" s="9"/>
      <c r="J45" s="30"/>
      <c r="L45" s="27">
        <f t="shared" si="1"/>
        <v>0</v>
      </c>
    </row>
    <row r="46" spans="1:12" ht="15.75">
      <c r="A46" s="11">
        <f>+A43+1</f>
        <v>35</v>
      </c>
      <c r="B46" s="6" t="s">
        <v>19</v>
      </c>
      <c r="C46" s="9">
        <v>6065683</v>
      </c>
      <c r="D46" s="9"/>
      <c r="E46" s="9"/>
      <c r="F46" s="9"/>
      <c r="J46" s="30"/>
      <c r="L46" s="27">
        <f t="shared" si="1"/>
        <v>6065683</v>
      </c>
    </row>
    <row r="47" spans="1:12" ht="15.75">
      <c r="A47" s="11">
        <f t="shared" si="0"/>
        <v>36</v>
      </c>
      <c r="B47" s="6" t="s">
        <v>30</v>
      </c>
      <c r="C47" s="9"/>
      <c r="D47" s="9"/>
      <c r="E47" s="9"/>
      <c r="F47" s="9"/>
      <c r="J47" s="30"/>
      <c r="L47" s="27">
        <f t="shared" si="1"/>
        <v>0</v>
      </c>
    </row>
    <row r="48" spans="1:12" ht="15.75">
      <c r="A48" s="11">
        <f t="shared" si="0"/>
        <v>37</v>
      </c>
      <c r="B48" s="6" t="s">
        <v>31</v>
      </c>
      <c r="C48" s="9"/>
      <c r="D48" s="9"/>
      <c r="E48" s="9"/>
      <c r="F48" s="9"/>
      <c r="J48" s="30"/>
      <c r="L48" s="27">
        <f t="shared" si="1"/>
        <v>0</v>
      </c>
    </row>
    <row r="49" spans="1:12" ht="15.75">
      <c r="A49" s="11">
        <f t="shared" si="0"/>
        <v>38</v>
      </c>
      <c r="B49" s="6" t="s">
        <v>32</v>
      </c>
      <c r="C49" s="9"/>
      <c r="D49" s="9"/>
      <c r="E49" s="9"/>
      <c r="F49" s="9"/>
      <c r="J49" s="30"/>
      <c r="L49" s="27">
        <f t="shared" si="1"/>
        <v>0</v>
      </c>
    </row>
    <row r="50" spans="1:12" ht="15.75">
      <c r="A50" s="11">
        <f t="shared" si="0"/>
        <v>39</v>
      </c>
      <c r="B50" s="6" t="s">
        <v>20</v>
      </c>
      <c r="C50" s="9">
        <v>36303</v>
      </c>
      <c r="D50" s="9"/>
      <c r="E50" s="9"/>
      <c r="F50" s="9"/>
      <c r="J50" s="30"/>
      <c r="K50" s="9">
        <v>0</v>
      </c>
      <c r="L50" s="27">
        <f t="shared" si="1"/>
        <v>36303</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v>28971</v>
      </c>
      <c r="D53" s="9"/>
      <c r="E53" s="9"/>
      <c r="F53" s="9"/>
      <c r="J53" s="30"/>
      <c r="L53" s="27">
        <f t="shared" si="1"/>
        <v>28971</v>
      </c>
    </row>
    <row r="54" spans="1:12" ht="15.75">
      <c r="A54" s="11">
        <f t="shared" si="0"/>
        <v>43</v>
      </c>
      <c r="B54" s="23" t="s">
        <v>78</v>
      </c>
      <c r="C54" s="9"/>
      <c r="D54" s="9"/>
      <c r="E54" s="9"/>
      <c r="F54" s="9"/>
      <c r="J54" s="30"/>
      <c r="L54" s="27">
        <f t="shared" si="1"/>
        <v>0</v>
      </c>
    </row>
    <row r="55" spans="1:12" ht="15.75">
      <c r="A55" s="11">
        <f t="shared" si="0"/>
        <v>44</v>
      </c>
      <c r="B55" s="22" t="s">
        <v>39</v>
      </c>
      <c r="C55" s="9">
        <v>773058</v>
      </c>
      <c r="D55" s="9"/>
      <c r="E55" s="9"/>
      <c r="F55" s="9"/>
      <c r="J55" s="30"/>
      <c r="L55" s="27">
        <f t="shared" si="1"/>
        <v>773058</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D58" s="9"/>
      <c r="E58" s="9"/>
      <c r="F58" s="9"/>
      <c r="J58" s="30"/>
      <c r="L58" s="27">
        <f t="shared" si="1"/>
        <v>0</v>
      </c>
    </row>
    <row r="59" spans="1:12" ht="15.75">
      <c r="A59" s="11">
        <f t="shared" si="0"/>
        <v>48</v>
      </c>
      <c r="B59" s="6" t="s">
        <v>55</v>
      </c>
      <c r="D59" s="9"/>
      <c r="E59" s="9">
        <v>9515689</v>
      </c>
      <c r="F59" s="9"/>
      <c r="I59" s="9"/>
      <c r="J59" s="9"/>
      <c r="K59" s="9">
        <v>0</v>
      </c>
      <c r="L59" s="27">
        <f t="shared" si="1"/>
        <v>9515689</v>
      </c>
    </row>
    <row r="60" spans="1:12" ht="15.75">
      <c r="A60" s="11">
        <f>+A59+1</f>
        <v>49</v>
      </c>
      <c r="B60" s="6" t="s">
        <v>21</v>
      </c>
      <c r="C60" s="7">
        <f>SUM(C33:C59)</f>
        <v>262752219</v>
      </c>
      <c r="D60" s="7">
        <f aca="true" t="shared" si="3" ref="D60:K60">SUM(D33:D59)</f>
        <v>77026939</v>
      </c>
      <c r="E60" s="7">
        <f t="shared" si="3"/>
        <v>67665900</v>
      </c>
      <c r="F60" s="7">
        <f t="shared" si="3"/>
        <v>2771511</v>
      </c>
      <c r="G60" s="7">
        <f t="shared" si="3"/>
        <v>142850109</v>
      </c>
      <c r="H60" s="7">
        <f t="shared" si="3"/>
        <v>520000</v>
      </c>
      <c r="I60" s="7">
        <f t="shared" si="3"/>
        <v>4449888</v>
      </c>
      <c r="J60" s="7">
        <f t="shared" si="3"/>
        <v>0</v>
      </c>
      <c r="K60" s="7">
        <f t="shared" si="3"/>
        <v>0</v>
      </c>
      <c r="L60" s="28">
        <f>SUM(C60:K60)</f>
        <v>558036566</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v>25000</v>
      </c>
      <c r="E63" s="9">
        <v>36248555</v>
      </c>
      <c r="F63" s="12">
        <v>15224480</v>
      </c>
      <c r="G63" s="12"/>
      <c r="H63" s="12">
        <v>380000</v>
      </c>
      <c r="I63" s="12">
        <v>8573198</v>
      </c>
      <c r="J63" s="12"/>
      <c r="K63" s="12">
        <v>0</v>
      </c>
      <c r="L63" s="27">
        <f t="shared" si="1"/>
        <v>60451233</v>
      </c>
    </row>
    <row r="64" spans="1:12" ht="15.75">
      <c r="A64" s="11">
        <f t="shared" si="0"/>
        <v>53</v>
      </c>
      <c r="B64" s="6" t="s">
        <v>50</v>
      </c>
      <c r="C64" s="9"/>
      <c r="D64" s="9"/>
      <c r="E64" s="9"/>
      <c r="F64" s="9"/>
      <c r="I64" s="9"/>
      <c r="J64" s="9"/>
      <c r="L64" s="27">
        <f t="shared" si="1"/>
        <v>0</v>
      </c>
    </row>
    <row r="65" spans="1:12" ht="15.75">
      <c r="A65" s="11">
        <f>+A64+1</f>
        <v>54</v>
      </c>
      <c r="B65" s="6" t="s">
        <v>26</v>
      </c>
      <c r="C65" s="9">
        <v>9501647</v>
      </c>
      <c r="D65" s="9"/>
      <c r="E65" s="9"/>
      <c r="F65" s="9"/>
      <c r="J65" s="30"/>
      <c r="L65" s="27">
        <f>SUM(C65:K65)</f>
        <v>9501647</v>
      </c>
    </row>
    <row r="66" spans="1:12" ht="16.5">
      <c r="A66" s="11">
        <f>+A65+1</f>
        <v>55</v>
      </c>
      <c r="B66" s="6" t="s">
        <v>77</v>
      </c>
      <c r="C66" s="9"/>
      <c r="D66" s="9">
        <v>0</v>
      </c>
      <c r="E66" s="9">
        <v>0</v>
      </c>
      <c r="F66" s="9"/>
      <c r="I66" s="32"/>
      <c r="J66" s="30"/>
      <c r="L66" s="27">
        <f t="shared" si="1"/>
        <v>0</v>
      </c>
    </row>
    <row r="67" spans="1:12" ht="15.75">
      <c r="A67" s="11">
        <f t="shared" si="0"/>
        <v>56</v>
      </c>
      <c r="B67" s="6" t="s">
        <v>24</v>
      </c>
      <c r="C67" s="7">
        <f aca="true" t="shared" si="4" ref="C67:K67">SUM(C63:C66)</f>
        <v>9501647</v>
      </c>
      <c r="D67" s="7">
        <f t="shared" si="4"/>
        <v>25000</v>
      </c>
      <c r="E67" s="7">
        <f t="shared" si="4"/>
        <v>36248555</v>
      </c>
      <c r="F67" s="7">
        <f t="shared" si="4"/>
        <v>15224480</v>
      </c>
      <c r="G67" s="7">
        <f t="shared" si="4"/>
        <v>0</v>
      </c>
      <c r="H67" s="7">
        <f t="shared" si="4"/>
        <v>380000</v>
      </c>
      <c r="I67" s="7">
        <f t="shared" si="4"/>
        <v>8573198</v>
      </c>
      <c r="J67" s="7">
        <f t="shared" si="4"/>
        <v>0</v>
      </c>
      <c r="K67" s="7">
        <f t="shared" si="4"/>
        <v>0</v>
      </c>
      <c r="L67" s="28">
        <f t="shared" si="1"/>
        <v>69952880</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11939000</v>
      </c>
      <c r="D69" s="13">
        <f t="shared" si="5"/>
        <v>162459</v>
      </c>
      <c r="E69" s="13">
        <f t="shared" si="5"/>
        <v>44591305</v>
      </c>
      <c r="F69" s="13">
        <f t="shared" si="5"/>
        <v>3705250</v>
      </c>
      <c r="G69" s="13">
        <f t="shared" si="5"/>
        <v>76721282</v>
      </c>
      <c r="H69" s="13">
        <f t="shared" si="5"/>
        <v>320348</v>
      </c>
      <c r="I69" s="13">
        <f t="shared" si="5"/>
        <v>1060791</v>
      </c>
      <c r="J69" s="13">
        <f t="shared" si="5"/>
        <v>0</v>
      </c>
      <c r="K69" s="13">
        <f t="shared" si="5"/>
        <v>0</v>
      </c>
      <c r="L69" s="29">
        <f>SUM(C69:K69)</f>
        <v>138500435</v>
      </c>
      <c r="M69" s="21">
        <f>+L8+L30-L60-L67</f>
        <v>138500435</v>
      </c>
    </row>
    <row r="70" ht="16.5" thickTop="1">
      <c r="J70" s="30"/>
    </row>
    <row r="72" ht="15.75">
      <c r="C72" s="21"/>
    </row>
  </sheetData>
  <mergeCells count="4">
    <mergeCell ref="B1:L1"/>
    <mergeCell ref="B2:L2"/>
    <mergeCell ref="B3:L3"/>
    <mergeCell ref="F5:J5"/>
  </mergeCells>
  <printOptions horizontalCentered="1"/>
  <pageMargins left="0" right="0" top="0.39" bottom="0.59" header="0.24" footer="0.5"/>
  <pageSetup horizontalDpi="600" verticalDpi="600" orientation="landscape" scale="60" r:id="rId2"/>
  <drawing r:id="rId1"/>
</worksheet>
</file>

<file path=xl/worksheets/sheet14.xml><?xml version="1.0" encoding="utf-8"?>
<worksheet xmlns="http://schemas.openxmlformats.org/spreadsheetml/2006/main" xmlns:r="http://schemas.openxmlformats.org/officeDocument/2006/relationships">
  <dimension ref="A1:M72"/>
  <sheetViews>
    <sheetView zoomScale="70" zoomScaleNormal="70" workbookViewId="0" topLeftCell="A1">
      <selection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93</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20560883</v>
      </c>
      <c r="D8" s="7">
        <v>4249960</v>
      </c>
      <c r="E8" s="7">
        <v>26049388</v>
      </c>
      <c r="F8" s="7">
        <v>6605444</v>
      </c>
      <c r="G8" s="7">
        <v>3822421</v>
      </c>
      <c r="H8" s="7">
        <v>487291</v>
      </c>
      <c r="I8" s="7">
        <v>1158816</v>
      </c>
      <c r="J8" s="7">
        <v>0</v>
      </c>
      <c r="K8" s="7">
        <v>0</v>
      </c>
      <c r="L8" s="7">
        <f>SUM(C8:K8)</f>
        <v>62934203</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8.75">
      <c r="A11" s="11">
        <f t="shared" si="0"/>
        <v>4</v>
      </c>
      <c r="B11" s="6" t="s">
        <v>81</v>
      </c>
      <c r="C11" s="9">
        <v>4234344</v>
      </c>
      <c r="D11" s="9"/>
      <c r="E11" s="41"/>
      <c r="F11" s="9"/>
      <c r="J11" s="30"/>
      <c r="L11" s="27">
        <f>SUM(C11:K11)</f>
        <v>4234344</v>
      </c>
    </row>
    <row r="12" spans="1:12" ht="15.75">
      <c r="A12" s="11">
        <f t="shared" si="0"/>
        <v>5</v>
      </c>
      <c r="B12" s="6" t="s">
        <v>79</v>
      </c>
      <c r="C12" s="9">
        <v>65409381</v>
      </c>
      <c r="D12" s="9"/>
      <c r="E12" s="9"/>
      <c r="F12" s="9"/>
      <c r="J12" s="30"/>
      <c r="L12" s="27">
        <f aca="true" t="shared" si="1" ref="L12:L67">SUM(C12:K12)</f>
        <v>65409381</v>
      </c>
    </row>
    <row r="13" spans="1:12" ht="15.75">
      <c r="A13" s="11">
        <f t="shared" si="0"/>
        <v>6</v>
      </c>
      <c r="B13" s="6" t="s">
        <v>42</v>
      </c>
      <c r="C13" s="9"/>
      <c r="D13" s="9"/>
      <c r="E13" s="9"/>
      <c r="F13" s="9"/>
      <c r="J13" s="30"/>
      <c r="L13" s="27">
        <f t="shared" si="1"/>
        <v>0</v>
      </c>
    </row>
    <row r="14" spans="1:12" ht="15.75">
      <c r="A14" s="11">
        <f t="shared" si="0"/>
        <v>7</v>
      </c>
      <c r="B14" s="6" t="s">
        <v>8</v>
      </c>
      <c r="C14" s="9">
        <v>28063057</v>
      </c>
      <c r="D14" s="9"/>
      <c r="E14" s="9"/>
      <c r="F14" s="9"/>
      <c r="J14" s="30"/>
      <c r="L14" s="27">
        <f t="shared" si="1"/>
        <v>28063057</v>
      </c>
    </row>
    <row r="15" spans="1:12" ht="15.75">
      <c r="A15" s="11">
        <f t="shared" si="0"/>
        <v>8</v>
      </c>
      <c r="B15" s="6" t="s">
        <v>70</v>
      </c>
      <c r="C15" s="9"/>
      <c r="D15" s="9"/>
      <c r="E15" s="9"/>
      <c r="F15" s="9"/>
      <c r="J15" s="30"/>
      <c r="L15" s="27">
        <f t="shared" si="1"/>
        <v>0</v>
      </c>
    </row>
    <row r="16" spans="1:12" ht="15.75">
      <c r="A16" s="11">
        <f>+A15+1</f>
        <v>9</v>
      </c>
      <c r="B16" s="6" t="s">
        <v>43</v>
      </c>
      <c r="C16" s="9"/>
      <c r="D16" s="9">
        <v>14500000</v>
      </c>
      <c r="E16" s="9"/>
      <c r="F16" s="9"/>
      <c r="G16" s="9"/>
      <c r="H16" s="9"/>
      <c r="I16" s="9"/>
      <c r="J16" s="9"/>
      <c r="K16" s="9"/>
      <c r="L16" s="27">
        <f t="shared" si="1"/>
        <v>14500000</v>
      </c>
    </row>
    <row r="17" spans="1:12" ht="15.75">
      <c r="A17" s="11">
        <f t="shared" si="0"/>
        <v>10</v>
      </c>
      <c r="B17" s="6" t="s">
        <v>44</v>
      </c>
      <c r="C17" s="9"/>
      <c r="D17" s="9"/>
      <c r="E17" s="9"/>
      <c r="F17" s="9"/>
      <c r="G17" s="9"/>
      <c r="H17" s="9"/>
      <c r="I17" s="9"/>
      <c r="J17" s="9"/>
      <c r="K17" s="9"/>
      <c r="L17" s="27">
        <f t="shared" si="1"/>
        <v>0</v>
      </c>
    </row>
    <row r="18" spans="1:12" ht="15.75">
      <c r="A18" s="11">
        <f t="shared" si="0"/>
        <v>11</v>
      </c>
      <c r="B18" s="6" t="s">
        <v>45</v>
      </c>
      <c r="C18" s="9"/>
      <c r="D18" s="9"/>
      <c r="E18" s="9"/>
      <c r="F18" s="9"/>
      <c r="G18" s="9"/>
      <c r="H18" s="9"/>
      <c r="I18" s="9"/>
      <c r="J18" s="9"/>
      <c r="K18" s="9"/>
      <c r="L18" s="27">
        <f t="shared" si="1"/>
        <v>0</v>
      </c>
    </row>
    <row r="19" spans="1:12" ht="15.75">
      <c r="A19" s="11">
        <f t="shared" si="0"/>
        <v>12</v>
      </c>
      <c r="B19" s="6" t="s">
        <v>46</v>
      </c>
      <c r="C19" s="9"/>
      <c r="D19" s="9">
        <v>6200000</v>
      </c>
      <c r="E19" s="9"/>
      <c r="F19" s="9"/>
      <c r="G19" s="9"/>
      <c r="H19" s="9"/>
      <c r="I19" s="9"/>
      <c r="J19" s="9"/>
      <c r="K19" s="9"/>
      <c r="L19" s="27">
        <f t="shared" si="1"/>
        <v>6200000</v>
      </c>
    </row>
    <row r="20" spans="1:12" ht="15.75">
      <c r="A20" s="11">
        <f t="shared" si="0"/>
        <v>13</v>
      </c>
      <c r="B20" s="6" t="s">
        <v>97</v>
      </c>
      <c r="C20" s="9"/>
      <c r="D20" s="9"/>
      <c r="E20" s="9"/>
      <c r="F20" s="9"/>
      <c r="J20" s="30"/>
      <c r="L20" s="27">
        <f t="shared" si="1"/>
        <v>0</v>
      </c>
    </row>
    <row r="21" spans="1:12" ht="15.75">
      <c r="A21" s="11">
        <f t="shared" si="0"/>
        <v>14</v>
      </c>
      <c r="B21" s="6" t="s">
        <v>47</v>
      </c>
      <c r="C21" s="9"/>
      <c r="D21" s="9">
        <v>-2238</v>
      </c>
      <c r="E21" s="9">
        <v>4119838</v>
      </c>
      <c r="F21" s="9">
        <v>135668</v>
      </c>
      <c r="G21" s="9"/>
      <c r="H21" s="9"/>
      <c r="I21" s="9">
        <v>266666</v>
      </c>
      <c r="J21" s="9"/>
      <c r="K21" s="9"/>
      <c r="L21" s="27">
        <f t="shared" si="1"/>
        <v>4519934</v>
      </c>
    </row>
    <row r="22" spans="1:12" ht="15.75">
      <c r="A22" s="11">
        <f t="shared" si="0"/>
        <v>15</v>
      </c>
      <c r="B22" s="6" t="s">
        <v>48</v>
      </c>
      <c r="C22" s="9"/>
      <c r="D22" s="9"/>
      <c r="E22" s="9"/>
      <c r="F22" s="9"/>
      <c r="I22" s="9"/>
      <c r="J22" s="30"/>
      <c r="L22" s="27">
        <f t="shared" si="1"/>
        <v>0</v>
      </c>
    </row>
    <row r="23" spans="1:12" ht="15.75">
      <c r="A23" s="11">
        <f t="shared" si="0"/>
        <v>16</v>
      </c>
      <c r="B23" s="6" t="s">
        <v>54</v>
      </c>
      <c r="C23" s="9"/>
      <c r="D23" s="9"/>
      <c r="E23" s="9"/>
      <c r="F23" s="9"/>
      <c r="J23" s="30"/>
      <c r="L23" s="27">
        <f t="shared" si="1"/>
        <v>0</v>
      </c>
    </row>
    <row r="24" spans="1:12" ht="15.75">
      <c r="A24" s="11">
        <f t="shared" si="0"/>
        <v>17</v>
      </c>
      <c r="B24" s="6" t="s">
        <v>51</v>
      </c>
      <c r="C24" s="9"/>
      <c r="D24" s="9"/>
      <c r="E24" s="9">
        <v>2956027</v>
      </c>
      <c r="F24" s="9">
        <v>2580760</v>
      </c>
      <c r="G24" s="9">
        <v>48100000</v>
      </c>
      <c r="H24" s="9"/>
      <c r="I24" s="9">
        <v>3443242</v>
      </c>
      <c r="J24" s="9"/>
      <c r="K24" s="9"/>
      <c r="L24" s="27">
        <f t="shared" si="1"/>
        <v>57080029</v>
      </c>
    </row>
    <row r="25" spans="1:12" ht="15.75">
      <c r="A25" s="11">
        <f t="shared" si="0"/>
        <v>18</v>
      </c>
      <c r="B25" s="6" t="s">
        <v>52</v>
      </c>
      <c r="C25" s="9"/>
      <c r="D25" s="9"/>
      <c r="E25" s="9">
        <v>8620087</v>
      </c>
      <c r="F25" s="9">
        <v>2362201</v>
      </c>
      <c r="G25" s="9"/>
      <c r="H25" s="9">
        <v>81320</v>
      </c>
      <c r="I25" s="9">
        <v>41000</v>
      </c>
      <c r="J25" s="9"/>
      <c r="K25" s="9"/>
      <c r="L25" s="27">
        <f t="shared" si="1"/>
        <v>11104608</v>
      </c>
    </row>
    <row r="26" spans="1:12" ht="15.75">
      <c r="A26" s="11">
        <f t="shared" si="0"/>
        <v>19</v>
      </c>
      <c r="B26" s="6" t="s">
        <v>53</v>
      </c>
      <c r="C26" s="9"/>
      <c r="D26" s="9"/>
      <c r="E26" s="9">
        <v>6532455</v>
      </c>
      <c r="F26" s="9"/>
      <c r="J26" s="30"/>
      <c r="L26" s="27">
        <f t="shared" si="1"/>
        <v>6532455</v>
      </c>
    </row>
    <row r="27" spans="1:12" ht="15.75">
      <c r="A27" s="11">
        <f t="shared" si="0"/>
        <v>20</v>
      </c>
      <c r="B27" s="6" t="s">
        <v>56</v>
      </c>
      <c r="C27" s="9"/>
      <c r="D27" s="9"/>
      <c r="E27" s="9"/>
      <c r="F27" s="9"/>
      <c r="H27" s="9">
        <v>40000</v>
      </c>
      <c r="J27" s="30"/>
      <c r="L27" s="27">
        <f t="shared" si="1"/>
        <v>40000</v>
      </c>
    </row>
    <row r="28" spans="1:12" ht="15.75">
      <c r="A28" s="11">
        <f t="shared" si="0"/>
        <v>21</v>
      </c>
      <c r="B28" s="6" t="s">
        <v>80</v>
      </c>
      <c r="C28" s="9"/>
      <c r="D28" s="9"/>
      <c r="E28" s="9"/>
      <c r="F28" s="9"/>
      <c r="H28" s="9"/>
      <c r="J28" s="9"/>
      <c r="L28" s="27">
        <f t="shared" si="1"/>
        <v>0</v>
      </c>
    </row>
    <row r="29" spans="1:12" ht="16.5">
      <c r="A29" s="11">
        <f>+A27+1</f>
        <v>21</v>
      </c>
      <c r="B29" s="6" t="s">
        <v>76</v>
      </c>
      <c r="C29" s="9"/>
      <c r="D29" s="9">
        <v>0</v>
      </c>
      <c r="E29" s="9">
        <f>2073173+645225+151500+344818</f>
        <v>3214716</v>
      </c>
      <c r="F29" s="9">
        <f>68588+204600</f>
        <v>273188</v>
      </c>
      <c r="G29" s="9"/>
      <c r="H29" s="9">
        <v>6000</v>
      </c>
      <c r="I29" s="9">
        <v>40000</v>
      </c>
      <c r="J29" s="9"/>
      <c r="K29" s="9"/>
      <c r="L29" s="27">
        <f>SUM(C29:K29)</f>
        <v>3533904</v>
      </c>
    </row>
    <row r="30" spans="1:13" ht="15.75">
      <c r="A30" s="11">
        <f t="shared" si="0"/>
        <v>22</v>
      </c>
      <c r="B30" s="6" t="s">
        <v>10</v>
      </c>
      <c r="C30" s="7">
        <f>SUM(C11:C29)</f>
        <v>97706782</v>
      </c>
      <c r="D30" s="7">
        <f aca="true" t="shared" si="2" ref="D30:K30">SUM(D11:D29)</f>
        <v>20697762</v>
      </c>
      <c r="E30" s="7">
        <f>SUM(E11:E29)</f>
        <v>25443123</v>
      </c>
      <c r="F30" s="7">
        <f t="shared" si="2"/>
        <v>5351817</v>
      </c>
      <c r="G30" s="7">
        <f t="shared" si="2"/>
        <v>48100000</v>
      </c>
      <c r="H30" s="7">
        <f t="shared" si="2"/>
        <v>127320</v>
      </c>
      <c r="I30" s="7">
        <f t="shared" si="2"/>
        <v>3790908</v>
      </c>
      <c r="J30" s="7">
        <f>SUM(J11:J29)</f>
        <v>0</v>
      </c>
      <c r="K30" s="7">
        <f t="shared" si="2"/>
        <v>0</v>
      </c>
      <c r="L30" s="28">
        <f>SUM(C30:K30)</f>
        <v>201217712</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72315358</v>
      </c>
      <c r="D33" s="9">
        <v>3226692</v>
      </c>
      <c r="E33" s="9">
        <v>5340189</v>
      </c>
      <c r="F33" s="9">
        <v>2306007</v>
      </c>
      <c r="G33" s="9"/>
      <c r="H33" s="9"/>
      <c r="I33" s="9">
        <v>1588245</v>
      </c>
      <c r="J33" s="9"/>
      <c r="K33" s="9"/>
      <c r="L33" s="27">
        <f t="shared" si="1"/>
        <v>84776491</v>
      </c>
    </row>
    <row r="34" spans="1:12" ht="15.75">
      <c r="A34" s="11">
        <f t="shared" si="0"/>
        <v>26</v>
      </c>
      <c r="B34" s="6" t="s">
        <v>59</v>
      </c>
      <c r="C34" s="9"/>
      <c r="D34" s="9">
        <v>723757</v>
      </c>
      <c r="E34" s="9">
        <v>0</v>
      </c>
      <c r="F34" s="9">
        <v>3000</v>
      </c>
      <c r="G34" s="9"/>
      <c r="H34" s="9">
        <v>0</v>
      </c>
      <c r="I34" s="9">
        <v>0</v>
      </c>
      <c r="J34" s="9"/>
      <c r="K34" s="9"/>
      <c r="L34" s="27">
        <f t="shared" si="1"/>
        <v>726757</v>
      </c>
    </row>
    <row r="35" spans="1:12" ht="15.75">
      <c r="A35" s="11">
        <f t="shared" si="0"/>
        <v>27</v>
      </c>
      <c r="B35" s="6" t="s">
        <v>14</v>
      </c>
      <c r="C35" s="9">
        <v>25391424</v>
      </c>
      <c r="D35" s="9">
        <v>15471531</v>
      </c>
      <c r="E35" s="9">
        <v>18532401</v>
      </c>
      <c r="F35" s="9">
        <v>2944741</v>
      </c>
      <c r="G35" s="9">
        <v>48100000</v>
      </c>
      <c r="H35" s="9">
        <v>111591</v>
      </c>
      <c r="I35" s="9">
        <v>2153741</v>
      </c>
      <c r="J35" s="9"/>
      <c r="K35" s="9"/>
      <c r="L35" s="27">
        <f t="shared" si="1"/>
        <v>112705429</v>
      </c>
    </row>
    <row r="36" spans="1:12" ht="15.75">
      <c r="A36" s="11">
        <f t="shared" si="0"/>
        <v>28</v>
      </c>
      <c r="B36" s="6" t="s">
        <v>60</v>
      </c>
      <c r="C36" s="9"/>
      <c r="D36" s="9">
        <v>21500</v>
      </c>
      <c r="E36" s="9">
        <v>0</v>
      </c>
      <c r="F36" s="9"/>
      <c r="G36" s="9"/>
      <c r="H36" s="9"/>
      <c r="I36" s="9">
        <v>0</v>
      </c>
      <c r="J36" s="9"/>
      <c r="K36" s="9"/>
      <c r="L36" s="27">
        <f t="shared" si="1"/>
        <v>21500</v>
      </c>
    </row>
    <row r="37" spans="1:12" ht="15.75">
      <c r="A37" s="11">
        <f t="shared" si="0"/>
        <v>29</v>
      </c>
      <c r="B37" s="6" t="s">
        <v>42</v>
      </c>
      <c r="C37" s="9"/>
      <c r="D37" s="9"/>
      <c r="E37" s="9"/>
      <c r="F37" s="31"/>
      <c r="J37" s="30"/>
      <c r="L37" s="27">
        <f t="shared" si="1"/>
        <v>0</v>
      </c>
    </row>
    <row r="38" spans="1:12" ht="15.75">
      <c r="A38" s="11">
        <f t="shared" si="0"/>
        <v>30</v>
      </c>
      <c r="B38" s="6" t="s">
        <v>16</v>
      </c>
      <c r="C38" s="9"/>
      <c r="D38" s="9"/>
      <c r="E38" s="9"/>
      <c r="F38" s="31"/>
      <c r="J38" s="30"/>
      <c r="L38" s="27">
        <f t="shared" si="1"/>
        <v>0</v>
      </c>
    </row>
    <row r="39" spans="1:12" ht="15.75" hidden="1">
      <c r="A39" s="11">
        <f t="shared" si="0"/>
        <v>31</v>
      </c>
      <c r="B39" s="6" t="s">
        <v>27</v>
      </c>
      <c r="C39" s="9"/>
      <c r="D39" s="9"/>
      <c r="E39" s="9"/>
      <c r="F39" s="31"/>
      <c r="J39" s="30"/>
      <c r="L39" s="27">
        <f t="shared" si="1"/>
        <v>0</v>
      </c>
    </row>
    <row r="40" spans="1:12" ht="15.75">
      <c r="A40" s="11">
        <f>+A38+1</f>
        <v>31</v>
      </c>
      <c r="B40" s="6" t="s">
        <v>28</v>
      </c>
      <c r="C40" s="9"/>
      <c r="D40" s="9"/>
      <c r="E40" s="9"/>
      <c r="F40" s="31"/>
      <c r="J40" s="30"/>
      <c r="L40" s="27">
        <f t="shared" si="1"/>
        <v>0</v>
      </c>
    </row>
    <row r="41" spans="1:12" ht="15.75">
      <c r="A41" s="11">
        <f t="shared" si="0"/>
        <v>32</v>
      </c>
      <c r="B41" s="6" t="s">
        <v>34</v>
      </c>
      <c r="C41" s="9"/>
      <c r="D41" s="9"/>
      <c r="E41" s="9"/>
      <c r="F41" s="31"/>
      <c r="J41" s="30"/>
      <c r="L41" s="27">
        <f t="shared" si="1"/>
        <v>0</v>
      </c>
    </row>
    <row r="42" spans="1:12" ht="15.75">
      <c r="A42" s="11">
        <f t="shared" si="0"/>
        <v>33</v>
      </c>
      <c r="B42" s="6" t="s">
        <v>17</v>
      </c>
      <c r="C42" s="9"/>
      <c r="D42" s="9"/>
      <c r="E42" s="9"/>
      <c r="F42" s="31"/>
      <c r="J42" s="30"/>
      <c r="L42" s="27">
        <f t="shared" si="1"/>
        <v>0</v>
      </c>
    </row>
    <row r="43" spans="1:12" ht="15.75">
      <c r="A43" s="11">
        <f t="shared" si="0"/>
        <v>34</v>
      </c>
      <c r="B43" s="6" t="s">
        <v>18</v>
      </c>
      <c r="C43" s="9"/>
      <c r="D43" s="9"/>
      <c r="E43" s="9"/>
      <c r="F43" s="31"/>
      <c r="J43" s="30"/>
      <c r="L43" s="27">
        <f t="shared" si="1"/>
        <v>0</v>
      </c>
    </row>
    <row r="44" spans="2:12" ht="15.75" hidden="1">
      <c r="B44" s="6" t="s">
        <v>29</v>
      </c>
      <c r="C44" s="9"/>
      <c r="D44" s="9"/>
      <c r="E44" s="9"/>
      <c r="F44" s="31"/>
      <c r="J44" s="30"/>
      <c r="L44" s="27">
        <f t="shared" si="1"/>
        <v>0</v>
      </c>
    </row>
    <row r="45" spans="2:12" ht="15.75" hidden="1">
      <c r="B45" s="6" t="s">
        <v>35</v>
      </c>
      <c r="C45" s="9"/>
      <c r="D45" s="9"/>
      <c r="E45" s="9"/>
      <c r="F45" s="31"/>
      <c r="J45" s="30"/>
      <c r="L45" s="27">
        <f t="shared" si="1"/>
        <v>0</v>
      </c>
    </row>
    <row r="46" spans="1:12" ht="15.75">
      <c r="A46" s="11">
        <f>+A43+1</f>
        <v>35</v>
      </c>
      <c r="B46" s="6" t="s">
        <v>19</v>
      </c>
      <c r="C46" s="9"/>
      <c r="D46" s="9"/>
      <c r="E46" s="9"/>
      <c r="F46" s="31"/>
      <c r="J46" s="30"/>
      <c r="L46" s="27">
        <f t="shared" si="1"/>
        <v>0</v>
      </c>
    </row>
    <row r="47" spans="1:12" ht="15.75">
      <c r="A47" s="11">
        <f t="shared" si="0"/>
        <v>36</v>
      </c>
      <c r="B47" s="6" t="s">
        <v>30</v>
      </c>
      <c r="C47" s="9"/>
      <c r="D47" s="9"/>
      <c r="E47" s="9"/>
      <c r="F47" s="31"/>
      <c r="J47" s="30"/>
      <c r="L47" s="27">
        <f t="shared" si="1"/>
        <v>0</v>
      </c>
    </row>
    <row r="48" spans="1:12" ht="15.75">
      <c r="A48" s="11">
        <f t="shared" si="0"/>
        <v>37</v>
      </c>
      <c r="B48" s="6" t="s">
        <v>31</v>
      </c>
      <c r="C48" s="9"/>
      <c r="D48" s="9"/>
      <c r="E48" s="9"/>
      <c r="F48" s="31"/>
      <c r="J48" s="30"/>
      <c r="L48" s="27">
        <f t="shared" si="1"/>
        <v>0</v>
      </c>
    </row>
    <row r="49" spans="1:12" ht="15.75">
      <c r="A49" s="11">
        <f t="shared" si="0"/>
        <v>38</v>
      </c>
      <c r="B49" s="6" t="s">
        <v>32</v>
      </c>
      <c r="C49" s="9"/>
      <c r="D49" s="9"/>
      <c r="E49" s="9"/>
      <c r="F49" s="31"/>
      <c r="J49" s="30"/>
      <c r="L49" s="27">
        <f t="shared" si="1"/>
        <v>0</v>
      </c>
    </row>
    <row r="50" spans="1:12" ht="15.75">
      <c r="A50" s="11">
        <f t="shared" si="0"/>
        <v>39</v>
      </c>
      <c r="B50" s="6" t="s">
        <v>20</v>
      </c>
      <c r="C50" s="9"/>
      <c r="D50" s="9"/>
      <c r="E50" s="9"/>
      <c r="F50" s="31"/>
      <c r="J50" s="30"/>
      <c r="K50" s="9"/>
      <c r="L50" s="27">
        <f t="shared" si="1"/>
        <v>0</v>
      </c>
    </row>
    <row r="51" spans="1:12" ht="15.75">
      <c r="A51" s="11">
        <f t="shared" si="0"/>
        <v>40</v>
      </c>
      <c r="B51" s="22" t="s">
        <v>33</v>
      </c>
      <c r="C51" s="9"/>
      <c r="D51" s="9"/>
      <c r="E51" s="9"/>
      <c r="F51" s="31"/>
      <c r="J51" s="30"/>
      <c r="L51" s="27">
        <f t="shared" si="1"/>
        <v>0</v>
      </c>
    </row>
    <row r="52" spans="1:12" ht="15.75">
      <c r="A52" s="11">
        <f t="shared" si="0"/>
        <v>41</v>
      </c>
      <c r="B52" s="22" t="s">
        <v>36</v>
      </c>
      <c r="C52" s="9"/>
      <c r="D52" s="9"/>
      <c r="E52" s="9"/>
      <c r="F52" s="31"/>
      <c r="J52" s="30"/>
      <c r="L52" s="27">
        <f t="shared" si="1"/>
        <v>0</v>
      </c>
    </row>
    <row r="53" spans="1:12" ht="15.75">
      <c r="A53" s="11">
        <f t="shared" si="0"/>
        <v>42</v>
      </c>
      <c r="B53" s="22" t="s">
        <v>37</v>
      </c>
      <c r="C53" s="9"/>
      <c r="D53" s="9"/>
      <c r="E53" s="9"/>
      <c r="F53" s="31"/>
      <c r="J53" s="30"/>
      <c r="L53" s="27">
        <f t="shared" si="1"/>
        <v>0</v>
      </c>
    </row>
    <row r="54" spans="1:12" ht="15.75">
      <c r="A54" s="11">
        <f t="shared" si="0"/>
        <v>43</v>
      </c>
      <c r="B54" s="23" t="s">
        <v>78</v>
      </c>
      <c r="C54" s="9"/>
      <c r="D54" s="9"/>
      <c r="E54" s="9"/>
      <c r="F54" s="31"/>
      <c r="J54" s="30"/>
      <c r="L54" s="27">
        <f t="shared" si="1"/>
        <v>0</v>
      </c>
    </row>
    <row r="55" spans="1:12" ht="15.75">
      <c r="A55" s="11">
        <f t="shared" si="0"/>
        <v>44</v>
      </c>
      <c r="B55" s="22" t="s">
        <v>39</v>
      </c>
      <c r="C55" s="9"/>
      <c r="D55" s="9"/>
      <c r="E55" s="9"/>
      <c r="F55" s="31"/>
      <c r="J55" s="30"/>
      <c r="L55" s="27">
        <f t="shared" si="1"/>
        <v>0</v>
      </c>
    </row>
    <row r="56" spans="1:12" ht="15.75">
      <c r="A56" s="11">
        <f t="shared" si="0"/>
        <v>45</v>
      </c>
      <c r="B56" s="22" t="s">
        <v>57</v>
      </c>
      <c r="C56" s="9"/>
      <c r="D56" s="9"/>
      <c r="E56" s="9"/>
      <c r="F56" s="31"/>
      <c r="J56" s="30"/>
      <c r="L56" s="27">
        <f t="shared" si="1"/>
        <v>0</v>
      </c>
    </row>
    <row r="57" spans="1:12" ht="15.75">
      <c r="A57" s="11">
        <f t="shared" si="0"/>
        <v>46</v>
      </c>
      <c r="B57" s="22" t="s">
        <v>58</v>
      </c>
      <c r="C57" s="9"/>
      <c r="D57" s="9"/>
      <c r="E57" s="9"/>
      <c r="F57" s="31"/>
      <c r="J57" s="30"/>
      <c r="L57" s="27">
        <f t="shared" si="1"/>
        <v>0</v>
      </c>
    </row>
    <row r="58" spans="1:12" ht="15.75">
      <c r="A58" s="11">
        <f t="shared" si="0"/>
        <v>47</v>
      </c>
      <c r="B58" s="6" t="s">
        <v>49</v>
      </c>
      <c r="D58" s="9"/>
      <c r="E58" s="9"/>
      <c r="F58" s="31"/>
      <c r="J58" s="30"/>
      <c r="L58" s="27">
        <f t="shared" si="1"/>
        <v>0</v>
      </c>
    </row>
    <row r="59" spans="1:12" ht="15.75">
      <c r="A59" s="11">
        <f t="shared" si="0"/>
        <v>48</v>
      </c>
      <c r="B59" s="6" t="s">
        <v>55</v>
      </c>
      <c r="D59" s="31"/>
      <c r="E59" s="9"/>
      <c r="F59" s="31"/>
      <c r="I59" s="9"/>
      <c r="J59" s="9"/>
      <c r="K59" s="9"/>
      <c r="L59" s="27">
        <f t="shared" si="1"/>
        <v>0</v>
      </c>
    </row>
    <row r="60" spans="1:12" ht="15.75">
      <c r="A60" s="11">
        <f>+A59+1</f>
        <v>49</v>
      </c>
      <c r="B60" s="6" t="s">
        <v>21</v>
      </c>
      <c r="C60" s="7">
        <f>SUM(C33:C59)</f>
        <v>97706782</v>
      </c>
      <c r="D60" s="7">
        <f aca="true" t="shared" si="3" ref="D60:K60">SUM(D33:D59)</f>
        <v>19443480</v>
      </c>
      <c r="E60" s="7">
        <f t="shared" si="3"/>
        <v>23872590</v>
      </c>
      <c r="F60" s="7">
        <f t="shared" si="3"/>
        <v>5253748</v>
      </c>
      <c r="G60" s="7">
        <f t="shared" si="3"/>
        <v>48100000</v>
      </c>
      <c r="H60" s="7">
        <f t="shared" si="3"/>
        <v>111591</v>
      </c>
      <c r="I60" s="7">
        <f t="shared" si="3"/>
        <v>3741986</v>
      </c>
      <c r="J60" s="7">
        <f t="shared" si="3"/>
        <v>0</v>
      </c>
      <c r="K60" s="7">
        <f t="shared" si="3"/>
        <v>0</v>
      </c>
      <c r="L60" s="28">
        <f>SUM(C60:K60)</f>
        <v>198230177</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v>558405</v>
      </c>
      <c r="E63" s="9">
        <f>1759917+1008993</f>
        <v>2768910</v>
      </c>
      <c r="F63" s="12">
        <f>248711+13860</f>
        <v>262571</v>
      </c>
      <c r="G63" s="12"/>
      <c r="H63" s="12"/>
      <c r="I63" s="12">
        <v>317182</v>
      </c>
      <c r="J63" s="12"/>
      <c r="K63" s="12"/>
      <c r="L63" s="27">
        <f t="shared" si="1"/>
        <v>3907068</v>
      </c>
    </row>
    <row r="64" spans="1:12" ht="15.75">
      <c r="A64" s="11">
        <f t="shared" si="0"/>
        <v>53</v>
      </c>
      <c r="B64" s="6" t="s">
        <v>50</v>
      </c>
      <c r="C64" s="9"/>
      <c r="D64" s="9"/>
      <c r="E64" s="9">
        <v>385000</v>
      </c>
      <c r="F64" s="31"/>
      <c r="I64" s="9"/>
      <c r="J64" s="9"/>
      <c r="L64" s="27">
        <f t="shared" si="1"/>
        <v>385000</v>
      </c>
    </row>
    <row r="65" spans="1:12" ht="15.75">
      <c r="A65" s="11">
        <f>+A64+1</f>
        <v>54</v>
      </c>
      <c r="B65" s="6" t="s">
        <v>26</v>
      </c>
      <c r="C65" s="9">
        <v>15575049</v>
      </c>
      <c r="D65" s="9"/>
      <c r="E65" s="9"/>
      <c r="F65" s="31"/>
      <c r="J65" s="30"/>
      <c r="L65" s="27">
        <f>SUM(C65:K65)</f>
        <v>15575049</v>
      </c>
    </row>
    <row r="66" spans="1:12" ht="16.5">
      <c r="A66" s="11">
        <f>+A65+1</f>
        <v>55</v>
      </c>
      <c r="B66" s="6" t="s">
        <v>77</v>
      </c>
      <c r="C66" s="9"/>
      <c r="D66" s="9"/>
      <c r="E66" s="9"/>
      <c r="F66" s="31"/>
      <c r="G66" s="32"/>
      <c r="J66" s="30"/>
      <c r="L66" s="27">
        <f t="shared" si="1"/>
        <v>0</v>
      </c>
    </row>
    <row r="67" spans="1:12" ht="15.75">
      <c r="A67" s="11">
        <f t="shared" si="0"/>
        <v>56</v>
      </c>
      <c r="B67" s="6" t="s">
        <v>24</v>
      </c>
      <c r="C67" s="7">
        <f aca="true" t="shared" si="4" ref="C67:K67">SUM(C63:C66)</f>
        <v>15575049</v>
      </c>
      <c r="D67" s="7">
        <f t="shared" si="4"/>
        <v>558405</v>
      </c>
      <c r="E67" s="7">
        <f t="shared" si="4"/>
        <v>3153910</v>
      </c>
      <c r="F67" s="7">
        <f t="shared" si="4"/>
        <v>262571</v>
      </c>
      <c r="G67" s="7">
        <f t="shared" si="4"/>
        <v>0</v>
      </c>
      <c r="H67" s="7">
        <f t="shared" si="4"/>
        <v>0</v>
      </c>
      <c r="I67" s="7">
        <f t="shared" si="4"/>
        <v>317182</v>
      </c>
      <c r="J67" s="7">
        <f t="shared" si="4"/>
        <v>0</v>
      </c>
      <c r="K67" s="7">
        <f t="shared" si="4"/>
        <v>0</v>
      </c>
      <c r="L67" s="28">
        <f t="shared" si="1"/>
        <v>19867117</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4985834</v>
      </c>
      <c r="D69" s="13">
        <f t="shared" si="5"/>
        <v>4945837</v>
      </c>
      <c r="E69" s="13">
        <f t="shared" si="5"/>
        <v>24466011</v>
      </c>
      <c r="F69" s="13">
        <f t="shared" si="5"/>
        <v>6440942</v>
      </c>
      <c r="G69" s="13">
        <f t="shared" si="5"/>
        <v>3822421</v>
      </c>
      <c r="H69" s="13">
        <f t="shared" si="5"/>
        <v>503020</v>
      </c>
      <c r="I69" s="13">
        <f t="shared" si="5"/>
        <v>890556</v>
      </c>
      <c r="J69" s="13">
        <f t="shared" si="5"/>
        <v>0</v>
      </c>
      <c r="K69" s="13">
        <f t="shared" si="5"/>
        <v>0</v>
      </c>
      <c r="L69" s="29">
        <f>SUM(C69:K69)</f>
        <v>46054621</v>
      </c>
      <c r="M69" s="21">
        <f>+L8+L30-L60-L67</f>
        <v>46054621</v>
      </c>
    </row>
    <row r="70" ht="16.5" thickTop="1">
      <c r="J70" s="30"/>
    </row>
    <row r="72" ht="15.75">
      <c r="C72" s="21"/>
    </row>
  </sheetData>
  <mergeCells count="4">
    <mergeCell ref="B1:L1"/>
    <mergeCell ref="B2:L2"/>
    <mergeCell ref="B3:L3"/>
    <mergeCell ref="F5:J5"/>
  </mergeCells>
  <printOptions horizontalCentered="1"/>
  <pageMargins left="0" right="0" top="0.45" bottom="0.49" header="0.31" footer="0.57"/>
  <pageSetup horizontalDpi="600" verticalDpi="600" orientation="landscape" scale="60" r:id="rId2"/>
  <drawing r:id="rId1"/>
</worksheet>
</file>

<file path=xl/worksheets/sheet15.xml><?xml version="1.0" encoding="utf-8"?>
<worksheet xmlns="http://schemas.openxmlformats.org/spreadsheetml/2006/main" xmlns:r="http://schemas.openxmlformats.org/officeDocument/2006/relationships">
  <dimension ref="A1:M72"/>
  <sheetViews>
    <sheetView zoomScale="70" zoomScaleNormal="70" workbookViewId="0" topLeftCell="A1">
      <selection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94</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4676972</v>
      </c>
      <c r="D8" s="7">
        <v>5069929</v>
      </c>
      <c r="E8" s="7">
        <v>7173610</v>
      </c>
      <c r="F8" s="7">
        <v>441256</v>
      </c>
      <c r="G8" s="7">
        <v>1216183</v>
      </c>
      <c r="H8" s="7">
        <v>242452</v>
      </c>
      <c r="I8" s="7">
        <v>69473</v>
      </c>
      <c r="J8" s="7">
        <v>0</v>
      </c>
      <c r="K8" s="7">
        <v>0</v>
      </c>
      <c r="L8" s="7">
        <f>SUM(C8:K8)</f>
        <v>18889875</v>
      </c>
    </row>
    <row r="9" spans="1:12" ht="15.75">
      <c r="A9" s="11">
        <f>+A8+1</f>
        <v>2</v>
      </c>
      <c r="B9" s="6"/>
      <c r="C9" s="12"/>
      <c r="D9" s="12"/>
      <c r="E9" s="12"/>
      <c r="F9" s="12"/>
      <c r="J9" s="30"/>
      <c r="L9" s="26"/>
    </row>
    <row r="10" spans="1:12" ht="15.75">
      <c r="A10" s="11">
        <f aca="true" t="shared" si="0" ref="A10:A69">+A9+1</f>
        <v>3</v>
      </c>
      <c r="B10" s="8" t="s">
        <v>5</v>
      </c>
      <c r="C10" s="9"/>
      <c r="D10" s="35"/>
      <c r="E10" s="46"/>
      <c r="F10" s="9"/>
      <c r="J10" s="30"/>
      <c r="L10" s="26"/>
    </row>
    <row r="11" spans="1:12" ht="15.75">
      <c r="A11" s="11">
        <f t="shared" si="0"/>
        <v>4</v>
      </c>
      <c r="B11" s="6" t="s">
        <v>81</v>
      </c>
      <c r="C11" s="9">
        <v>2755428</v>
      </c>
      <c r="D11" s="9"/>
      <c r="E11" s="9"/>
      <c r="F11" s="9"/>
      <c r="J11" s="30"/>
      <c r="L11" s="27">
        <f>SUM(C11:K11)</f>
        <v>2755428</v>
      </c>
    </row>
    <row r="12" spans="1:12" ht="15.75">
      <c r="A12" s="11">
        <f t="shared" si="0"/>
        <v>5</v>
      </c>
      <c r="B12" s="6" t="s">
        <v>79</v>
      </c>
      <c r="C12" s="9">
        <v>33797587</v>
      </c>
      <c r="D12" s="9"/>
      <c r="E12" s="9"/>
      <c r="F12" s="9"/>
      <c r="J12" s="30"/>
      <c r="L12" s="27">
        <f aca="true" t="shared" si="1" ref="L12:L67">SUM(C12:K12)</f>
        <v>33797587</v>
      </c>
    </row>
    <row r="13" spans="1:12" ht="15.75">
      <c r="A13" s="11">
        <f t="shared" si="0"/>
        <v>6</v>
      </c>
      <c r="B13" s="6" t="s">
        <v>42</v>
      </c>
      <c r="C13" s="9"/>
      <c r="D13" s="9"/>
      <c r="E13" s="9"/>
      <c r="F13" s="9"/>
      <c r="J13" s="30"/>
      <c r="L13" s="27">
        <f t="shared" si="1"/>
        <v>0</v>
      </c>
    </row>
    <row r="14" spans="1:12" ht="15.75">
      <c r="A14" s="11">
        <f t="shared" si="0"/>
        <v>7</v>
      </c>
      <c r="B14" s="6" t="s">
        <v>8</v>
      </c>
      <c r="C14" s="9">
        <v>10373416</v>
      </c>
      <c r="D14" s="9"/>
      <c r="E14" s="9"/>
      <c r="F14" s="9"/>
      <c r="J14" s="30"/>
      <c r="L14" s="27">
        <f t="shared" si="1"/>
        <v>10373416</v>
      </c>
    </row>
    <row r="15" spans="1:12" ht="15.75">
      <c r="A15" s="11">
        <f t="shared" si="0"/>
        <v>8</v>
      </c>
      <c r="B15" s="6" t="s">
        <v>70</v>
      </c>
      <c r="C15" s="9"/>
      <c r="D15" s="9"/>
      <c r="E15" s="9"/>
      <c r="F15" s="9"/>
      <c r="J15" s="30"/>
      <c r="L15" s="27">
        <f t="shared" si="1"/>
        <v>0</v>
      </c>
    </row>
    <row r="16" spans="1:12" ht="15.75">
      <c r="A16" s="11">
        <f>+A15+1</f>
        <v>9</v>
      </c>
      <c r="B16" s="6" t="s">
        <v>43</v>
      </c>
      <c r="C16" s="9"/>
      <c r="D16" s="9">
        <v>8509810</v>
      </c>
      <c r="E16" s="9"/>
      <c r="F16" s="9"/>
      <c r="G16" s="9">
        <v>5100000</v>
      </c>
      <c r="H16" s="9"/>
      <c r="I16" s="9"/>
      <c r="J16" s="9"/>
      <c r="K16" s="9"/>
      <c r="L16" s="27">
        <f t="shared" si="1"/>
        <v>13609810</v>
      </c>
    </row>
    <row r="17" spans="1:12" ht="15.75">
      <c r="A17" s="11">
        <f t="shared" si="0"/>
        <v>10</v>
      </c>
      <c r="B17" s="6" t="s">
        <v>44</v>
      </c>
      <c r="C17" s="9"/>
      <c r="D17" s="9">
        <v>180677</v>
      </c>
      <c r="E17" s="9"/>
      <c r="F17" s="9"/>
      <c r="G17" s="9"/>
      <c r="H17" s="9"/>
      <c r="I17" s="9"/>
      <c r="J17" s="9"/>
      <c r="K17" s="9"/>
      <c r="L17" s="27">
        <f t="shared" si="1"/>
        <v>180677</v>
      </c>
    </row>
    <row r="18" spans="1:12" ht="15.75">
      <c r="A18" s="11">
        <f t="shared" si="0"/>
        <v>11</v>
      </c>
      <c r="B18" s="6" t="s">
        <v>45</v>
      </c>
      <c r="C18" s="9"/>
      <c r="D18" s="9">
        <v>1559467</v>
      </c>
      <c r="E18" s="9"/>
      <c r="F18" s="9"/>
      <c r="G18" s="9"/>
      <c r="H18" s="9"/>
      <c r="I18" s="9"/>
      <c r="J18" s="9"/>
      <c r="K18" s="9"/>
      <c r="L18" s="27">
        <f t="shared" si="1"/>
        <v>1559467</v>
      </c>
    </row>
    <row r="19" spans="1:12" ht="15.75">
      <c r="A19" s="11">
        <f t="shared" si="0"/>
        <v>12</v>
      </c>
      <c r="B19" s="6" t="s">
        <v>46</v>
      </c>
      <c r="C19" s="9"/>
      <c r="D19" s="9">
        <v>2096958</v>
      </c>
      <c r="E19" s="9"/>
      <c r="F19" s="9"/>
      <c r="G19" s="9"/>
      <c r="H19" s="9"/>
      <c r="I19" s="9"/>
      <c r="J19" s="9"/>
      <c r="K19" s="9"/>
      <c r="L19" s="27">
        <f t="shared" si="1"/>
        <v>2096958</v>
      </c>
    </row>
    <row r="20" spans="1:12" ht="15.75">
      <c r="A20" s="11">
        <f t="shared" si="0"/>
        <v>13</v>
      </c>
      <c r="B20" s="6" t="s">
        <v>97</v>
      </c>
      <c r="C20" s="9"/>
      <c r="D20" s="9"/>
      <c r="E20" s="9"/>
      <c r="F20" s="9"/>
      <c r="J20" s="30"/>
      <c r="L20" s="27">
        <f t="shared" si="1"/>
        <v>0</v>
      </c>
    </row>
    <row r="21" spans="1:12" ht="15.75">
      <c r="A21" s="11">
        <f t="shared" si="0"/>
        <v>14</v>
      </c>
      <c r="B21" s="6" t="s">
        <v>47</v>
      </c>
      <c r="C21" s="9"/>
      <c r="D21" s="9">
        <v>1687117</v>
      </c>
      <c r="E21" s="9">
        <v>700000</v>
      </c>
      <c r="F21" s="9"/>
      <c r="G21" s="9"/>
      <c r="H21" s="9"/>
      <c r="I21" s="9">
        <v>150000</v>
      </c>
      <c r="J21" s="9"/>
      <c r="K21" s="9"/>
      <c r="L21" s="27">
        <f t="shared" si="1"/>
        <v>2537117</v>
      </c>
    </row>
    <row r="22" spans="1:12" ht="15.75">
      <c r="A22" s="11">
        <f t="shared" si="0"/>
        <v>15</v>
      </c>
      <c r="B22" s="6" t="s">
        <v>48</v>
      </c>
      <c r="C22" s="9"/>
      <c r="D22" s="9"/>
      <c r="E22" s="9">
        <v>12745782</v>
      </c>
      <c r="F22" s="9"/>
      <c r="I22" s="9"/>
      <c r="J22" s="30"/>
      <c r="L22" s="27">
        <f t="shared" si="1"/>
        <v>12745782</v>
      </c>
    </row>
    <row r="23" spans="1:12" ht="15.75">
      <c r="A23" s="11">
        <f t="shared" si="0"/>
        <v>16</v>
      </c>
      <c r="B23" s="6" t="s">
        <v>54</v>
      </c>
      <c r="C23" s="9"/>
      <c r="D23" s="9"/>
      <c r="E23" s="9"/>
      <c r="F23" s="9"/>
      <c r="J23" s="30"/>
      <c r="L23" s="27">
        <f t="shared" si="1"/>
        <v>0</v>
      </c>
    </row>
    <row r="24" spans="1:12" ht="15.75">
      <c r="A24" s="11">
        <f t="shared" si="0"/>
        <v>17</v>
      </c>
      <c r="B24" s="6" t="s">
        <v>51</v>
      </c>
      <c r="C24" s="9">
        <v>3444918</v>
      </c>
      <c r="D24" s="9"/>
      <c r="E24" s="9">
        <v>963979</v>
      </c>
      <c r="F24" s="9">
        <v>1334907</v>
      </c>
      <c r="G24" s="9"/>
      <c r="H24" s="9"/>
      <c r="I24" s="9">
        <v>1440000</v>
      </c>
      <c r="J24" s="9"/>
      <c r="K24" s="9"/>
      <c r="L24" s="27">
        <f t="shared" si="1"/>
        <v>7183804</v>
      </c>
    </row>
    <row r="25" spans="1:12" ht="15.75">
      <c r="A25" s="11">
        <f t="shared" si="0"/>
        <v>18</v>
      </c>
      <c r="B25" s="6" t="s">
        <v>52</v>
      </c>
      <c r="C25" s="9"/>
      <c r="D25" s="9"/>
      <c r="E25" s="9">
        <v>965129</v>
      </c>
      <c r="F25" s="9">
        <v>30221</v>
      </c>
      <c r="G25" s="9"/>
      <c r="H25" s="9"/>
      <c r="I25" s="9">
        <v>575000</v>
      </c>
      <c r="J25" s="9"/>
      <c r="K25" s="9"/>
      <c r="L25" s="27">
        <f t="shared" si="1"/>
        <v>1570350</v>
      </c>
    </row>
    <row r="26" spans="1:12" ht="15.75">
      <c r="A26" s="11">
        <f t="shared" si="0"/>
        <v>19</v>
      </c>
      <c r="B26" s="6" t="s">
        <v>53</v>
      </c>
      <c r="C26" s="9"/>
      <c r="D26" s="9"/>
      <c r="E26" s="9"/>
      <c r="F26" s="9"/>
      <c r="J26" s="30"/>
      <c r="L26" s="27">
        <f t="shared" si="1"/>
        <v>0</v>
      </c>
    </row>
    <row r="27" spans="1:12" ht="15.75">
      <c r="A27" s="11">
        <f t="shared" si="0"/>
        <v>20</v>
      </c>
      <c r="B27" s="6" t="s">
        <v>56</v>
      </c>
      <c r="C27" s="9"/>
      <c r="D27" s="9"/>
      <c r="E27" s="9"/>
      <c r="F27" s="9"/>
      <c r="H27" s="9">
        <v>129128</v>
      </c>
      <c r="J27" s="30"/>
      <c r="L27" s="27">
        <f t="shared" si="1"/>
        <v>129128</v>
      </c>
    </row>
    <row r="28" spans="1:12" ht="15.75">
      <c r="A28" s="11">
        <f t="shared" si="0"/>
        <v>21</v>
      </c>
      <c r="B28" s="6" t="s">
        <v>80</v>
      </c>
      <c r="C28" s="9"/>
      <c r="D28" s="9"/>
      <c r="E28" s="9"/>
      <c r="F28" s="9"/>
      <c r="H28" s="9"/>
      <c r="J28" s="9"/>
      <c r="L28" s="27">
        <f t="shared" si="1"/>
        <v>0</v>
      </c>
    </row>
    <row r="29" spans="1:12" ht="16.5">
      <c r="A29" s="11">
        <f>+A27+1</f>
        <v>21</v>
      </c>
      <c r="B29" s="6" t="s">
        <v>76</v>
      </c>
      <c r="C29" s="9"/>
      <c r="D29" s="9">
        <v>108501</v>
      </c>
      <c r="E29" s="9"/>
      <c r="F29" s="9"/>
      <c r="G29" s="9"/>
      <c r="H29" s="9"/>
      <c r="I29" s="9">
        <v>250600</v>
      </c>
      <c r="J29" s="9"/>
      <c r="K29" s="9"/>
      <c r="L29" s="27">
        <f>SUM(C29:K29)</f>
        <v>359101</v>
      </c>
    </row>
    <row r="30" spans="1:13" ht="15.75">
      <c r="A30" s="11">
        <f t="shared" si="0"/>
        <v>22</v>
      </c>
      <c r="B30" s="6" t="s">
        <v>10</v>
      </c>
      <c r="C30" s="7">
        <f>SUM(C11:C29)</f>
        <v>50371349</v>
      </c>
      <c r="D30" s="7">
        <f aca="true" t="shared" si="2" ref="D30:K30">SUM(D11:D29)</f>
        <v>14142530</v>
      </c>
      <c r="E30" s="7">
        <f t="shared" si="2"/>
        <v>15374890</v>
      </c>
      <c r="F30" s="7">
        <f t="shared" si="2"/>
        <v>1365128</v>
      </c>
      <c r="G30" s="7">
        <f t="shared" si="2"/>
        <v>5100000</v>
      </c>
      <c r="H30" s="7">
        <f t="shared" si="2"/>
        <v>129128</v>
      </c>
      <c r="I30" s="7">
        <f t="shared" si="2"/>
        <v>2415600</v>
      </c>
      <c r="J30" s="7">
        <f>SUM(J11:J29)</f>
        <v>0</v>
      </c>
      <c r="K30" s="7">
        <f t="shared" si="2"/>
        <v>0</v>
      </c>
      <c r="L30" s="28">
        <f>SUM(C30:K30)</f>
        <v>88898625</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36232562</v>
      </c>
      <c r="D33" s="9">
        <v>5055191</v>
      </c>
      <c r="E33" s="9">
        <v>2974587</v>
      </c>
      <c r="F33" s="9">
        <v>372751</v>
      </c>
      <c r="G33" s="9"/>
      <c r="H33" s="9"/>
      <c r="I33" s="9">
        <v>925283</v>
      </c>
      <c r="J33" s="9"/>
      <c r="K33" s="9"/>
      <c r="L33" s="27">
        <f t="shared" si="1"/>
        <v>45560374</v>
      </c>
    </row>
    <row r="34" spans="1:12" ht="15.75">
      <c r="A34" s="11">
        <f t="shared" si="0"/>
        <v>26</v>
      </c>
      <c r="B34" s="6" t="s">
        <v>59</v>
      </c>
      <c r="C34" s="9">
        <v>3096634</v>
      </c>
      <c r="D34" s="9">
        <v>2175746</v>
      </c>
      <c r="E34" s="9">
        <v>760513</v>
      </c>
      <c r="F34" s="9">
        <v>409810</v>
      </c>
      <c r="G34" s="9"/>
      <c r="H34" s="9"/>
      <c r="I34" s="9">
        <v>201000</v>
      </c>
      <c r="J34" s="9"/>
      <c r="K34" s="9"/>
      <c r="L34" s="27">
        <f t="shared" si="1"/>
        <v>6643703</v>
      </c>
    </row>
    <row r="35" spans="1:12" ht="15.75">
      <c r="A35" s="11">
        <f t="shared" si="0"/>
        <v>27</v>
      </c>
      <c r="B35" s="6" t="s">
        <v>14</v>
      </c>
      <c r="C35" s="9">
        <v>9043612</v>
      </c>
      <c r="D35" s="9">
        <v>3356192</v>
      </c>
      <c r="E35" s="9">
        <v>5940425</v>
      </c>
      <c r="F35" s="9">
        <v>626867</v>
      </c>
      <c r="G35" s="9">
        <v>5100000</v>
      </c>
      <c r="H35" s="9">
        <v>28000</v>
      </c>
      <c r="I35" s="9">
        <v>1323505</v>
      </c>
      <c r="J35" s="9"/>
      <c r="K35" s="9"/>
      <c r="L35" s="27">
        <f t="shared" si="1"/>
        <v>25418601</v>
      </c>
    </row>
    <row r="36" spans="1:12" ht="15.75">
      <c r="A36" s="11">
        <f t="shared" si="0"/>
        <v>28</v>
      </c>
      <c r="B36" s="6" t="s">
        <v>60</v>
      </c>
      <c r="C36" s="9">
        <v>301459</v>
      </c>
      <c r="D36" s="9">
        <v>1123256</v>
      </c>
      <c r="E36" s="9">
        <v>146675</v>
      </c>
      <c r="F36" s="9">
        <v>18857</v>
      </c>
      <c r="G36" s="9"/>
      <c r="H36" s="9"/>
      <c r="I36" s="9">
        <v>11000</v>
      </c>
      <c r="J36" s="9"/>
      <c r="K36" s="9"/>
      <c r="L36" s="27">
        <f t="shared" si="1"/>
        <v>1601247</v>
      </c>
    </row>
    <row r="37" spans="1:12" ht="15.75">
      <c r="A37" s="11">
        <f t="shared" si="0"/>
        <v>29</v>
      </c>
      <c r="B37" s="6" t="s">
        <v>42</v>
      </c>
      <c r="C37" s="9"/>
      <c r="D37" s="9"/>
      <c r="E37" s="9"/>
      <c r="F37" s="9"/>
      <c r="J37" s="30"/>
      <c r="L37" s="27">
        <f t="shared" si="1"/>
        <v>0</v>
      </c>
    </row>
    <row r="38" spans="1:12" ht="15.75">
      <c r="A38" s="11">
        <f t="shared" si="0"/>
        <v>30</v>
      </c>
      <c r="B38" s="6" t="s">
        <v>16</v>
      </c>
      <c r="C38" s="9"/>
      <c r="D38" s="9"/>
      <c r="E38" s="9"/>
      <c r="F38" s="9"/>
      <c r="J38" s="30"/>
      <c r="L38" s="27">
        <f t="shared" si="1"/>
        <v>0</v>
      </c>
    </row>
    <row r="39" spans="1:12" ht="15.75" hidden="1">
      <c r="A39" s="11">
        <f t="shared" si="0"/>
        <v>31</v>
      </c>
      <c r="B39" s="6" t="s">
        <v>27</v>
      </c>
      <c r="C39" s="9"/>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c r="D41" s="9"/>
      <c r="E41" s="9"/>
      <c r="F41" s="9"/>
      <c r="J41" s="30"/>
      <c r="L41" s="27">
        <f t="shared" si="1"/>
        <v>0</v>
      </c>
    </row>
    <row r="42" spans="1:12" ht="15.75">
      <c r="A42" s="11">
        <f t="shared" si="0"/>
        <v>33</v>
      </c>
      <c r="B42" s="6" t="s">
        <v>17</v>
      </c>
      <c r="C42" s="9">
        <v>1210450</v>
      </c>
      <c r="D42" s="9"/>
      <c r="E42" s="9"/>
      <c r="F42" s="9"/>
      <c r="J42" s="30"/>
      <c r="L42" s="27">
        <f t="shared" si="1"/>
        <v>1210450</v>
      </c>
    </row>
    <row r="43" spans="1:12" ht="15.75">
      <c r="A43" s="11">
        <f t="shared" si="0"/>
        <v>34</v>
      </c>
      <c r="B43" s="6" t="s">
        <v>18</v>
      </c>
      <c r="C43" s="9"/>
      <c r="D43" s="9"/>
      <c r="E43" s="9"/>
      <c r="F43" s="9"/>
      <c r="J43" s="30"/>
      <c r="L43" s="27">
        <f t="shared" si="1"/>
        <v>0</v>
      </c>
    </row>
    <row r="44" spans="2:12" ht="15.75" hidden="1">
      <c r="B44" s="6" t="s">
        <v>29</v>
      </c>
      <c r="C44" s="9">
        <v>0</v>
      </c>
      <c r="D44" s="9"/>
      <c r="E44" s="9"/>
      <c r="F44" s="9"/>
      <c r="J44" s="30"/>
      <c r="L44" s="27">
        <f t="shared" si="1"/>
        <v>0</v>
      </c>
    </row>
    <row r="45" spans="2:12" ht="15.75" hidden="1">
      <c r="B45" s="6" t="s">
        <v>35</v>
      </c>
      <c r="C45" s="9">
        <v>0</v>
      </c>
      <c r="D45" s="9"/>
      <c r="E45" s="9"/>
      <c r="F45" s="9"/>
      <c r="J45" s="30"/>
      <c r="L45" s="27">
        <f t="shared" si="1"/>
        <v>0</v>
      </c>
    </row>
    <row r="46" spans="1:12" ht="15.75">
      <c r="A46" s="11">
        <f>+A43+1</f>
        <v>35</v>
      </c>
      <c r="B46" s="6" t="s">
        <v>19</v>
      </c>
      <c r="C46" s="9">
        <v>486629</v>
      </c>
      <c r="D46" s="9"/>
      <c r="E46" s="9"/>
      <c r="F46" s="9"/>
      <c r="J46" s="30"/>
      <c r="L46" s="27">
        <f t="shared" si="1"/>
        <v>486629</v>
      </c>
    </row>
    <row r="47" spans="1:12" ht="15.75">
      <c r="A47" s="11">
        <f t="shared" si="0"/>
        <v>36</v>
      </c>
      <c r="B47" s="6" t="s">
        <v>30</v>
      </c>
      <c r="C47" s="9"/>
      <c r="D47" s="9"/>
      <c r="E47" s="9"/>
      <c r="F47" s="9"/>
      <c r="J47" s="30"/>
      <c r="L47" s="27">
        <f t="shared" si="1"/>
        <v>0</v>
      </c>
    </row>
    <row r="48" spans="1:12" ht="15.75">
      <c r="A48" s="11">
        <f t="shared" si="0"/>
        <v>37</v>
      </c>
      <c r="B48" s="6" t="s">
        <v>31</v>
      </c>
      <c r="C48" s="9"/>
      <c r="D48" s="9"/>
      <c r="E48" s="9"/>
      <c r="F48" s="9"/>
      <c r="J48" s="30"/>
      <c r="L48" s="27">
        <f t="shared" si="1"/>
        <v>0</v>
      </c>
    </row>
    <row r="49" spans="1:12" ht="15.75">
      <c r="A49" s="11">
        <f t="shared" si="0"/>
        <v>38</v>
      </c>
      <c r="B49" s="6" t="s">
        <v>32</v>
      </c>
      <c r="C49" s="9"/>
      <c r="D49" s="9"/>
      <c r="E49" s="9"/>
      <c r="F49" s="9"/>
      <c r="J49" s="30"/>
      <c r="L49" s="27">
        <f t="shared" si="1"/>
        <v>0</v>
      </c>
    </row>
    <row r="50" spans="1:12" ht="15.75">
      <c r="A50" s="11">
        <f t="shared" si="0"/>
        <v>39</v>
      </c>
      <c r="B50" s="6" t="s">
        <v>20</v>
      </c>
      <c r="C50" s="9"/>
      <c r="D50" s="9"/>
      <c r="E50" s="9"/>
      <c r="F50" s="9"/>
      <c r="J50" s="30"/>
      <c r="K50" s="9"/>
      <c r="L50" s="27">
        <f t="shared" si="1"/>
        <v>0</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c r="D53" s="9"/>
      <c r="E53" s="9"/>
      <c r="F53" s="9"/>
      <c r="J53" s="30"/>
      <c r="L53" s="27">
        <f t="shared" si="1"/>
        <v>0</v>
      </c>
    </row>
    <row r="54" spans="1:12" ht="15.75">
      <c r="A54" s="11">
        <f t="shared" si="0"/>
        <v>43</v>
      </c>
      <c r="B54" s="23" t="s">
        <v>78</v>
      </c>
      <c r="C54" s="9"/>
      <c r="D54" s="9"/>
      <c r="E54" s="9"/>
      <c r="F54" s="9"/>
      <c r="J54" s="30"/>
      <c r="L54" s="27">
        <f t="shared" si="1"/>
        <v>0</v>
      </c>
    </row>
    <row r="55" spans="1:12" ht="15.75">
      <c r="A55" s="11">
        <f t="shared" si="0"/>
        <v>44</v>
      </c>
      <c r="B55" s="22" t="s">
        <v>39</v>
      </c>
      <c r="C55" s="9"/>
      <c r="D55" s="9"/>
      <c r="E55" s="9"/>
      <c r="F55" s="9"/>
      <c r="J55" s="30"/>
      <c r="L55" s="27">
        <f t="shared" si="1"/>
        <v>0</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D58" s="9"/>
      <c r="E58" s="9"/>
      <c r="F58" s="9"/>
      <c r="J58" s="30"/>
      <c r="L58" s="27">
        <f t="shared" si="1"/>
        <v>0</v>
      </c>
    </row>
    <row r="59" spans="1:12" ht="15.75">
      <c r="A59" s="11">
        <f t="shared" si="0"/>
        <v>48</v>
      </c>
      <c r="B59" s="6" t="s">
        <v>55</v>
      </c>
      <c r="D59" s="9"/>
      <c r="E59" s="9">
        <v>2000000</v>
      </c>
      <c r="F59" s="9"/>
      <c r="I59" s="9"/>
      <c r="J59" s="9"/>
      <c r="K59" s="9"/>
      <c r="L59" s="27">
        <f t="shared" si="1"/>
        <v>2000000</v>
      </c>
    </row>
    <row r="60" spans="1:12" ht="15.75">
      <c r="A60" s="11">
        <f>+A59+1</f>
        <v>49</v>
      </c>
      <c r="B60" s="6" t="s">
        <v>21</v>
      </c>
      <c r="C60" s="7">
        <f>SUM(C33:C59)</f>
        <v>50371346</v>
      </c>
      <c r="D60" s="7">
        <f aca="true" t="shared" si="3" ref="D60:K60">SUM(D33:D59)</f>
        <v>11710385</v>
      </c>
      <c r="E60" s="7">
        <f t="shared" si="3"/>
        <v>11822200</v>
      </c>
      <c r="F60" s="7">
        <f t="shared" si="3"/>
        <v>1428285</v>
      </c>
      <c r="G60" s="7">
        <f t="shared" si="3"/>
        <v>5100000</v>
      </c>
      <c r="H60" s="7">
        <f t="shared" si="3"/>
        <v>28000</v>
      </c>
      <c r="I60" s="7">
        <f t="shared" si="3"/>
        <v>2460788</v>
      </c>
      <c r="J60" s="7">
        <f t="shared" si="3"/>
        <v>0</v>
      </c>
      <c r="K60" s="7">
        <f t="shared" si="3"/>
        <v>0</v>
      </c>
      <c r="L60" s="28">
        <f>SUM(C60:K60)</f>
        <v>82921004</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v>1249943</v>
      </c>
      <c r="E63" s="9">
        <v>649633</v>
      </c>
      <c r="F63" s="12"/>
      <c r="G63" s="12"/>
      <c r="H63" s="12">
        <v>0</v>
      </c>
      <c r="I63" s="12"/>
      <c r="J63" s="12"/>
      <c r="K63" s="12"/>
      <c r="L63" s="27">
        <f t="shared" si="1"/>
        <v>1899576</v>
      </c>
    </row>
    <row r="64" spans="1:12" ht="15.75">
      <c r="A64" s="11">
        <f t="shared" si="0"/>
        <v>53</v>
      </c>
      <c r="B64" s="6" t="s">
        <v>50</v>
      </c>
      <c r="C64" s="9"/>
      <c r="D64" s="9"/>
      <c r="E64" s="9"/>
      <c r="F64" s="9"/>
      <c r="I64" s="9"/>
      <c r="J64" s="9"/>
      <c r="L64" s="27">
        <f t="shared" si="1"/>
        <v>0</v>
      </c>
    </row>
    <row r="65" spans="1:12" ht="15.75">
      <c r="A65" s="11">
        <f>+A64+1</f>
        <v>54</v>
      </c>
      <c r="B65" s="6" t="s">
        <v>26</v>
      </c>
      <c r="C65" s="9">
        <v>1480747</v>
      </c>
      <c r="D65" s="9"/>
      <c r="E65" s="9"/>
      <c r="F65" s="9"/>
      <c r="J65" s="30"/>
      <c r="L65" s="27">
        <f>SUM(C65:K65)</f>
        <v>1480747</v>
      </c>
    </row>
    <row r="66" spans="1:12" ht="16.5">
      <c r="A66" s="11">
        <f>+A65+1</f>
        <v>55</v>
      </c>
      <c r="B66" s="6" t="s">
        <v>77</v>
      </c>
      <c r="C66" s="9"/>
      <c r="D66" s="9"/>
      <c r="E66" s="9"/>
      <c r="F66" s="9"/>
      <c r="J66" s="30"/>
      <c r="L66" s="27">
        <f t="shared" si="1"/>
        <v>0</v>
      </c>
    </row>
    <row r="67" spans="1:12" ht="15.75">
      <c r="A67" s="11">
        <f t="shared" si="0"/>
        <v>56</v>
      </c>
      <c r="B67" s="6" t="s">
        <v>24</v>
      </c>
      <c r="C67" s="7">
        <f aca="true" t="shared" si="4" ref="C67:K67">SUM(C63:C66)</f>
        <v>1480747</v>
      </c>
      <c r="D67" s="7">
        <f t="shared" si="4"/>
        <v>1249943</v>
      </c>
      <c r="E67" s="7">
        <f t="shared" si="4"/>
        <v>649633</v>
      </c>
      <c r="F67" s="7">
        <f t="shared" si="4"/>
        <v>0</v>
      </c>
      <c r="G67" s="7">
        <f t="shared" si="4"/>
        <v>0</v>
      </c>
      <c r="H67" s="7">
        <f t="shared" si="4"/>
        <v>0</v>
      </c>
      <c r="I67" s="7">
        <f t="shared" si="4"/>
        <v>0</v>
      </c>
      <c r="J67" s="7">
        <f t="shared" si="4"/>
        <v>0</v>
      </c>
      <c r="K67" s="7">
        <f t="shared" si="4"/>
        <v>0</v>
      </c>
      <c r="L67" s="28">
        <f t="shared" si="1"/>
        <v>3380323</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3196228</v>
      </c>
      <c r="D69" s="13">
        <f t="shared" si="5"/>
        <v>6252131</v>
      </c>
      <c r="E69" s="13">
        <f t="shared" si="5"/>
        <v>10076667</v>
      </c>
      <c r="F69" s="13">
        <f t="shared" si="5"/>
        <v>378099</v>
      </c>
      <c r="G69" s="13">
        <f t="shared" si="5"/>
        <v>1216183</v>
      </c>
      <c r="H69" s="13">
        <f t="shared" si="5"/>
        <v>343580</v>
      </c>
      <c r="I69" s="13">
        <f t="shared" si="5"/>
        <v>24285</v>
      </c>
      <c r="J69" s="13">
        <f t="shared" si="5"/>
        <v>0</v>
      </c>
      <c r="K69" s="13">
        <f t="shared" si="5"/>
        <v>0</v>
      </c>
      <c r="L69" s="29">
        <f>SUM(C69:K69)</f>
        <v>21487173</v>
      </c>
      <c r="M69" s="21">
        <f>+L8+L30-L60-L67</f>
        <v>21487173</v>
      </c>
    </row>
    <row r="70" ht="16.5" thickTop="1">
      <c r="J70" s="30"/>
    </row>
    <row r="72" ht="15.75">
      <c r="C72" s="21"/>
    </row>
  </sheetData>
  <mergeCells count="4">
    <mergeCell ref="B1:L1"/>
    <mergeCell ref="B2:L2"/>
    <mergeCell ref="B3:L3"/>
    <mergeCell ref="F5:J5"/>
  </mergeCells>
  <printOptions horizontalCentered="1"/>
  <pageMargins left="0" right="0" top="0.48" bottom="0.52" header="0.25" footer="0.26"/>
  <pageSetup horizontalDpi="600" verticalDpi="600" orientation="landscape" scale="60" r:id="rId2"/>
  <drawing r:id="rId1"/>
</worksheet>
</file>

<file path=xl/worksheets/sheet16.xml><?xml version="1.0" encoding="utf-8"?>
<worksheet xmlns="http://schemas.openxmlformats.org/spreadsheetml/2006/main" xmlns:r="http://schemas.openxmlformats.org/officeDocument/2006/relationships">
  <dimension ref="A1:M72"/>
  <sheetViews>
    <sheetView zoomScale="70" zoomScaleNormal="70" workbookViewId="0" topLeftCell="A1">
      <selection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95</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795741</v>
      </c>
      <c r="D8" s="7">
        <v>371472</v>
      </c>
      <c r="E8" s="7">
        <v>1391726</v>
      </c>
      <c r="F8" s="7">
        <v>0</v>
      </c>
      <c r="G8" s="7">
        <v>54264</v>
      </c>
      <c r="H8" s="7">
        <v>152905</v>
      </c>
      <c r="I8" s="7">
        <v>0</v>
      </c>
      <c r="J8" s="7">
        <v>0</v>
      </c>
      <c r="K8" s="7">
        <v>0</v>
      </c>
      <c r="L8" s="7">
        <f>SUM(C8:K8)</f>
        <v>2766108</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36246</v>
      </c>
      <c r="D11" s="9"/>
      <c r="E11" s="31"/>
      <c r="F11" s="9"/>
      <c r="J11" s="30"/>
      <c r="L11" s="27">
        <f>SUM(C11:K11)</f>
        <v>36246</v>
      </c>
    </row>
    <row r="12" spans="1:12" ht="15.75">
      <c r="A12" s="11">
        <f t="shared" si="0"/>
        <v>5</v>
      </c>
      <c r="B12" s="6" t="s">
        <v>79</v>
      </c>
      <c r="C12" s="9">
        <v>11729347</v>
      </c>
      <c r="D12" s="9"/>
      <c r="E12" s="31"/>
      <c r="F12" s="9"/>
      <c r="J12" s="30"/>
      <c r="L12" s="27">
        <f aca="true" t="shared" si="1" ref="L12:L67">SUM(C12:K12)</f>
        <v>11729347</v>
      </c>
    </row>
    <row r="13" spans="1:12" ht="15.75">
      <c r="A13" s="11">
        <f t="shared" si="0"/>
        <v>6</v>
      </c>
      <c r="B13" s="6" t="s">
        <v>42</v>
      </c>
      <c r="C13" s="9"/>
      <c r="D13" s="9"/>
      <c r="E13" s="9"/>
      <c r="F13" s="9"/>
      <c r="J13" s="30"/>
      <c r="L13" s="27">
        <f t="shared" si="1"/>
        <v>0</v>
      </c>
    </row>
    <row r="14" spans="1:12" ht="15.75">
      <c r="A14" s="11">
        <f t="shared" si="0"/>
        <v>7</v>
      </c>
      <c r="B14" s="6" t="s">
        <v>8</v>
      </c>
      <c r="C14" s="9">
        <v>3600844</v>
      </c>
      <c r="D14" s="9"/>
      <c r="E14" s="9"/>
      <c r="F14" s="9"/>
      <c r="J14" s="30"/>
      <c r="L14" s="27">
        <f t="shared" si="1"/>
        <v>3600844</v>
      </c>
    </row>
    <row r="15" spans="1:12" ht="15.75">
      <c r="A15" s="11">
        <f t="shared" si="0"/>
        <v>8</v>
      </c>
      <c r="B15" s="6" t="s">
        <v>70</v>
      </c>
      <c r="C15" s="9"/>
      <c r="D15" s="9"/>
      <c r="E15" s="9"/>
      <c r="F15" s="9"/>
      <c r="J15" s="30"/>
      <c r="L15" s="27">
        <f t="shared" si="1"/>
        <v>0</v>
      </c>
    </row>
    <row r="16" spans="1:12" ht="15.75">
      <c r="A16" s="11">
        <f>+A15+1</f>
        <v>9</v>
      </c>
      <c r="B16" s="6" t="s">
        <v>43</v>
      </c>
      <c r="C16" s="9"/>
      <c r="D16" s="9">
        <v>404485</v>
      </c>
      <c r="E16" s="9"/>
      <c r="F16" s="9"/>
      <c r="G16" s="9"/>
      <c r="H16" s="9"/>
      <c r="I16" s="9"/>
      <c r="J16" s="9"/>
      <c r="K16" s="9"/>
      <c r="L16" s="27">
        <f t="shared" si="1"/>
        <v>404485</v>
      </c>
    </row>
    <row r="17" spans="1:12" ht="15.75">
      <c r="A17" s="11">
        <f t="shared" si="0"/>
        <v>10</v>
      </c>
      <c r="B17" s="6" t="s">
        <v>44</v>
      </c>
      <c r="C17" s="9"/>
      <c r="D17" s="9"/>
      <c r="E17" s="9"/>
      <c r="F17" s="9"/>
      <c r="G17" s="9"/>
      <c r="H17" s="9"/>
      <c r="I17" s="9"/>
      <c r="J17" s="9"/>
      <c r="K17" s="9"/>
      <c r="L17" s="27">
        <f t="shared" si="1"/>
        <v>0</v>
      </c>
    </row>
    <row r="18" spans="1:12" ht="15.75">
      <c r="A18" s="11">
        <f t="shared" si="0"/>
        <v>11</v>
      </c>
      <c r="B18" s="6" t="s">
        <v>45</v>
      </c>
      <c r="C18" s="9"/>
      <c r="D18" s="9"/>
      <c r="E18" s="9"/>
      <c r="F18" s="9"/>
      <c r="G18" s="9"/>
      <c r="H18" s="9"/>
      <c r="I18" s="9"/>
      <c r="J18" s="9"/>
      <c r="K18" s="9"/>
      <c r="L18" s="27">
        <f t="shared" si="1"/>
        <v>0</v>
      </c>
    </row>
    <row r="19" spans="1:12" ht="15.75">
      <c r="A19" s="11">
        <f t="shared" si="0"/>
        <v>12</v>
      </c>
      <c r="B19" s="6" t="s">
        <v>46</v>
      </c>
      <c r="C19" s="9"/>
      <c r="D19" s="9">
        <v>15000</v>
      </c>
      <c r="E19" s="9"/>
      <c r="F19" s="9"/>
      <c r="G19" s="9">
        <v>2485000</v>
      </c>
      <c r="H19" s="9"/>
      <c r="I19" s="9"/>
      <c r="J19" s="9"/>
      <c r="K19" s="9"/>
      <c r="L19" s="27">
        <f t="shared" si="1"/>
        <v>2500000</v>
      </c>
    </row>
    <row r="20" spans="1:12" ht="15.75">
      <c r="A20" s="11">
        <f t="shared" si="0"/>
        <v>13</v>
      </c>
      <c r="B20" s="6" t="s">
        <v>97</v>
      </c>
      <c r="C20" s="9"/>
      <c r="D20" s="9"/>
      <c r="E20" s="9"/>
      <c r="F20" s="9"/>
      <c r="J20" s="30"/>
      <c r="L20" s="27">
        <f t="shared" si="1"/>
        <v>0</v>
      </c>
    </row>
    <row r="21" spans="1:12" ht="15.75">
      <c r="A21" s="11">
        <f t="shared" si="0"/>
        <v>14</v>
      </c>
      <c r="B21" s="6" t="s">
        <v>47</v>
      </c>
      <c r="C21" s="9"/>
      <c r="D21" s="9"/>
      <c r="E21" s="9">
        <f>396574+104627</f>
        <v>501201</v>
      </c>
      <c r="F21" s="9"/>
      <c r="G21" s="9"/>
      <c r="H21" s="9">
        <v>130000</v>
      </c>
      <c r="I21" s="9"/>
      <c r="J21" s="9"/>
      <c r="K21" s="9"/>
      <c r="L21" s="27">
        <f t="shared" si="1"/>
        <v>631201</v>
      </c>
    </row>
    <row r="22" spans="1:12" ht="15.75">
      <c r="A22" s="11">
        <f t="shared" si="0"/>
        <v>15</v>
      </c>
      <c r="B22" s="6" t="s">
        <v>48</v>
      </c>
      <c r="C22" s="9"/>
      <c r="D22" s="9"/>
      <c r="E22" s="9"/>
      <c r="F22" s="9"/>
      <c r="I22" s="9"/>
      <c r="J22" s="30"/>
      <c r="L22" s="27">
        <f t="shared" si="1"/>
        <v>0</v>
      </c>
    </row>
    <row r="23" spans="1:12" ht="15.75">
      <c r="A23" s="11">
        <f t="shared" si="0"/>
        <v>16</v>
      </c>
      <c r="B23" s="6" t="s">
        <v>54</v>
      </c>
      <c r="C23" s="9"/>
      <c r="D23" s="9"/>
      <c r="E23" s="9"/>
      <c r="F23" s="9"/>
      <c r="J23" s="30"/>
      <c r="L23" s="27">
        <f t="shared" si="1"/>
        <v>0</v>
      </c>
    </row>
    <row r="24" spans="1:12" ht="15.75">
      <c r="A24" s="11">
        <f t="shared" si="0"/>
        <v>17</v>
      </c>
      <c r="B24" s="6" t="s">
        <v>51</v>
      </c>
      <c r="C24" s="9"/>
      <c r="D24" s="9"/>
      <c r="E24" s="9">
        <v>474648</v>
      </c>
      <c r="F24" s="9"/>
      <c r="G24" s="9">
        <v>190000</v>
      </c>
      <c r="H24" s="9">
        <v>326159</v>
      </c>
      <c r="I24" s="9"/>
      <c r="J24" s="9"/>
      <c r="K24" s="9"/>
      <c r="L24" s="27">
        <f t="shared" si="1"/>
        <v>990807</v>
      </c>
    </row>
    <row r="25" spans="1:12" ht="15.75">
      <c r="A25" s="11">
        <f t="shared" si="0"/>
        <v>18</v>
      </c>
      <c r="B25" s="6" t="s">
        <v>52</v>
      </c>
      <c r="C25" s="9"/>
      <c r="D25" s="9">
        <v>484831</v>
      </c>
      <c r="E25" s="9">
        <v>2604715</v>
      </c>
      <c r="F25" s="9"/>
      <c r="G25" s="9"/>
      <c r="H25" s="9">
        <v>10000</v>
      </c>
      <c r="I25" s="9"/>
      <c r="J25" s="9"/>
      <c r="K25" s="9"/>
      <c r="L25" s="27">
        <f t="shared" si="1"/>
        <v>3099546</v>
      </c>
    </row>
    <row r="26" spans="1:12" ht="15.75">
      <c r="A26" s="11">
        <f t="shared" si="0"/>
        <v>19</v>
      </c>
      <c r="B26" s="6" t="s">
        <v>53</v>
      </c>
      <c r="C26" s="9"/>
      <c r="D26" s="9"/>
      <c r="E26" s="9"/>
      <c r="F26" s="9"/>
      <c r="J26" s="30"/>
      <c r="L26" s="27">
        <f t="shared" si="1"/>
        <v>0</v>
      </c>
    </row>
    <row r="27" spans="1:12" ht="15.75">
      <c r="A27" s="11">
        <f t="shared" si="0"/>
        <v>20</v>
      </c>
      <c r="B27" s="6" t="s">
        <v>56</v>
      </c>
      <c r="C27" s="9"/>
      <c r="D27" s="9"/>
      <c r="E27" s="9"/>
      <c r="F27" s="9"/>
      <c r="H27" s="9">
        <v>0</v>
      </c>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c r="D29" s="9"/>
      <c r="E29" s="9">
        <f>20496+65596</f>
        <v>86092</v>
      </c>
      <c r="F29" s="9"/>
      <c r="G29" s="9"/>
      <c r="H29" s="9">
        <v>0</v>
      </c>
      <c r="I29" s="9"/>
      <c r="J29" s="9"/>
      <c r="K29" s="9"/>
      <c r="L29" s="27">
        <f>SUM(C29:K29)</f>
        <v>86092</v>
      </c>
    </row>
    <row r="30" spans="1:13" ht="15.75">
      <c r="A30" s="11">
        <f t="shared" si="0"/>
        <v>22</v>
      </c>
      <c r="B30" s="6" t="s">
        <v>10</v>
      </c>
      <c r="C30" s="7">
        <f>SUM(C11:C29)</f>
        <v>15366437</v>
      </c>
      <c r="D30" s="7">
        <f aca="true" t="shared" si="2" ref="D30:K30">SUM(D11:D29)</f>
        <v>904316</v>
      </c>
      <c r="E30" s="7">
        <f t="shared" si="2"/>
        <v>3666656</v>
      </c>
      <c r="F30" s="7">
        <f t="shared" si="2"/>
        <v>0</v>
      </c>
      <c r="G30" s="7">
        <f t="shared" si="2"/>
        <v>2675000</v>
      </c>
      <c r="H30" s="7">
        <f t="shared" si="2"/>
        <v>466159</v>
      </c>
      <c r="I30" s="7">
        <f t="shared" si="2"/>
        <v>0</v>
      </c>
      <c r="J30" s="7">
        <f>SUM(J11:J29)</f>
        <v>0</v>
      </c>
      <c r="K30" s="7">
        <f t="shared" si="2"/>
        <v>0</v>
      </c>
      <c r="L30" s="28">
        <f>SUM(C30:K30)</f>
        <v>23078568</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10896866</v>
      </c>
      <c r="D33" s="9">
        <v>540385</v>
      </c>
      <c r="E33" s="9">
        <v>666842</v>
      </c>
      <c r="F33" s="9"/>
      <c r="G33" s="9"/>
      <c r="H33" s="9"/>
      <c r="I33" s="9"/>
      <c r="J33" s="9"/>
      <c r="K33" s="9"/>
      <c r="L33" s="27">
        <f t="shared" si="1"/>
        <v>12104093</v>
      </c>
    </row>
    <row r="34" spans="1:12" ht="15.75">
      <c r="A34" s="11">
        <f t="shared" si="0"/>
        <v>26</v>
      </c>
      <c r="B34" s="6" t="s">
        <v>59</v>
      </c>
      <c r="C34" s="9">
        <v>565695</v>
      </c>
      <c r="D34" s="9"/>
      <c r="E34" s="9">
        <v>266004</v>
      </c>
      <c r="F34" s="9"/>
      <c r="G34" s="9"/>
      <c r="H34" s="9">
        <v>20431</v>
      </c>
      <c r="I34" s="9"/>
      <c r="J34" s="9"/>
      <c r="K34" s="9"/>
      <c r="L34" s="27">
        <f t="shared" si="1"/>
        <v>852130</v>
      </c>
    </row>
    <row r="35" spans="1:12" ht="15.75">
      <c r="A35" s="11">
        <f t="shared" si="0"/>
        <v>27</v>
      </c>
      <c r="B35" s="6" t="s">
        <v>14</v>
      </c>
      <c r="C35" s="9">
        <v>2906047</v>
      </c>
      <c r="D35" s="9">
        <v>406150</v>
      </c>
      <c r="E35" s="9">
        <v>1864448</v>
      </c>
      <c r="F35" s="9"/>
      <c r="G35" s="9"/>
      <c r="H35" s="9">
        <v>152898</v>
      </c>
      <c r="I35" s="9"/>
      <c r="J35" s="9"/>
      <c r="K35" s="9"/>
      <c r="L35" s="27">
        <f t="shared" si="1"/>
        <v>5329543</v>
      </c>
    </row>
    <row r="36" spans="1:12" ht="15.75">
      <c r="A36" s="11">
        <f t="shared" si="0"/>
        <v>28</v>
      </c>
      <c r="B36" s="6" t="s">
        <v>60</v>
      </c>
      <c r="C36" s="9"/>
      <c r="D36" s="9">
        <v>15335</v>
      </c>
      <c r="E36" s="9">
        <v>23000</v>
      </c>
      <c r="F36" s="9"/>
      <c r="G36" s="9"/>
      <c r="H36" s="9"/>
      <c r="I36" s="9"/>
      <c r="J36" s="9"/>
      <c r="K36" s="9"/>
      <c r="L36" s="27">
        <f t="shared" si="1"/>
        <v>38335</v>
      </c>
    </row>
    <row r="37" spans="1:12" ht="15.75">
      <c r="A37" s="11">
        <f t="shared" si="0"/>
        <v>29</v>
      </c>
      <c r="B37" s="6" t="s">
        <v>42</v>
      </c>
      <c r="C37" s="9"/>
      <c r="D37" s="9"/>
      <c r="E37" s="9"/>
      <c r="F37" s="9"/>
      <c r="J37" s="30"/>
      <c r="L37" s="27">
        <f t="shared" si="1"/>
        <v>0</v>
      </c>
    </row>
    <row r="38" spans="1:12" ht="15.75">
      <c r="A38" s="11">
        <f t="shared" si="0"/>
        <v>30</v>
      </c>
      <c r="B38" s="6" t="s">
        <v>16</v>
      </c>
      <c r="C38" s="9"/>
      <c r="D38" s="9"/>
      <c r="E38" s="9"/>
      <c r="F38" s="9"/>
      <c r="J38" s="30"/>
      <c r="L38" s="27">
        <f t="shared" si="1"/>
        <v>0</v>
      </c>
    </row>
    <row r="39" spans="1:12" ht="15.75" hidden="1">
      <c r="A39" s="11">
        <f t="shared" si="0"/>
        <v>31</v>
      </c>
      <c r="B39" s="6" t="s">
        <v>27</v>
      </c>
      <c r="C39" s="9"/>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c r="D41" s="9"/>
      <c r="E41" s="9"/>
      <c r="F41" s="9"/>
      <c r="J41" s="30"/>
      <c r="L41" s="27">
        <f t="shared" si="1"/>
        <v>0</v>
      </c>
    </row>
    <row r="42" spans="1:12" ht="15.75">
      <c r="A42" s="11">
        <f t="shared" si="0"/>
        <v>33</v>
      </c>
      <c r="B42" s="6" t="s">
        <v>17</v>
      </c>
      <c r="C42" s="9">
        <v>218726</v>
      </c>
      <c r="D42" s="9"/>
      <c r="E42" s="9"/>
      <c r="F42" s="9"/>
      <c r="J42" s="30"/>
      <c r="L42" s="27">
        <f t="shared" si="1"/>
        <v>218726</v>
      </c>
    </row>
    <row r="43" spans="1:12" ht="15.75">
      <c r="A43" s="11">
        <f t="shared" si="0"/>
        <v>34</v>
      </c>
      <c r="B43" s="6" t="s">
        <v>18</v>
      </c>
      <c r="C43" s="9"/>
      <c r="D43" s="9"/>
      <c r="E43" s="9"/>
      <c r="F43" s="9"/>
      <c r="G43" s="9"/>
      <c r="J43" s="30"/>
      <c r="L43" s="27">
        <f t="shared" si="1"/>
        <v>0</v>
      </c>
    </row>
    <row r="44" spans="2:12" ht="15.75" hidden="1">
      <c r="B44" s="6" t="s">
        <v>29</v>
      </c>
      <c r="C44" s="9">
        <v>0</v>
      </c>
      <c r="D44" s="9"/>
      <c r="E44" s="9"/>
      <c r="F44" s="9"/>
      <c r="G44" s="9"/>
      <c r="J44" s="30"/>
      <c r="L44" s="27">
        <f t="shared" si="1"/>
        <v>0</v>
      </c>
    </row>
    <row r="45" spans="2:12" ht="15.75" hidden="1">
      <c r="B45" s="6" t="s">
        <v>35</v>
      </c>
      <c r="C45" s="9">
        <v>0</v>
      </c>
      <c r="D45" s="9"/>
      <c r="E45" s="9"/>
      <c r="F45" s="9"/>
      <c r="G45" s="9"/>
      <c r="J45" s="30"/>
      <c r="L45" s="27">
        <f t="shared" si="1"/>
        <v>0</v>
      </c>
    </row>
    <row r="46" spans="1:12" ht="15.75">
      <c r="A46" s="11">
        <f>+A43+1</f>
        <v>35</v>
      </c>
      <c r="B46" s="6" t="s">
        <v>19</v>
      </c>
      <c r="C46" s="9">
        <v>311103</v>
      </c>
      <c r="D46" s="9"/>
      <c r="E46" s="9"/>
      <c r="F46" s="9"/>
      <c r="G46" s="9">
        <v>710000</v>
      </c>
      <c r="J46" s="30"/>
      <c r="L46" s="27">
        <f t="shared" si="1"/>
        <v>1021103</v>
      </c>
    </row>
    <row r="47" spans="1:12" ht="15.75">
      <c r="A47" s="11">
        <f t="shared" si="0"/>
        <v>36</v>
      </c>
      <c r="B47" s="6" t="s">
        <v>30</v>
      </c>
      <c r="C47" s="9"/>
      <c r="D47" s="9"/>
      <c r="E47" s="9"/>
      <c r="F47" s="9"/>
      <c r="G47" s="9"/>
      <c r="J47" s="30"/>
      <c r="L47" s="27">
        <f t="shared" si="1"/>
        <v>0</v>
      </c>
    </row>
    <row r="48" spans="1:12" ht="15.75">
      <c r="A48" s="11">
        <f t="shared" si="0"/>
        <v>37</v>
      </c>
      <c r="B48" s="6" t="s">
        <v>31</v>
      </c>
      <c r="C48" s="9">
        <v>468000</v>
      </c>
      <c r="D48" s="9"/>
      <c r="E48" s="9"/>
      <c r="F48" s="9"/>
      <c r="G48" s="9">
        <v>1965000</v>
      </c>
      <c r="J48" s="30"/>
      <c r="L48" s="27">
        <f t="shared" si="1"/>
        <v>2433000</v>
      </c>
    </row>
    <row r="49" spans="1:12" ht="15.75">
      <c r="A49" s="11">
        <f t="shared" si="0"/>
        <v>38</v>
      </c>
      <c r="B49" s="6" t="s">
        <v>32</v>
      </c>
      <c r="C49" s="9"/>
      <c r="D49" s="9"/>
      <c r="E49" s="9"/>
      <c r="F49" s="9"/>
      <c r="G49" s="9"/>
      <c r="J49" s="30"/>
      <c r="L49" s="27">
        <f t="shared" si="1"/>
        <v>0</v>
      </c>
    </row>
    <row r="50" spans="1:12" ht="15.75">
      <c r="A50" s="11">
        <f t="shared" si="0"/>
        <v>39</v>
      </c>
      <c r="B50" s="6" t="s">
        <v>20</v>
      </c>
      <c r="C50" s="9"/>
      <c r="D50" s="9"/>
      <c r="E50" s="9"/>
      <c r="F50" s="9"/>
      <c r="J50" s="30"/>
      <c r="K50" s="9"/>
      <c r="L50" s="27">
        <f t="shared" si="1"/>
        <v>0</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c r="D53" s="9"/>
      <c r="E53" s="9"/>
      <c r="F53" s="9"/>
      <c r="J53" s="30"/>
      <c r="L53" s="27">
        <f t="shared" si="1"/>
        <v>0</v>
      </c>
    </row>
    <row r="54" spans="1:12" ht="15.75">
      <c r="A54" s="11">
        <f t="shared" si="0"/>
        <v>43</v>
      </c>
      <c r="B54" s="23" t="s">
        <v>78</v>
      </c>
      <c r="C54" s="9"/>
      <c r="D54" s="9"/>
      <c r="E54" s="9"/>
      <c r="F54" s="9"/>
      <c r="J54" s="30"/>
      <c r="L54" s="27">
        <f t="shared" si="1"/>
        <v>0</v>
      </c>
    </row>
    <row r="55" spans="1:12" ht="15.75">
      <c r="A55" s="11">
        <f t="shared" si="0"/>
        <v>44</v>
      </c>
      <c r="B55" s="22" t="s">
        <v>39</v>
      </c>
      <c r="C55" s="9"/>
      <c r="D55" s="9"/>
      <c r="E55" s="9"/>
      <c r="F55" s="9"/>
      <c r="J55" s="30"/>
      <c r="L55" s="27">
        <f t="shared" si="1"/>
        <v>0</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D58" s="9"/>
      <c r="E58" s="9"/>
      <c r="F58" s="9"/>
      <c r="J58" s="30"/>
      <c r="L58" s="27">
        <f t="shared" si="1"/>
        <v>0</v>
      </c>
    </row>
    <row r="59" spans="1:12" ht="15.75">
      <c r="A59" s="11">
        <f t="shared" si="0"/>
        <v>48</v>
      </c>
      <c r="B59" s="6" t="s">
        <v>55</v>
      </c>
      <c r="D59" s="9"/>
      <c r="E59" s="9">
        <v>335000</v>
      </c>
      <c r="F59" s="9"/>
      <c r="I59" s="9"/>
      <c r="J59" s="9"/>
      <c r="K59" s="9"/>
      <c r="L59" s="27">
        <f t="shared" si="1"/>
        <v>335000</v>
      </c>
    </row>
    <row r="60" spans="1:12" ht="15.75">
      <c r="A60" s="11">
        <f>+A59+1</f>
        <v>49</v>
      </c>
      <c r="B60" s="6" t="s">
        <v>21</v>
      </c>
      <c r="C60" s="7">
        <f>SUM(C33:C59)</f>
        <v>15366437</v>
      </c>
      <c r="D60" s="7">
        <f aca="true" t="shared" si="3" ref="D60:K60">SUM(D33:D59)</f>
        <v>961870</v>
      </c>
      <c r="E60" s="7">
        <f t="shared" si="3"/>
        <v>3155294</v>
      </c>
      <c r="F60" s="7">
        <f t="shared" si="3"/>
        <v>0</v>
      </c>
      <c r="G60" s="7">
        <f t="shared" si="3"/>
        <v>2675000</v>
      </c>
      <c r="H60" s="7">
        <f t="shared" si="3"/>
        <v>173329</v>
      </c>
      <c r="I60" s="7">
        <f t="shared" si="3"/>
        <v>0</v>
      </c>
      <c r="J60" s="7">
        <f t="shared" si="3"/>
        <v>0</v>
      </c>
      <c r="K60" s="7">
        <f t="shared" si="3"/>
        <v>0</v>
      </c>
      <c r="L60" s="28">
        <f>SUM(C60:K60)</f>
        <v>22331930</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9"/>
      <c r="E63" s="9">
        <v>387574</v>
      </c>
      <c r="F63" s="12"/>
      <c r="G63" s="12"/>
      <c r="H63" s="12"/>
      <c r="I63" s="12"/>
      <c r="J63" s="12"/>
      <c r="K63" s="12"/>
      <c r="L63" s="27">
        <f t="shared" si="1"/>
        <v>387574</v>
      </c>
    </row>
    <row r="64" spans="1:12" ht="15.75">
      <c r="A64" s="11">
        <f t="shared" si="0"/>
        <v>53</v>
      </c>
      <c r="B64" s="6" t="s">
        <v>50</v>
      </c>
      <c r="C64" s="9"/>
      <c r="D64" s="9"/>
      <c r="E64" s="9"/>
      <c r="F64" s="9"/>
      <c r="I64" s="9"/>
      <c r="J64" s="9"/>
      <c r="L64" s="27">
        <f t="shared" si="1"/>
        <v>0</v>
      </c>
    </row>
    <row r="65" spans="1:12" ht="15.75">
      <c r="A65" s="11">
        <f>+A64+1</f>
        <v>54</v>
      </c>
      <c r="B65" s="6" t="s">
        <v>26</v>
      </c>
      <c r="C65" s="9"/>
      <c r="D65" s="9"/>
      <c r="E65" s="9"/>
      <c r="F65" s="9"/>
      <c r="J65" s="30"/>
      <c r="L65" s="27">
        <f>SUM(C65:K65)</f>
        <v>0</v>
      </c>
    </row>
    <row r="66" spans="1:12" ht="16.5">
      <c r="A66" s="11">
        <f>+A65+1</f>
        <v>55</v>
      </c>
      <c r="B66" s="6" t="s">
        <v>77</v>
      </c>
      <c r="C66" s="9"/>
      <c r="D66" s="9"/>
      <c r="E66" s="9"/>
      <c r="F66" s="9"/>
      <c r="J66" s="30"/>
      <c r="L66" s="27">
        <f t="shared" si="1"/>
        <v>0</v>
      </c>
    </row>
    <row r="67" spans="1:12" ht="15.75">
      <c r="A67" s="11">
        <f t="shared" si="0"/>
        <v>56</v>
      </c>
      <c r="B67" s="6" t="s">
        <v>24</v>
      </c>
      <c r="C67" s="7">
        <f aca="true" t="shared" si="4" ref="C67:K67">SUM(C63:C66)</f>
        <v>0</v>
      </c>
      <c r="D67" s="7">
        <f t="shared" si="4"/>
        <v>0</v>
      </c>
      <c r="E67" s="7">
        <f t="shared" si="4"/>
        <v>387574</v>
      </c>
      <c r="F67" s="7">
        <f t="shared" si="4"/>
        <v>0</v>
      </c>
      <c r="G67" s="7">
        <f t="shared" si="4"/>
        <v>0</v>
      </c>
      <c r="H67" s="7">
        <f t="shared" si="4"/>
        <v>0</v>
      </c>
      <c r="I67" s="7">
        <f t="shared" si="4"/>
        <v>0</v>
      </c>
      <c r="J67" s="7">
        <f t="shared" si="4"/>
        <v>0</v>
      </c>
      <c r="K67" s="7">
        <f t="shared" si="4"/>
        <v>0</v>
      </c>
      <c r="L67" s="28">
        <f t="shared" si="1"/>
        <v>387574</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795741</v>
      </c>
      <c r="D69" s="13">
        <f t="shared" si="5"/>
        <v>313918</v>
      </c>
      <c r="E69" s="13">
        <f t="shared" si="5"/>
        <v>1515514</v>
      </c>
      <c r="F69" s="13">
        <f t="shared" si="5"/>
        <v>0</v>
      </c>
      <c r="G69" s="13">
        <f t="shared" si="5"/>
        <v>54264</v>
      </c>
      <c r="H69" s="13">
        <f t="shared" si="5"/>
        <v>445735</v>
      </c>
      <c r="I69" s="13">
        <f t="shared" si="5"/>
        <v>0</v>
      </c>
      <c r="J69" s="13">
        <f t="shared" si="5"/>
        <v>0</v>
      </c>
      <c r="K69" s="13">
        <f t="shared" si="5"/>
        <v>0</v>
      </c>
      <c r="L69" s="29">
        <f>SUM(C69:K69)</f>
        <v>3125172</v>
      </c>
      <c r="M69" s="21">
        <f>+L8+L30-L60-L67</f>
        <v>3125172</v>
      </c>
    </row>
    <row r="70" ht="16.5" thickTop="1">
      <c r="J70" s="30"/>
    </row>
    <row r="72" ht="15.75">
      <c r="C72" s="21"/>
    </row>
  </sheetData>
  <mergeCells count="4">
    <mergeCell ref="B1:L1"/>
    <mergeCell ref="B2:L2"/>
    <mergeCell ref="B3:L3"/>
    <mergeCell ref="F5:J5"/>
  </mergeCells>
  <printOptions horizontalCentered="1"/>
  <pageMargins left="0" right="0" top="0.57" bottom="0.49" header="0.34" footer="0.19"/>
  <pageSetup horizontalDpi="600" verticalDpi="600" orientation="landscape" scale="60" r:id="rId2"/>
  <drawing r:id="rId1"/>
</worksheet>
</file>

<file path=xl/worksheets/sheet17.xml><?xml version="1.0" encoding="utf-8"?>
<worksheet xmlns="http://schemas.openxmlformats.org/spreadsheetml/2006/main" xmlns:r="http://schemas.openxmlformats.org/officeDocument/2006/relationships">
  <dimension ref="A1:D52"/>
  <sheetViews>
    <sheetView workbookViewId="0" topLeftCell="A28">
      <selection activeCell="A1" sqref="A1:C1"/>
    </sheetView>
  </sheetViews>
  <sheetFormatPr defaultColWidth="8.88671875" defaultRowHeight="15"/>
  <cols>
    <col min="2" max="2" width="27.4453125" style="0" customWidth="1"/>
    <col min="3" max="3" width="12.6640625" style="0" bestFit="1" customWidth="1"/>
  </cols>
  <sheetData>
    <row r="1" spans="1:3" ht="15.75">
      <c r="A1" s="54" t="s">
        <v>0</v>
      </c>
      <c r="B1" s="54"/>
      <c r="C1" s="54"/>
    </row>
    <row r="2" spans="1:3" ht="15.75">
      <c r="A2" s="54" t="s">
        <v>1</v>
      </c>
      <c r="B2" s="54"/>
      <c r="C2" s="54"/>
    </row>
    <row r="3" spans="1:3" ht="15.75">
      <c r="A3" s="54" t="s">
        <v>2</v>
      </c>
      <c r="B3" s="54"/>
      <c r="C3" s="54"/>
    </row>
    <row r="4" spans="1:3" ht="15">
      <c r="A4" s="55" t="s">
        <v>72</v>
      </c>
      <c r="B4" s="55"/>
      <c r="C4" s="55"/>
    </row>
    <row r="5" spans="1:3" ht="15">
      <c r="A5" s="2"/>
      <c r="B5" s="2"/>
      <c r="C5" s="3" t="s">
        <v>3</v>
      </c>
    </row>
    <row r="6" spans="1:3" ht="15">
      <c r="A6" s="47" t="s">
        <v>98</v>
      </c>
      <c r="B6" s="4"/>
      <c r="C6" s="1" t="s">
        <v>84</v>
      </c>
    </row>
    <row r="7" spans="1:3" ht="15">
      <c r="A7" s="2"/>
      <c r="B7" s="2"/>
      <c r="C7" s="5"/>
    </row>
    <row r="8" spans="1:3" ht="15">
      <c r="A8" s="2"/>
      <c r="B8" s="6" t="s">
        <v>4</v>
      </c>
      <c r="C8" s="7">
        <f>147430+873107+592049+1775468+3130468+1319481</f>
        <v>7838003</v>
      </c>
    </row>
    <row r="9" spans="1:3" ht="15">
      <c r="A9" s="2"/>
      <c r="B9" s="2"/>
      <c r="C9" s="5"/>
    </row>
    <row r="10" spans="1:3" ht="15">
      <c r="A10" s="2"/>
      <c r="B10" s="8" t="s">
        <v>5</v>
      </c>
      <c r="C10" s="9"/>
    </row>
    <row r="11" spans="1:3" ht="15">
      <c r="A11" s="2"/>
      <c r="B11" s="2" t="s">
        <v>71</v>
      </c>
      <c r="C11" s="10">
        <v>300</v>
      </c>
    </row>
    <row r="12" spans="1:3" ht="15">
      <c r="A12" s="2"/>
      <c r="B12" s="2" t="s">
        <v>47</v>
      </c>
      <c r="C12" s="10">
        <v>500000</v>
      </c>
    </row>
    <row r="13" spans="1:3" ht="15">
      <c r="A13" s="2"/>
      <c r="B13" s="2" t="s">
        <v>48</v>
      </c>
      <c r="C13" s="10">
        <f>550000+375000+2000+395940+950000+2000000+200000+50000+20000+500+50000+1460000+2190000+31000</f>
        <v>8274440</v>
      </c>
    </row>
    <row r="14" spans="1:3" ht="15">
      <c r="A14" s="2"/>
      <c r="B14" s="2" t="s">
        <v>9</v>
      </c>
      <c r="C14" s="10">
        <f>9000+29000+12735+57000+100000+30000+50000+3700000</f>
        <v>3987735</v>
      </c>
    </row>
    <row r="15" spans="1:3" ht="15">
      <c r="A15" s="2"/>
      <c r="B15" s="2" t="s">
        <v>53</v>
      </c>
      <c r="C15" s="10">
        <f>12000+35000</f>
        <v>47000</v>
      </c>
    </row>
    <row r="16" spans="1:3" ht="15">
      <c r="A16" s="2"/>
      <c r="B16" s="2" t="s">
        <v>43</v>
      </c>
      <c r="C16" s="10">
        <f>3471400+4038465</f>
        <v>7509865</v>
      </c>
    </row>
    <row r="17" spans="1:3" ht="15">
      <c r="A17" s="2"/>
      <c r="B17" s="6" t="s">
        <v>10</v>
      </c>
      <c r="C17" s="7">
        <f>SUM(C11:C16)</f>
        <v>20319340</v>
      </c>
    </row>
    <row r="18" spans="1:4" ht="15">
      <c r="A18" s="2"/>
      <c r="B18" s="6"/>
      <c r="C18" s="39">
        <f>3480400+968000+4051200+1438240+2900500+7481000</f>
        <v>20319340</v>
      </c>
      <c r="D18" s="38" t="s">
        <v>102</v>
      </c>
    </row>
    <row r="19" spans="1:3" ht="15">
      <c r="A19" s="2"/>
      <c r="B19" s="4" t="s">
        <v>11</v>
      </c>
      <c r="C19" s="5"/>
    </row>
    <row r="20" spans="1:3" ht="15">
      <c r="A20" s="2"/>
      <c r="B20" s="2" t="s">
        <v>12</v>
      </c>
      <c r="C20" s="10">
        <v>0</v>
      </c>
    </row>
    <row r="21" spans="1:3" ht="15">
      <c r="A21" s="2"/>
      <c r="B21" s="2" t="s">
        <v>13</v>
      </c>
      <c r="C21" s="10">
        <v>0</v>
      </c>
    </row>
    <row r="22" spans="1:3" ht="15">
      <c r="A22" s="2"/>
      <c r="B22" s="2" t="s">
        <v>14</v>
      </c>
      <c r="C22" s="10">
        <v>0</v>
      </c>
    </row>
    <row r="23" spans="1:3" ht="15">
      <c r="A23" s="2"/>
      <c r="B23" s="2" t="s">
        <v>15</v>
      </c>
      <c r="C23" s="10">
        <v>0</v>
      </c>
    </row>
    <row r="24" spans="1:3" ht="15">
      <c r="A24" s="2"/>
      <c r="B24" s="2" t="s">
        <v>16</v>
      </c>
      <c r="C24" s="10">
        <v>0</v>
      </c>
    </row>
    <row r="25" spans="1:3" ht="15">
      <c r="A25" s="2"/>
      <c r="B25" s="2" t="s">
        <v>27</v>
      </c>
      <c r="C25" s="10">
        <v>0</v>
      </c>
    </row>
    <row r="26" spans="1:3" ht="15">
      <c r="A26" s="2"/>
      <c r="B26" s="2" t="s">
        <v>28</v>
      </c>
      <c r="C26" s="10">
        <v>0</v>
      </c>
    </row>
    <row r="27" spans="1:3" ht="15">
      <c r="A27" s="2"/>
      <c r="B27" s="2" t="s">
        <v>34</v>
      </c>
      <c r="C27" s="10">
        <v>0</v>
      </c>
    </row>
    <row r="28" spans="1:3" ht="15">
      <c r="A28" s="2"/>
      <c r="B28" s="2" t="s">
        <v>17</v>
      </c>
      <c r="C28" s="10">
        <v>0</v>
      </c>
    </row>
    <row r="29" spans="1:3" ht="15">
      <c r="A29" s="2"/>
      <c r="B29" s="2" t="s">
        <v>18</v>
      </c>
      <c r="C29" s="10">
        <v>0</v>
      </c>
    </row>
    <row r="30" spans="1:3" ht="15">
      <c r="A30" s="2"/>
      <c r="B30" s="2" t="s">
        <v>29</v>
      </c>
      <c r="C30" s="10">
        <v>0</v>
      </c>
    </row>
    <row r="31" spans="1:3" ht="15">
      <c r="A31" s="2"/>
      <c r="B31" s="2" t="s">
        <v>35</v>
      </c>
      <c r="C31" s="10">
        <v>0</v>
      </c>
    </row>
    <row r="32" spans="1:3" ht="15">
      <c r="A32" s="2"/>
      <c r="B32" s="2" t="s">
        <v>19</v>
      </c>
      <c r="C32" s="10">
        <v>0</v>
      </c>
    </row>
    <row r="33" spans="1:3" ht="15">
      <c r="A33" s="2"/>
      <c r="B33" s="2" t="s">
        <v>30</v>
      </c>
      <c r="C33" s="10">
        <v>0</v>
      </c>
    </row>
    <row r="34" spans="1:3" ht="15">
      <c r="A34" s="2"/>
      <c r="B34" s="2" t="s">
        <v>31</v>
      </c>
      <c r="C34" s="10">
        <v>0</v>
      </c>
    </row>
    <row r="35" spans="1:3" ht="15">
      <c r="A35" s="2"/>
      <c r="B35" s="2" t="s">
        <v>32</v>
      </c>
      <c r="C35" s="10">
        <v>0</v>
      </c>
    </row>
    <row r="36" spans="1:3" ht="15">
      <c r="A36" s="2"/>
      <c r="B36" s="2" t="s">
        <v>20</v>
      </c>
      <c r="C36" s="10">
        <v>0</v>
      </c>
    </row>
    <row r="37" spans="1:3" ht="15">
      <c r="A37" s="2"/>
      <c r="B37" s="11" t="s">
        <v>33</v>
      </c>
      <c r="C37" s="10">
        <v>0</v>
      </c>
    </row>
    <row r="38" spans="1:3" ht="15">
      <c r="A38" s="2"/>
      <c r="B38" s="11" t="s">
        <v>36</v>
      </c>
      <c r="C38" s="10">
        <v>0</v>
      </c>
    </row>
    <row r="39" spans="1:3" ht="15">
      <c r="A39" s="2"/>
      <c r="B39" s="11" t="s">
        <v>37</v>
      </c>
      <c r="C39" s="10">
        <v>0</v>
      </c>
    </row>
    <row r="40" spans="1:3" ht="15">
      <c r="A40" s="2"/>
      <c r="B40" s="11" t="s">
        <v>38</v>
      </c>
      <c r="C40" s="10">
        <v>0</v>
      </c>
    </row>
    <row r="41" spans="1:3" ht="15">
      <c r="A41" s="2"/>
      <c r="B41" s="11" t="s">
        <v>103</v>
      </c>
      <c r="C41" s="10">
        <f>3627778+1300000+4102975+1400000+6020000+8800000</f>
        <v>25250753</v>
      </c>
    </row>
    <row r="42" spans="1:3" ht="15">
      <c r="A42" s="2"/>
      <c r="B42" s="6" t="s">
        <v>21</v>
      </c>
      <c r="C42" s="7">
        <f>SUM(C20:C41)</f>
        <v>25250753</v>
      </c>
    </row>
    <row r="43" spans="1:3" ht="15">
      <c r="A43" s="2"/>
      <c r="B43" s="6"/>
      <c r="C43" s="9"/>
    </row>
    <row r="44" spans="1:3" ht="15">
      <c r="A44" s="2"/>
      <c r="B44" s="4" t="s">
        <v>22</v>
      </c>
      <c r="C44" s="12"/>
    </row>
    <row r="45" spans="1:3" ht="15">
      <c r="A45" s="6"/>
      <c r="B45" s="2" t="s">
        <v>23</v>
      </c>
      <c r="C45" s="5">
        <v>0</v>
      </c>
    </row>
    <row r="46" spans="1:3" ht="15">
      <c r="A46" s="6"/>
      <c r="B46" s="2" t="s">
        <v>26</v>
      </c>
      <c r="C46" s="10">
        <v>0</v>
      </c>
    </row>
    <row r="47" spans="1:3" ht="15">
      <c r="A47" s="2"/>
      <c r="B47" s="2" t="s">
        <v>9</v>
      </c>
      <c r="C47" s="10">
        <v>0</v>
      </c>
    </row>
    <row r="48" spans="1:3" ht="15">
      <c r="A48" s="2"/>
      <c r="B48" s="6" t="s">
        <v>24</v>
      </c>
      <c r="C48" s="7">
        <f>SUM(C45:C47)</f>
        <v>0</v>
      </c>
    </row>
    <row r="49" spans="1:3" ht="15">
      <c r="A49" s="2"/>
      <c r="B49" s="2"/>
      <c r="C49" s="5"/>
    </row>
    <row r="50" spans="1:3" ht="15.75" thickBot="1">
      <c r="A50" s="2"/>
      <c r="B50" s="6" t="s">
        <v>25</v>
      </c>
      <c r="C50" s="13">
        <f>+C8+C17-C42-C48</f>
        <v>2906590</v>
      </c>
    </row>
    <row r="51" spans="1:4" ht="15.75" thickTop="1">
      <c r="A51" s="11"/>
      <c r="B51" s="11"/>
      <c r="C51" s="39">
        <f>52+541107+540274+1813708+10968+481</f>
        <v>2906590</v>
      </c>
      <c r="D51" s="38" t="s">
        <v>102</v>
      </c>
    </row>
    <row r="52" spans="1:3" ht="15">
      <c r="A52" s="11"/>
      <c r="B52" s="11"/>
      <c r="C52" s="11"/>
    </row>
  </sheetData>
  <mergeCells count="4">
    <mergeCell ref="A1:C1"/>
    <mergeCell ref="A2:C2"/>
    <mergeCell ref="A3:C3"/>
    <mergeCell ref="A4:C4"/>
  </mergeCells>
  <printOptions horizontalCentered="1"/>
  <pageMargins left="0.25" right="0.25" top="0.75" bottom="0.5" header="0.5" footer="0.25"/>
  <pageSetup horizontalDpi="600" verticalDpi="600" orientation="portrait" scale="85" r:id="rId1"/>
  <headerFooter alignWithMargins="0">
    <oddFooter>&amp;R&amp;8Prepared by Office of Planning, Budgeting and Policy Analysis, SUS,  &amp;F  &amp;D</oddFooter>
  </headerFooter>
</worksheet>
</file>

<file path=xl/worksheets/sheet2.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85</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8">
      <c r="A5" s="11"/>
      <c r="B5" s="19"/>
      <c r="C5" s="15" t="s">
        <v>66</v>
      </c>
      <c r="D5" s="15" t="s">
        <v>68</v>
      </c>
      <c r="E5" s="15"/>
      <c r="F5" s="52" t="s">
        <v>65</v>
      </c>
      <c r="G5" s="53"/>
      <c r="H5" s="53"/>
      <c r="I5" s="53"/>
      <c r="J5" s="53"/>
      <c r="K5" s="15" t="s">
        <v>74</v>
      </c>
      <c r="L5" s="25"/>
    </row>
    <row r="6" spans="1:12" s="20" customFormat="1" ht="18">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42947726</v>
      </c>
      <c r="D8" s="7">
        <v>204600615</v>
      </c>
      <c r="E8" s="7">
        <v>84429734</v>
      </c>
      <c r="F8" s="7">
        <v>5284429</v>
      </c>
      <c r="G8" s="7">
        <v>11038447</v>
      </c>
      <c r="H8" s="7">
        <v>257248</v>
      </c>
      <c r="I8" s="7">
        <v>18025200</v>
      </c>
      <c r="J8" s="7">
        <v>81414236</v>
      </c>
      <c r="K8" s="7">
        <f>1617662+2857177+63983854+21386703+3206953+1075630+2827042</f>
        <v>96955021</v>
      </c>
      <c r="L8" s="7">
        <f>SUM(C8:K8)</f>
        <v>544952656</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21998123</v>
      </c>
      <c r="D11" s="9"/>
      <c r="E11" s="31"/>
      <c r="F11" s="9"/>
      <c r="J11" s="33"/>
      <c r="K11" s="32"/>
      <c r="L11" s="27">
        <f>SUM(C11:K11)</f>
        <v>21998123</v>
      </c>
    </row>
    <row r="12" spans="1:12" ht="15.75">
      <c r="A12" s="11">
        <f t="shared" si="0"/>
        <v>5</v>
      </c>
      <c r="B12" s="6" t="s">
        <v>79</v>
      </c>
      <c r="C12" s="9">
        <v>328112211</v>
      </c>
      <c r="D12" s="9"/>
      <c r="E12" s="31"/>
      <c r="F12" s="9"/>
      <c r="J12" s="33"/>
      <c r="K12" s="32"/>
      <c r="L12" s="27">
        <f aca="true" t="shared" si="1" ref="L12:L67">SUM(C12:K12)</f>
        <v>328112211</v>
      </c>
    </row>
    <row r="13" spans="1:12" ht="15.75">
      <c r="A13" s="11">
        <f t="shared" si="0"/>
        <v>6</v>
      </c>
      <c r="B13" s="6" t="s">
        <v>42</v>
      </c>
      <c r="C13" s="9"/>
      <c r="D13" s="9"/>
      <c r="E13" s="31"/>
      <c r="F13" s="9"/>
      <c r="J13" s="33"/>
      <c r="K13" s="32"/>
      <c r="L13" s="27">
        <f t="shared" si="1"/>
        <v>0</v>
      </c>
    </row>
    <row r="14" spans="1:12" ht="15.75">
      <c r="A14" s="11">
        <f t="shared" si="0"/>
        <v>7</v>
      </c>
      <c r="B14" s="6" t="s">
        <v>8</v>
      </c>
      <c r="C14" s="9">
        <v>145616152</v>
      </c>
      <c r="D14" s="9"/>
      <c r="E14" s="31"/>
      <c r="F14" s="9"/>
      <c r="J14" s="31"/>
      <c r="K14" s="32"/>
      <c r="L14" s="27">
        <f t="shared" si="1"/>
        <v>145616152</v>
      </c>
    </row>
    <row r="15" spans="1:12" ht="15.75">
      <c r="A15" s="11">
        <f t="shared" si="0"/>
        <v>8</v>
      </c>
      <c r="B15" s="6" t="s">
        <v>70</v>
      </c>
      <c r="C15" s="9"/>
      <c r="D15" s="9"/>
      <c r="E15" s="31"/>
      <c r="F15" s="9"/>
      <c r="J15" s="33"/>
      <c r="K15" s="32"/>
      <c r="L15" s="27">
        <f t="shared" si="1"/>
        <v>0</v>
      </c>
    </row>
    <row r="16" spans="1:12" ht="15.75">
      <c r="A16" s="11">
        <f>+A15+1</f>
        <v>9</v>
      </c>
      <c r="B16" s="6" t="s">
        <v>43</v>
      </c>
      <c r="C16" s="9"/>
      <c r="D16" s="9">
        <v>250522423</v>
      </c>
      <c r="E16" s="31"/>
      <c r="F16" s="9"/>
      <c r="G16" s="9">
        <v>174825000</v>
      </c>
      <c r="H16" s="9"/>
      <c r="I16" s="9"/>
      <c r="J16" s="31"/>
      <c r="K16" s="31"/>
      <c r="L16" s="27">
        <f t="shared" si="1"/>
        <v>425347423</v>
      </c>
    </row>
    <row r="17" spans="1:12" ht="15.75">
      <c r="A17" s="11">
        <f t="shared" si="0"/>
        <v>10</v>
      </c>
      <c r="B17" s="6" t="s">
        <v>44</v>
      </c>
      <c r="C17" s="9"/>
      <c r="D17" s="9"/>
      <c r="E17" s="31"/>
      <c r="F17" s="9"/>
      <c r="G17" s="9"/>
      <c r="H17" s="9"/>
      <c r="I17" s="9"/>
      <c r="J17" s="31"/>
      <c r="K17" s="31"/>
      <c r="L17" s="27">
        <f t="shared" si="1"/>
        <v>0</v>
      </c>
    </row>
    <row r="18" spans="1:12" ht="15.75">
      <c r="A18" s="11">
        <f t="shared" si="0"/>
        <v>11</v>
      </c>
      <c r="B18" s="6" t="s">
        <v>45</v>
      </c>
      <c r="C18" s="9"/>
      <c r="D18" s="9">
        <v>44795103</v>
      </c>
      <c r="E18" s="9">
        <v>2500</v>
      </c>
      <c r="F18" s="9"/>
      <c r="G18" s="9">
        <v>67850000</v>
      </c>
      <c r="H18" s="9"/>
      <c r="I18" s="9"/>
      <c r="J18" s="31"/>
      <c r="K18" s="31"/>
      <c r="L18" s="27">
        <f t="shared" si="1"/>
        <v>112647603</v>
      </c>
    </row>
    <row r="19" spans="1:12" ht="15.75">
      <c r="A19" s="11">
        <f t="shared" si="0"/>
        <v>12</v>
      </c>
      <c r="B19" s="6" t="s">
        <v>46</v>
      </c>
      <c r="C19" s="9"/>
      <c r="D19" s="9">
        <v>98442803</v>
      </c>
      <c r="E19" s="9"/>
      <c r="F19" s="9"/>
      <c r="G19" s="9"/>
      <c r="H19" s="9"/>
      <c r="I19" s="9">
        <v>21814775</v>
      </c>
      <c r="J19" s="31"/>
      <c r="K19" s="9">
        <v>42689946</v>
      </c>
      <c r="L19" s="27">
        <f t="shared" si="1"/>
        <v>162947524</v>
      </c>
    </row>
    <row r="20" spans="1:12" ht="15.75">
      <c r="A20" s="11">
        <f t="shared" si="0"/>
        <v>13</v>
      </c>
      <c r="B20" s="6" t="s">
        <v>97</v>
      </c>
      <c r="C20" s="9"/>
      <c r="D20" s="9">
        <v>160144853</v>
      </c>
      <c r="E20" s="9">
        <v>395750</v>
      </c>
      <c r="F20" s="9"/>
      <c r="G20" s="9">
        <v>22000000</v>
      </c>
      <c r="J20" s="33"/>
      <c r="K20" s="32"/>
      <c r="L20" s="27">
        <f t="shared" si="1"/>
        <v>182540603</v>
      </c>
    </row>
    <row r="21" spans="1:12" ht="15.75">
      <c r="A21" s="11">
        <f t="shared" si="0"/>
        <v>14</v>
      </c>
      <c r="B21" s="6" t="s">
        <v>47</v>
      </c>
      <c r="C21" s="9"/>
      <c r="D21" s="9">
        <f>17459577+312566</f>
        <v>17772143</v>
      </c>
      <c r="E21" s="9">
        <v>33677843</v>
      </c>
      <c r="F21" s="9"/>
      <c r="G21" s="9">
        <v>6000000</v>
      </c>
      <c r="H21" s="9"/>
      <c r="I21" s="9">
        <v>451805</v>
      </c>
      <c r="J21" s="31"/>
      <c r="K21" s="9">
        <v>150000</v>
      </c>
      <c r="L21" s="27">
        <f t="shared" si="1"/>
        <v>58051791</v>
      </c>
    </row>
    <row r="22" spans="1:12" ht="15.75">
      <c r="A22" s="11">
        <f t="shared" si="0"/>
        <v>15</v>
      </c>
      <c r="B22" s="6" t="s">
        <v>48</v>
      </c>
      <c r="C22" s="9"/>
      <c r="D22" s="9">
        <f>15815338+1821019+17974820+68950</f>
        <v>35680127</v>
      </c>
      <c r="E22" s="9">
        <f>25000+89804555+13949340+64512551+4993591</f>
        <v>173285037</v>
      </c>
      <c r="F22" s="9"/>
      <c r="G22" s="9"/>
      <c r="I22" s="9">
        <v>35032617</v>
      </c>
      <c r="J22" s="33"/>
      <c r="K22" s="9">
        <f>4500000+100000</f>
        <v>4600000</v>
      </c>
      <c r="L22" s="27">
        <f t="shared" si="1"/>
        <v>248597781</v>
      </c>
    </row>
    <row r="23" spans="1:12" ht="15.75">
      <c r="A23" s="11">
        <f t="shared" si="0"/>
        <v>16</v>
      </c>
      <c r="B23" s="6" t="s">
        <v>54</v>
      </c>
      <c r="C23" s="9"/>
      <c r="D23" s="9"/>
      <c r="E23" s="9">
        <f>1709097+87752</f>
        <v>1796849</v>
      </c>
      <c r="F23" s="9"/>
      <c r="G23" s="9"/>
      <c r="J23" s="33"/>
      <c r="K23" s="32"/>
      <c r="L23" s="27">
        <f t="shared" si="1"/>
        <v>1796849</v>
      </c>
    </row>
    <row r="24" spans="1:12" ht="15.75">
      <c r="A24" s="11">
        <f t="shared" si="0"/>
        <v>17</v>
      </c>
      <c r="B24" s="6" t="s">
        <v>51</v>
      </c>
      <c r="C24" s="9"/>
      <c r="D24" s="9">
        <v>61258</v>
      </c>
      <c r="E24" s="9">
        <v>35514908</v>
      </c>
      <c r="F24" s="9">
        <v>7191317</v>
      </c>
      <c r="G24" s="9">
        <v>8600000</v>
      </c>
      <c r="H24" s="9"/>
      <c r="I24" s="9">
        <v>2382500</v>
      </c>
      <c r="J24" s="31"/>
      <c r="K24" s="9">
        <f>6610503+13000000+192537715+103419379+697645+4041360</f>
        <v>320306602</v>
      </c>
      <c r="L24" s="27">
        <f t="shared" si="1"/>
        <v>374056585</v>
      </c>
    </row>
    <row r="25" spans="1:12" ht="15.75">
      <c r="A25" s="11">
        <f t="shared" si="0"/>
        <v>18</v>
      </c>
      <c r="B25" s="6" t="s">
        <v>52</v>
      </c>
      <c r="C25" s="9"/>
      <c r="D25" s="9">
        <v>1274453</v>
      </c>
      <c r="E25" s="9">
        <v>2040530</v>
      </c>
      <c r="F25" s="9"/>
      <c r="G25" s="9"/>
      <c r="H25" s="9"/>
      <c r="I25" s="9">
        <v>73500</v>
      </c>
      <c r="J25" s="31"/>
      <c r="K25" s="9">
        <f>197503+45973965+200000</f>
        <v>46371468</v>
      </c>
      <c r="L25" s="27">
        <f t="shared" si="1"/>
        <v>49759951</v>
      </c>
    </row>
    <row r="26" spans="1:12" ht="15.75">
      <c r="A26" s="11">
        <f t="shared" si="0"/>
        <v>19</v>
      </c>
      <c r="B26" s="6" t="s">
        <v>53</v>
      </c>
      <c r="C26" s="9"/>
      <c r="D26" s="9"/>
      <c r="E26" s="9">
        <v>8552064</v>
      </c>
      <c r="F26" s="9"/>
      <c r="J26" s="33"/>
      <c r="K26" s="32"/>
      <c r="L26" s="27">
        <f t="shared" si="1"/>
        <v>8552064</v>
      </c>
    </row>
    <row r="27" spans="1:12" ht="15.75">
      <c r="A27" s="11">
        <f t="shared" si="0"/>
        <v>20</v>
      </c>
      <c r="B27" s="6" t="s">
        <v>56</v>
      </c>
      <c r="C27" s="9"/>
      <c r="D27" s="9"/>
      <c r="E27" s="9">
        <v>642800</v>
      </c>
      <c r="F27" s="9"/>
      <c r="H27" s="9">
        <v>1000000</v>
      </c>
      <c r="J27" s="33"/>
      <c r="K27" s="32"/>
      <c r="L27" s="27">
        <f t="shared" si="1"/>
        <v>1642800</v>
      </c>
    </row>
    <row r="28" spans="1:12" ht="15.75">
      <c r="A28" s="11">
        <f t="shared" si="0"/>
        <v>21</v>
      </c>
      <c r="B28" s="6" t="s">
        <v>80</v>
      </c>
      <c r="C28" s="9"/>
      <c r="D28" s="9"/>
      <c r="E28" s="9"/>
      <c r="F28" s="9"/>
      <c r="H28" s="9"/>
      <c r="J28" s="9">
        <f>4350000+16500000</f>
        <v>20850000</v>
      </c>
      <c r="K28" s="32"/>
      <c r="L28" s="27">
        <f t="shared" si="1"/>
        <v>20850000</v>
      </c>
    </row>
    <row r="29" spans="1:12" ht="15.75">
      <c r="A29" s="11">
        <f>+A27+1</f>
        <v>21</v>
      </c>
      <c r="B29" s="6" t="s">
        <v>76</v>
      </c>
      <c r="C29" s="9">
        <v>645205</v>
      </c>
      <c r="D29" s="9">
        <f>6587441+163004</f>
        <v>6750445</v>
      </c>
      <c r="E29" s="9">
        <f>7005+3205452+1557026+110272+306285+70000+100000</f>
        <v>5356040</v>
      </c>
      <c r="F29" s="9">
        <v>200000</v>
      </c>
      <c r="G29" s="9">
        <v>725000</v>
      </c>
      <c r="H29" s="9"/>
      <c r="I29" s="9">
        <v>1660000</v>
      </c>
      <c r="J29" s="9">
        <f>2000000+160000+605000+262500+10000+197000+485000+3475000</f>
        <v>7194500</v>
      </c>
      <c r="K29" s="9">
        <f>25000+10000+112378+167288+62000+32000+35000</f>
        <v>443666</v>
      </c>
      <c r="L29" s="27">
        <f>SUM(C29:K29)</f>
        <v>22974856</v>
      </c>
    </row>
    <row r="30" spans="1:13" ht="15.75">
      <c r="A30" s="11">
        <f t="shared" si="0"/>
        <v>22</v>
      </c>
      <c r="B30" s="6" t="s">
        <v>10</v>
      </c>
      <c r="C30" s="7">
        <f>SUM(C11:C29)</f>
        <v>496371691</v>
      </c>
      <c r="D30" s="7">
        <f aca="true" t="shared" si="2" ref="D30:K30">SUM(D11:D29)</f>
        <v>615443608</v>
      </c>
      <c r="E30" s="7">
        <f t="shared" si="2"/>
        <v>261264321</v>
      </c>
      <c r="F30" s="7">
        <f t="shared" si="2"/>
        <v>7391317</v>
      </c>
      <c r="G30" s="7">
        <f t="shared" si="2"/>
        <v>280000000</v>
      </c>
      <c r="H30" s="7">
        <f t="shared" si="2"/>
        <v>1000000</v>
      </c>
      <c r="I30" s="7">
        <f t="shared" si="2"/>
        <v>61415197</v>
      </c>
      <c r="J30" s="7">
        <f>SUM(J11:J29)</f>
        <v>28044500</v>
      </c>
      <c r="K30" s="7">
        <f t="shared" si="2"/>
        <v>414561682</v>
      </c>
      <c r="L30" s="28">
        <f>SUM(C30:K30)</f>
        <v>2165492316</v>
      </c>
      <c r="M30" s="21"/>
    </row>
    <row r="31" spans="1:12" ht="15.75">
      <c r="A31" s="11">
        <f t="shared" si="0"/>
        <v>23</v>
      </c>
      <c r="B31" s="6"/>
      <c r="C31" s="9"/>
      <c r="D31" s="9"/>
      <c r="E31" s="9"/>
      <c r="F31" s="9"/>
      <c r="J31" s="30"/>
      <c r="K31" s="40"/>
      <c r="L31" s="27"/>
    </row>
    <row r="32" spans="1:12" ht="15.75">
      <c r="A32" s="11">
        <f t="shared" si="0"/>
        <v>24</v>
      </c>
      <c r="B32" s="4" t="s">
        <v>11</v>
      </c>
      <c r="C32" s="12"/>
      <c r="D32" s="12"/>
      <c r="E32" s="12"/>
      <c r="F32" s="12"/>
      <c r="J32" s="30"/>
      <c r="L32" s="27"/>
    </row>
    <row r="33" spans="1:12" ht="15.75">
      <c r="A33" s="11">
        <f t="shared" si="0"/>
        <v>25</v>
      </c>
      <c r="B33" s="6" t="s">
        <v>12</v>
      </c>
      <c r="C33" s="9"/>
      <c r="D33" s="9">
        <v>266557675</v>
      </c>
      <c r="E33" s="9">
        <v>75114741</v>
      </c>
      <c r="F33" s="9">
        <v>1865367</v>
      </c>
      <c r="G33" s="9"/>
      <c r="H33" s="9"/>
      <c r="I33" s="9">
        <v>19783020</v>
      </c>
      <c r="J33" s="31"/>
      <c r="K33" s="9">
        <f>162275+3295593+85309557+102076747+75000+600000</f>
        <v>191519172</v>
      </c>
      <c r="L33" s="27">
        <f t="shared" si="1"/>
        <v>554839975</v>
      </c>
    </row>
    <row r="34" spans="1:12" ht="15.75">
      <c r="A34" s="11">
        <f t="shared" si="0"/>
        <v>26</v>
      </c>
      <c r="B34" s="6" t="s">
        <v>59</v>
      </c>
      <c r="C34" s="9"/>
      <c r="D34" s="9">
        <v>135462918</v>
      </c>
      <c r="E34" s="9">
        <v>20561955</v>
      </c>
      <c r="F34" s="9">
        <v>1608760</v>
      </c>
      <c r="G34" s="9"/>
      <c r="H34" s="9"/>
      <c r="I34" s="9">
        <v>667869</v>
      </c>
      <c r="J34" s="31"/>
      <c r="K34" s="9">
        <f>221000+100000+57545+40000</f>
        <v>418545</v>
      </c>
      <c r="L34" s="27">
        <f t="shared" si="1"/>
        <v>158720047</v>
      </c>
    </row>
    <row r="35" spans="1:12" ht="15.75">
      <c r="A35" s="11">
        <f t="shared" si="0"/>
        <v>27</v>
      </c>
      <c r="B35" s="6" t="s">
        <v>14</v>
      </c>
      <c r="C35" s="9"/>
      <c r="D35" s="9">
        <v>173858134</v>
      </c>
      <c r="E35" s="9">
        <v>132408188</v>
      </c>
      <c r="F35" s="9">
        <v>3702807</v>
      </c>
      <c r="G35" s="9">
        <v>280000000</v>
      </c>
      <c r="H35" s="9">
        <v>730803</v>
      </c>
      <c r="I35" s="9">
        <v>34778944</v>
      </c>
      <c r="J35" s="9">
        <f>2208175+14760725</f>
        <v>16968900</v>
      </c>
      <c r="K35" s="9">
        <f>1600001+5958857+106528475+23486161+334420+75000+400000</f>
        <v>138382914</v>
      </c>
      <c r="L35" s="27">
        <f t="shared" si="1"/>
        <v>780830690</v>
      </c>
    </row>
    <row r="36" spans="1:12" ht="15.75">
      <c r="A36" s="11">
        <f t="shared" si="0"/>
        <v>28</v>
      </c>
      <c r="B36" s="6" t="s">
        <v>60</v>
      </c>
      <c r="C36" s="9"/>
      <c r="D36" s="9">
        <v>31774772</v>
      </c>
      <c r="E36" s="9">
        <v>5400665</v>
      </c>
      <c r="F36" s="9">
        <v>96673</v>
      </c>
      <c r="G36" s="9"/>
      <c r="H36" s="9"/>
      <c r="I36" s="9">
        <v>536971</v>
      </c>
      <c r="J36" s="31"/>
      <c r="K36" s="9">
        <f>70000+326845+997816+10000+573700+250000</f>
        <v>2228361</v>
      </c>
      <c r="L36" s="27">
        <f t="shared" si="1"/>
        <v>40037442</v>
      </c>
    </row>
    <row r="37" spans="1:12" ht="15.75">
      <c r="A37" s="11">
        <f t="shared" si="0"/>
        <v>29</v>
      </c>
      <c r="B37" s="6" t="s">
        <v>42</v>
      </c>
      <c r="C37" s="9"/>
      <c r="D37" s="9"/>
      <c r="E37" s="9"/>
      <c r="F37" s="9"/>
      <c r="J37" s="33"/>
      <c r="K37" s="32"/>
      <c r="L37" s="27">
        <f t="shared" si="1"/>
        <v>0</v>
      </c>
    </row>
    <row r="38" spans="1:12" ht="15.75">
      <c r="A38" s="11">
        <f t="shared" si="0"/>
        <v>30</v>
      </c>
      <c r="B38" s="6" t="s">
        <v>16</v>
      </c>
      <c r="C38" s="9"/>
      <c r="D38" s="9"/>
      <c r="E38" s="9"/>
      <c r="F38" s="9"/>
      <c r="J38" s="33"/>
      <c r="K38" s="32"/>
      <c r="L38" s="27">
        <f t="shared" si="1"/>
        <v>0</v>
      </c>
    </row>
    <row r="39" spans="1:12" ht="15.75">
      <c r="A39" s="11">
        <f t="shared" si="0"/>
        <v>31</v>
      </c>
      <c r="B39" s="6" t="s">
        <v>27</v>
      </c>
      <c r="C39" s="9"/>
      <c r="D39" s="9"/>
      <c r="E39" s="9"/>
      <c r="F39" s="9"/>
      <c r="J39" s="33"/>
      <c r="K39" s="32"/>
      <c r="L39" s="27">
        <f t="shared" si="1"/>
        <v>0</v>
      </c>
    </row>
    <row r="40" spans="1:12" ht="15.75" hidden="1">
      <c r="A40" s="11">
        <f>+A38+1</f>
        <v>31</v>
      </c>
      <c r="B40" s="6" t="s">
        <v>28</v>
      </c>
      <c r="C40" s="9"/>
      <c r="D40" s="9"/>
      <c r="E40" s="9"/>
      <c r="F40" s="9"/>
      <c r="J40" s="33"/>
      <c r="K40" s="32"/>
      <c r="L40" s="27">
        <f t="shared" si="1"/>
        <v>0</v>
      </c>
    </row>
    <row r="41" spans="1:12" ht="15.75">
      <c r="A41" s="11">
        <f t="shared" si="0"/>
        <v>32</v>
      </c>
      <c r="B41" s="6" t="s">
        <v>34</v>
      </c>
      <c r="C41" s="9"/>
      <c r="D41" s="9"/>
      <c r="E41" s="9"/>
      <c r="F41" s="9"/>
      <c r="J41" s="33"/>
      <c r="K41" s="32"/>
      <c r="L41" s="27">
        <f t="shared" si="1"/>
        <v>0</v>
      </c>
    </row>
    <row r="42" spans="1:12" ht="15.75">
      <c r="A42" s="11">
        <f t="shared" si="0"/>
        <v>33</v>
      </c>
      <c r="B42" s="6" t="s">
        <v>17</v>
      </c>
      <c r="C42" s="9"/>
      <c r="D42" s="9"/>
      <c r="E42" s="9"/>
      <c r="F42" s="9"/>
      <c r="J42" s="33"/>
      <c r="K42" s="32"/>
      <c r="L42" s="27">
        <f t="shared" si="1"/>
        <v>0</v>
      </c>
    </row>
    <row r="43" spans="1:12" ht="15.75">
      <c r="A43" s="11">
        <f t="shared" si="0"/>
        <v>34</v>
      </c>
      <c r="B43" s="6" t="s">
        <v>18</v>
      </c>
      <c r="C43" s="9"/>
      <c r="D43" s="9">
        <v>2753695</v>
      </c>
      <c r="E43" s="9">
        <v>1478708</v>
      </c>
      <c r="F43" s="9"/>
      <c r="J43" s="33"/>
      <c r="K43" s="32"/>
      <c r="L43" s="27">
        <f t="shared" si="1"/>
        <v>4232403</v>
      </c>
    </row>
    <row r="44" spans="2:12" ht="15.75" hidden="1">
      <c r="B44" s="6" t="s">
        <v>29</v>
      </c>
      <c r="C44" s="9"/>
      <c r="D44" s="9"/>
      <c r="E44" s="9"/>
      <c r="F44" s="9"/>
      <c r="J44" s="33"/>
      <c r="K44" s="32"/>
      <c r="L44" s="27">
        <f t="shared" si="1"/>
        <v>0</v>
      </c>
    </row>
    <row r="45" spans="2:12" ht="15.75" hidden="1">
      <c r="B45" s="6" t="s">
        <v>35</v>
      </c>
      <c r="C45" s="9"/>
      <c r="D45" s="9"/>
      <c r="E45" s="9"/>
      <c r="F45" s="9"/>
      <c r="J45" s="33"/>
      <c r="K45" s="32"/>
      <c r="L45" s="27">
        <f t="shared" si="1"/>
        <v>0</v>
      </c>
    </row>
    <row r="46" spans="1:12" ht="15.75">
      <c r="A46" s="11">
        <f>+A43+1</f>
        <v>35</v>
      </c>
      <c r="B46" s="6" t="s">
        <v>19</v>
      </c>
      <c r="C46" s="9"/>
      <c r="D46" s="9"/>
      <c r="E46" s="9"/>
      <c r="F46" s="9"/>
      <c r="J46" s="33"/>
      <c r="K46" s="32"/>
      <c r="L46" s="27">
        <f t="shared" si="1"/>
        <v>0</v>
      </c>
    </row>
    <row r="47" spans="1:12" ht="15.75">
      <c r="A47" s="11">
        <f t="shared" si="0"/>
        <v>36</v>
      </c>
      <c r="B47" s="6" t="s">
        <v>30</v>
      </c>
      <c r="C47" s="9"/>
      <c r="D47" s="9"/>
      <c r="E47" s="9"/>
      <c r="F47" s="9"/>
      <c r="J47" s="33"/>
      <c r="K47" s="32"/>
      <c r="L47" s="27">
        <f t="shared" si="1"/>
        <v>0</v>
      </c>
    </row>
    <row r="48" spans="1:12" ht="15.75">
      <c r="A48" s="11">
        <f t="shared" si="0"/>
        <v>37</v>
      </c>
      <c r="B48" s="6" t="s">
        <v>31</v>
      </c>
      <c r="C48" s="9"/>
      <c r="D48" s="9"/>
      <c r="E48" s="9"/>
      <c r="F48" s="9"/>
      <c r="J48" s="33"/>
      <c r="K48" s="32"/>
      <c r="L48" s="27">
        <f t="shared" si="1"/>
        <v>0</v>
      </c>
    </row>
    <row r="49" spans="1:12" ht="15.75">
      <c r="A49" s="11">
        <f t="shared" si="0"/>
        <v>38</v>
      </c>
      <c r="B49" s="6" t="s">
        <v>32</v>
      </c>
      <c r="C49" s="9"/>
      <c r="D49" s="9"/>
      <c r="E49" s="9"/>
      <c r="F49" s="9"/>
      <c r="J49" s="33"/>
      <c r="K49" s="32"/>
      <c r="L49" s="27">
        <f t="shared" si="1"/>
        <v>0</v>
      </c>
    </row>
    <row r="50" spans="1:12" ht="15.75">
      <c r="A50" s="11">
        <f t="shared" si="0"/>
        <v>39</v>
      </c>
      <c r="B50" s="6" t="s">
        <v>20</v>
      </c>
      <c r="C50" s="9"/>
      <c r="D50" s="9"/>
      <c r="E50" s="9">
        <v>900000</v>
      </c>
      <c r="F50" s="9"/>
      <c r="J50" s="33"/>
      <c r="K50" s="9">
        <f>1059814+4061113</f>
        <v>5120927</v>
      </c>
      <c r="L50" s="27">
        <f t="shared" si="1"/>
        <v>6020927</v>
      </c>
    </row>
    <row r="51" spans="1:12" ht="15.75">
      <c r="A51" s="11">
        <f t="shared" si="0"/>
        <v>40</v>
      </c>
      <c r="B51" s="22" t="s">
        <v>33</v>
      </c>
      <c r="C51" s="9"/>
      <c r="D51" s="9"/>
      <c r="E51" s="9"/>
      <c r="F51" s="9"/>
      <c r="J51" s="33"/>
      <c r="K51" s="32"/>
      <c r="L51" s="27">
        <f t="shared" si="1"/>
        <v>0</v>
      </c>
    </row>
    <row r="52" spans="1:12" ht="15.75">
      <c r="A52" s="11">
        <f t="shared" si="0"/>
        <v>41</v>
      </c>
      <c r="B52" s="22" t="s">
        <v>36</v>
      </c>
      <c r="C52" s="9"/>
      <c r="D52" s="9"/>
      <c r="E52" s="9"/>
      <c r="F52" s="9"/>
      <c r="J52" s="33"/>
      <c r="K52" s="32"/>
      <c r="L52" s="27">
        <f t="shared" si="1"/>
        <v>0</v>
      </c>
    </row>
    <row r="53" spans="1:12" ht="15.75">
      <c r="A53" s="11">
        <f t="shared" si="0"/>
        <v>42</v>
      </c>
      <c r="B53" s="22" t="s">
        <v>37</v>
      </c>
      <c r="C53" s="9"/>
      <c r="D53" s="9"/>
      <c r="E53" s="9"/>
      <c r="F53" s="9"/>
      <c r="J53" s="33"/>
      <c r="K53" s="32"/>
      <c r="L53" s="27">
        <f t="shared" si="1"/>
        <v>0</v>
      </c>
    </row>
    <row r="54" spans="1:12" ht="15.75">
      <c r="A54" s="11">
        <f t="shared" si="0"/>
        <v>43</v>
      </c>
      <c r="B54" s="23" t="s">
        <v>78</v>
      </c>
      <c r="C54" s="9"/>
      <c r="D54" s="9"/>
      <c r="E54" s="9"/>
      <c r="F54" s="9"/>
      <c r="J54" s="33"/>
      <c r="K54" s="32"/>
      <c r="L54" s="27">
        <f t="shared" si="1"/>
        <v>0</v>
      </c>
    </row>
    <row r="55" spans="1:12" ht="15.75">
      <c r="A55" s="11">
        <f t="shared" si="0"/>
        <v>44</v>
      </c>
      <c r="B55" s="22" t="s">
        <v>39</v>
      </c>
      <c r="C55" s="9">
        <f>328112211+146261357+21998123</f>
        <v>496371691</v>
      </c>
      <c r="D55" s="9"/>
      <c r="E55" s="9"/>
      <c r="F55" s="9"/>
      <c r="J55" s="33"/>
      <c r="K55" s="32"/>
      <c r="L55" s="27">
        <f t="shared" si="1"/>
        <v>496371691</v>
      </c>
    </row>
    <row r="56" spans="1:12" ht="15.75">
      <c r="A56" s="11">
        <f t="shared" si="0"/>
        <v>45</v>
      </c>
      <c r="B56" s="22" t="s">
        <v>57</v>
      </c>
      <c r="C56" s="9"/>
      <c r="D56" s="9"/>
      <c r="E56" s="9"/>
      <c r="F56" s="9"/>
      <c r="J56" s="33"/>
      <c r="K56" s="32"/>
      <c r="L56" s="27">
        <f t="shared" si="1"/>
        <v>0</v>
      </c>
    </row>
    <row r="57" spans="1:12" ht="15.75">
      <c r="A57" s="11">
        <f t="shared" si="0"/>
        <v>46</v>
      </c>
      <c r="B57" s="22" t="s">
        <v>58</v>
      </c>
      <c r="C57" s="9"/>
      <c r="D57" s="9"/>
      <c r="E57" s="9"/>
      <c r="F57" s="9"/>
      <c r="J57" s="33"/>
      <c r="K57" s="32"/>
      <c r="L57" s="27">
        <f t="shared" si="1"/>
        <v>0</v>
      </c>
    </row>
    <row r="58" spans="1:12" ht="15.75">
      <c r="A58" s="11">
        <f t="shared" si="0"/>
        <v>47</v>
      </c>
      <c r="B58" s="6" t="s">
        <v>49</v>
      </c>
      <c r="C58" s="9"/>
      <c r="D58" s="9"/>
      <c r="E58" s="9"/>
      <c r="F58" s="9"/>
      <c r="J58" s="33"/>
      <c r="K58" s="32"/>
      <c r="L58" s="27">
        <f t="shared" si="1"/>
        <v>0</v>
      </c>
    </row>
    <row r="59" spans="1:12" ht="15.75">
      <c r="A59" s="11">
        <f t="shared" si="0"/>
        <v>48</v>
      </c>
      <c r="B59" s="6" t="s">
        <v>55</v>
      </c>
      <c r="C59" s="9"/>
      <c r="D59" s="9"/>
      <c r="E59" s="9">
        <v>8400000</v>
      </c>
      <c r="F59" s="9"/>
      <c r="I59" s="9">
        <v>3661738</v>
      </c>
      <c r="J59" s="31"/>
      <c r="K59" s="9">
        <f>59679+113500+181290</f>
        <v>354469</v>
      </c>
      <c r="L59" s="27">
        <f t="shared" si="1"/>
        <v>12416207</v>
      </c>
    </row>
    <row r="60" spans="1:12" ht="15.75">
      <c r="A60" s="11">
        <f>+A59+1</f>
        <v>49</v>
      </c>
      <c r="B60" s="6" t="s">
        <v>21</v>
      </c>
      <c r="C60" s="7">
        <f>SUM(C33:C59)</f>
        <v>496371691</v>
      </c>
      <c r="D60" s="7">
        <f aca="true" t="shared" si="3" ref="D60:K60">SUM(D33:D59)</f>
        <v>610407194</v>
      </c>
      <c r="E60" s="7">
        <f t="shared" si="3"/>
        <v>244264257</v>
      </c>
      <c r="F60" s="7">
        <f t="shared" si="3"/>
        <v>7273607</v>
      </c>
      <c r="G60" s="7">
        <f t="shared" si="3"/>
        <v>280000000</v>
      </c>
      <c r="H60" s="7">
        <f t="shared" si="3"/>
        <v>730803</v>
      </c>
      <c r="I60" s="7">
        <f t="shared" si="3"/>
        <v>59428542</v>
      </c>
      <c r="J60" s="7">
        <f t="shared" si="3"/>
        <v>16968900</v>
      </c>
      <c r="K60" s="7">
        <f t="shared" si="3"/>
        <v>338024388</v>
      </c>
      <c r="L60" s="28">
        <f>SUM(C60:K60)</f>
        <v>2053469382</v>
      </c>
    </row>
    <row r="61" spans="1:12" ht="15.75">
      <c r="A61" s="11">
        <f t="shared" si="0"/>
        <v>50</v>
      </c>
      <c r="B61" s="6"/>
      <c r="C61" s="9"/>
      <c r="D61" s="9"/>
      <c r="E61" s="9"/>
      <c r="F61" s="9"/>
      <c r="J61" s="30"/>
      <c r="K61" s="40"/>
      <c r="L61" s="27"/>
    </row>
    <row r="62" spans="1:12" ht="15.75">
      <c r="A62" s="11">
        <f t="shared" si="0"/>
        <v>51</v>
      </c>
      <c r="B62" s="4" t="s">
        <v>22</v>
      </c>
      <c r="C62" s="12"/>
      <c r="D62" s="12"/>
      <c r="E62" s="12"/>
      <c r="F62" s="12"/>
      <c r="J62" s="30"/>
      <c r="L62" s="27"/>
    </row>
    <row r="63" spans="1:12" ht="15.75">
      <c r="A63" s="11">
        <f t="shared" si="0"/>
        <v>52</v>
      </c>
      <c r="B63" s="6" t="s">
        <v>23</v>
      </c>
      <c r="C63" s="31"/>
      <c r="D63" s="9">
        <v>6878415</v>
      </c>
      <c r="E63" s="9">
        <v>23532791</v>
      </c>
      <c r="F63" s="12"/>
      <c r="G63" s="12"/>
      <c r="H63" s="12">
        <v>394500</v>
      </c>
      <c r="I63" s="12">
        <v>1427211</v>
      </c>
      <c r="J63" s="34"/>
      <c r="K63" s="12"/>
      <c r="L63" s="27">
        <f t="shared" si="1"/>
        <v>32232917</v>
      </c>
    </row>
    <row r="64" spans="1:12" ht="15.75">
      <c r="A64" s="11">
        <f t="shared" si="0"/>
        <v>53</v>
      </c>
      <c r="B64" s="6" t="s">
        <v>50</v>
      </c>
      <c r="C64" s="31"/>
      <c r="D64" s="9"/>
      <c r="E64" s="9"/>
      <c r="F64" s="9"/>
      <c r="I64" s="9">
        <v>1263564</v>
      </c>
      <c r="J64" s="31"/>
      <c r="K64" s="32"/>
      <c r="L64" s="27">
        <f t="shared" si="1"/>
        <v>1263564</v>
      </c>
    </row>
    <row r="65" spans="1:12" ht="15.75">
      <c r="A65" s="11">
        <f>+A64+1</f>
        <v>54</v>
      </c>
      <c r="B65" s="6" t="s">
        <v>26</v>
      </c>
      <c r="C65" s="31"/>
      <c r="D65" s="9"/>
      <c r="E65" s="9"/>
      <c r="F65" s="9"/>
      <c r="J65" s="33"/>
      <c r="K65" s="32"/>
      <c r="L65" s="27">
        <f>SUM(C65:K65)</f>
        <v>0</v>
      </c>
    </row>
    <row r="66" spans="1:12" ht="16.5">
      <c r="A66" s="11">
        <f>+A65+1</f>
        <v>55</v>
      </c>
      <c r="B66" s="6" t="s">
        <v>77</v>
      </c>
      <c r="C66" s="31"/>
      <c r="D66" s="9"/>
      <c r="E66" s="9"/>
      <c r="F66" s="9"/>
      <c r="J66" s="33"/>
      <c r="K66" s="32"/>
      <c r="L66" s="27">
        <f t="shared" si="1"/>
        <v>0</v>
      </c>
    </row>
    <row r="67" spans="1:12" ht="15.75">
      <c r="A67" s="11">
        <f t="shared" si="0"/>
        <v>56</v>
      </c>
      <c r="B67" s="6" t="s">
        <v>24</v>
      </c>
      <c r="C67" s="7">
        <f aca="true" t="shared" si="4" ref="C67:K67">SUM(C63:C66)</f>
        <v>0</v>
      </c>
      <c r="D67" s="7">
        <f t="shared" si="4"/>
        <v>6878415</v>
      </c>
      <c r="E67" s="7">
        <f t="shared" si="4"/>
        <v>23532791</v>
      </c>
      <c r="F67" s="7">
        <f t="shared" si="4"/>
        <v>0</v>
      </c>
      <c r="G67" s="7">
        <f t="shared" si="4"/>
        <v>0</v>
      </c>
      <c r="H67" s="7">
        <f t="shared" si="4"/>
        <v>394500</v>
      </c>
      <c r="I67" s="7">
        <f t="shared" si="4"/>
        <v>2690775</v>
      </c>
      <c r="J67" s="7">
        <f t="shared" si="4"/>
        <v>0</v>
      </c>
      <c r="K67" s="7">
        <f t="shared" si="4"/>
        <v>0</v>
      </c>
      <c r="L67" s="28">
        <f t="shared" si="1"/>
        <v>33496481</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42947726</v>
      </c>
      <c r="D69" s="13">
        <f t="shared" si="5"/>
        <v>202758614</v>
      </c>
      <c r="E69" s="13">
        <f t="shared" si="5"/>
        <v>77897007</v>
      </c>
      <c r="F69" s="13">
        <f t="shared" si="5"/>
        <v>5402139</v>
      </c>
      <c r="G69" s="13">
        <f t="shared" si="5"/>
        <v>11038447</v>
      </c>
      <c r="H69" s="13">
        <f t="shared" si="5"/>
        <v>131945</v>
      </c>
      <c r="I69" s="13">
        <f t="shared" si="5"/>
        <v>17321080</v>
      </c>
      <c r="J69" s="13">
        <f t="shared" si="5"/>
        <v>92489836</v>
      </c>
      <c r="K69" s="13">
        <f t="shared" si="5"/>
        <v>173492315</v>
      </c>
      <c r="L69" s="29">
        <f>SUM(C69:K69)</f>
        <v>623479109</v>
      </c>
      <c r="M69" s="21">
        <f>+L8+L30-L60-L67</f>
        <v>623479109</v>
      </c>
    </row>
    <row r="70" spans="10:11" ht="16.5" thickTop="1">
      <c r="J70" s="30"/>
      <c r="K70" s="40"/>
    </row>
    <row r="72" ht="15.75">
      <c r="C72" s="21"/>
    </row>
  </sheetData>
  <mergeCells count="4">
    <mergeCell ref="F5:J5"/>
    <mergeCell ref="B1:L1"/>
    <mergeCell ref="B2:L2"/>
    <mergeCell ref="B3:L3"/>
  </mergeCells>
  <printOptions horizontalCentered="1"/>
  <pageMargins left="0" right="0.21" top="0.46" bottom="0.49" header="0.25" footer="0.17"/>
  <pageSetup fitToHeight="2" horizontalDpi="600" verticalDpi="600" orientation="landscape" scale="60" r:id="rId4"/>
  <rowBreaks count="1" manualBreakCount="1">
    <brk id="61" max="11" man="1"/>
  </rowBreaks>
  <drawing r:id="rId3"/>
  <legacyDrawing r:id="rId2"/>
</worksheet>
</file>

<file path=xl/worksheets/sheet3.xml><?xml version="1.0" encoding="utf-8"?>
<worksheet xmlns="http://schemas.openxmlformats.org/spreadsheetml/2006/main" xmlns:r="http://schemas.openxmlformats.org/officeDocument/2006/relationships">
  <dimension ref="A1:C54"/>
  <sheetViews>
    <sheetView workbookViewId="0" topLeftCell="A1">
      <selection activeCell="A1" sqref="A1:C1"/>
    </sheetView>
  </sheetViews>
  <sheetFormatPr defaultColWidth="8.88671875" defaultRowHeight="15"/>
  <cols>
    <col min="2" max="2" width="27.4453125" style="0" customWidth="1"/>
    <col min="3" max="3" width="13.77734375" style="0" bestFit="1" customWidth="1"/>
  </cols>
  <sheetData>
    <row r="1" spans="1:3" ht="15.75">
      <c r="A1" s="54" t="s">
        <v>101</v>
      </c>
      <c r="B1" s="54"/>
      <c r="C1" s="54"/>
    </row>
    <row r="2" spans="1:3" ht="15.75">
      <c r="A2" s="54" t="s">
        <v>1</v>
      </c>
      <c r="B2" s="54"/>
      <c r="C2" s="54"/>
    </row>
    <row r="3" spans="1:3" ht="15.75">
      <c r="A3" s="54" t="s">
        <v>2</v>
      </c>
      <c r="B3" s="54"/>
      <c r="C3" s="54"/>
    </row>
    <row r="4" spans="1:3" ht="15">
      <c r="A4" s="55"/>
      <c r="B4" s="55"/>
      <c r="C4" s="55"/>
    </row>
    <row r="5" spans="1:3" ht="15">
      <c r="A5" s="2"/>
      <c r="B5" s="2"/>
      <c r="C5" s="3" t="s">
        <v>3</v>
      </c>
    </row>
    <row r="6" spans="1:3" ht="15">
      <c r="A6" s="48"/>
      <c r="B6" s="4"/>
      <c r="C6" s="1" t="s">
        <v>84</v>
      </c>
    </row>
    <row r="7" spans="1:3" ht="15">
      <c r="A7" s="2"/>
      <c r="B7" s="2"/>
      <c r="C7" s="5"/>
    </row>
    <row r="8" spans="1:3" ht="15">
      <c r="A8" s="2"/>
      <c r="B8" s="6" t="s">
        <v>4</v>
      </c>
      <c r="C8" s="7">
        <f>4631105+147430+873107+592049+1775468</f>
        <v>8019159</v>
      </c>
    </row>
    <row r="9" spans="1:3" ht="7.5" customHeight="1">
      <c r="A9" s="2"/>
      <c r="B9" s="2"/>
      <c r="C9" s="5"/>
    </row>
    <row r="10" spans="1:3" ht="10.5" customHeight="1">
      <c r="A10" s="2"/>
      <c r="B10" s="8" t="s">
        <v>5</v>
      </c>
      <c r="C10" s="9"/>
    </row>
    <row r="11" spans="1:3" ht="15">
      <c r="A11" s="2"/>
      <c r="B11" s="2" t="s">
        <v>6</v>
      </c>
      <c r="C11" s="10">
        <v>9563810</v>
      </c>
    </row>
    <row r="12" spans="1:3" ht="15">
      <c r="A12" s="2"/>
      <c r="B12" s="2" t="s">
        <v>7</v>
      </c>
      <c r="C12" s="10">
        <v>110770395</v>
      </c>
    </row>
    <row r="13" spans="1:3" ht="15">
      <c r="A13" s="2"/>
      <c r="B13" s="2" t="s">
        <v>8</v>
      </c>
      <c r="C13" s="10">
        <v>0</v>
      </c>
    </row>
    <row r="14" spans="1:3" ht="15">
      <c r="A14" s="2"/>
      <c r="B14" s="2" t="s">
        <v>43</v>
      </c>
      <c r="C14" s="10">
        <f>3471400+4038465</f>
        <v>7509865</v>
      </c>
    </row>
    <row r="15" spans="1:3" ht="15">
      <c r="A15" s="2"/>
      <c r="B15" s="2" t="s">
        <v>48</v>
      </c>
      <c r="C15" s="10">
        <f>550000+375000+2000+395940+950000</f>
        <v>2272940</v>
      </c>
    </row>
    <row r="16" spans="1:3" ht="15">
      <c r="A16" s="2"/>
      <c r="B16" s="2" t="s">
        <v>52</v>
      </c>
      <c r="C16" s="10">
        <v>300</v>
      </c>
    </row>
    <row r="17" spans="1:3" ht="15">
      <c r="A17" s="2"/>
      <c r="B17" s="2" t="s">
        <v>53</v>
      </c>
      <c r="C17" s="10">
        <f>12000+35000</f>
        <v>47000</v>
      </c>
    </row>
    <row r="18" spans="1:3" ht="15">
      <c r="A18" s="2"/>
      <c r="B18" s="2" t="s">
        <v>9</v>
      </c>
      <c r="C18" s="10">
        <f>9000+29000+12735+57000</f>
        <v>107735</v>
      </c>
    </row>
    <row r="19" spans="1:3" ht="15">
      <c r="A19" s="2"/>
      <c r="B19" s="6" t="s">
        <v>10</v>
      </c>
      <c r="C19" s="7">
        <f>SUM(C11:C18)</f>
        <v>130272045</v>
      </c>
    </row>
    <row r="20" spans="1:3" ht="15">
      <c r="A20" s="2"/>
      <c r="B20" s="6"/>
      <c r="C20" s="9"/>
    </row>
    <row r="21" spans="1:3" ht="15">
      <c r="A21" s="2"/>
      <c r="B21" s="4" t="s">
        <v>11</v>
      </c>
      <c r="C21" s="5"/>
    </row>
    <row r="22" spans="1:3" ht="15">
      <c r="A22" s="2"/>
      <c r="B22" s="2" t="s">
        <v>12</v>
      </c>
      <c r="C22" s="10">
        <v>0</v>
      </c>
    </row>
    <row r="23" spans="1:3" ht="15">
      <c r="A23" s="2"/>
      <c r="B23" s="2" t="s">
        <v>13</v>
      </c>
      <c r="C23" s="10">
        <v>0</v>
      </c>
    </row>
    <row r="24" spans="1:3" ht="15">
      <c r="A24" s="2"/>
      <c r="B24" s="2" t="s">
        <v>14</v>
      </c>
      <c r="C24" s="10">
        <v>0</v>
      </c>
    </row>
    <row r="25" spans="1:3" ht="15">
      <c r="A25" s="2"/>
      <c r="B25" s="2" t="s">
        <v>15</v>
      </c>
      <c r="C25" s="10">
        <v>0</v>
      </c>
    </row>
    <row r="26" spans="1:3" ht="15">
      <c r="A26" s="2"/>
      <c r="B26" s="2" t="s">
        <v>16</v>
      </c>
      <c r="C26" s="10">
        <v>0</v>
      </c>
    </row>
    <row r="27" spans="1:3" ht="15">
      <c r="A27" s="2"/>
      <c r="B27" s="2" t="s">
        <v>27</v>
      </c>
      <c r="C27" s="10">
        <v>0</v>
      </c>
    </row>
    <row r="28" spans="1:3" ht="15">
      <c r="A28" s="2"/>
      <c r="B28" s="2" t="s">
        <v>28</v>
      </c>
      <c r="C28" s="10">
        <v>0</v>
      </c>
    </row>
    <row r="29" spans="1:3" ht="15">
      <c r="A29" s="2"/>
      <c r="B29" s="2" t="s">
        <v>34</v>
      </c>
      <c r="C29" s="10">
        <v>0</v>
      </c>
    </row>
    <row r="30" spans="1:3" ht="15">
      <c r="A30" s="2"/>
      <c r="B30" s="2" t="s">
        <v>17</v>
      </c>
      <c r="C30" s="10">
        <v>0</v>
      </c>
    </row>
    <row r="31" spans="1:3" ht="15">
      <c r="A31" s="2"/>
      <c r="B31" s="2" t="s">
        <v>18</v>
      </c>
      <c r="C31" s="10">
        <v>0</v>
      </c>
    </row>
    <row r="32" spans="1:3" ht="15">
      <c r="A32" s="2"/>
      <c r="B32" s="2" t="s">
        <v>29</v>
      </c>
      <c r="C32" s="10">
        <v>0</v>
      </c>
    </row>
    <row r="33" spans="1:3" ht="15">
      <c r="A33" s="2"/>
      <c r="B33" s="2" t="s">
        <v>35</v>
      </c>
      <c r="C33" s="10">
        <v>0</v>
      </c>
    </row>
    <row r="34" spans="1:3" ht="15">
      <c r="A34" s="2"/>
      <c r="B34" s="2" t="s">
        <v>19</v>
      </c>
      <c r="C34" s="10">
        <v>0</v>
      </c>
    </row>
    <row r="35" spans="1:3" ht="15">
      <c r="A35" s="2"/>
      <c r="B35" s="2" t="s">
        <v>30</v>
      </c>
      <c r="C35" s="10">
        <v>0</v>
      </c>
    </row>
    <row r="36" spans="1:3" ht="15">
      <c r="A36" s="2"/>
      <c r="B36" s="2" t="s">
        <v>31</v>
      </c>
      <c r="C36" s="10">
        <v>0</v>
      </c>
    </row>
    <row r="37" spans="1:3" ht="15">
      <c r="A37" s="2"/>
      <c r="B37" s="2" t="s">
        <v>32</v>
      </c>
      <c r="C37" s="10">
        <v>0</v>
      </c>
    </row>
    <row r="38" spans="1:3" ht="15">
      <c r="A38" s="2"/>
      <c r="B38" s="2" t="s">
        <v>20</v>
      </c>
      <c r="C38" s="10">
        <v>0</v>
      </c>
    </row>
    <row r="39" spans="1:3" ht="15">
      <c r="A39" s="2"/>
      <c r="B39" s="11" t="s">
        <v>33</v>
      </c>
      <c r="C39" s="10">
        <v>0</v>
      </c>
    </row>
    <row r="40" spans="1:3" ht="15">
      <c r="A40" s="2"/>
      <c r="B40" s="11" t="s">
        <v>36</v>
      </c>
      <c r="C40" s="10">
        <v>0</v>
      </c>
    </row>
    <row r="41" spans="1:3" ht="15">
      <c r="A41" s="2"/>
      <c r="B41" s="11" t="s">
        <v>37</v>
      </c>
      <c r="C41" s="10">
        <v>0</v>
      </c>
    </row>
    <row r="42" spans="1:3" ht="15">
      <c r="A42" s="2"/>
      <c r="B42" s="11" t="s">
        <v>38</v>
      </c>
      <c r="C42" s="10">
        <v>0</v>
      </c>
    </row>
    <row r="43" spans="1:3" ht="15">
      <c r="A43" s="2"/>
      <c r="B43" s="11" t="s">
        <v>39</v>
      </c>
      <c r="C43" s="10">
        <f>120334205+3627778+1300000+4102975+1400000</f>
        <v>130764958</v>
      </c>
    </row>
    <row r="44" spans="1:3" ht="15">
      <c r="A44" s="2"/>
      <c r="B44" s="6" t="s">
        <v>21</v>
      </c>
      <c r="C44" s="7">
        <f>SUM(C22:C43)</f>
        <v>130764958</v>
      </c>
    </row>
    <row r="45" spans="1:3" ht="15">
      <c r="A45" s="2"/>
      <c r="B45" s="6"/>
      <c r="C45" s="9"/>
    </row>
    <row r="46" spans="1:3" ht="15">
      <c r="A46" s="2"/>
      <c r="B46" s="4" t="s">
        <v>22</v>
      </c>
      <c r="C46" s="12"/>
    </row>
    <row r="47" spans="1:3" ht="15">
      <c r="A47" s="6"/>
      <c r="B47" s="2" t="s">
        <v>23</v>
      </c>
      <c r="C47" s="5">
        <v>0</v>
      </c>
    </row>
    <row r="48" spans="1:3" ht="15">
      <c r="A48" s="6"/>
      <c r="B48" s="2" t="s">
        <v>26</v>
      </c>
      <c r="C48" s="10">
        <v>0</v>
      </c>
    </row>
    <row r="49" spans="1:3" ht="15">
      <c r="A49" s="2"/>
      <c r="B49" s="2" t="s">
        <v>9</v>
      </c>
      <c r="C49" s="10">
        <v>0</v>
      </c>
    </row>
    <row r="50" spans="1:3" ht="15">
      <c r="A50" s="2"/>
      <c r="B50" s="6" t="s">
        <v>24</v>
      </c>
      <c r="C50" s="7">
        <f>SUM(C47:C49)</f>
        <v>0</v>
      </c>
    </row>
    <row r="51" spans="1:3" ht="15">
      <c r="A51" s="2"/>
      <c r="B51" s="2"/>
      <c r="C51" s="5"/>
    </row>
    <row r="52" spans="1:3" ht="15.75" thickBot="1">
      <c r="A52" s="2"/>
      <c r="B52" s="6" t="s">
        <v>25</v>
      </c>
      <c r="C52" s="13">
        <f>+C8+C19-C44-C50</f>
        <v>7526246</v>
      </c>
    </row>
    <row r="53" spans="1:3" ht="15.75" thickTop="1">
      <c r="A53" s="11"/>
      <c r="B53" s="11"/>
      <c r="C53" s="11"/>
    </row>
    <row r="54" spans="1:3" ht="15">
      <c r="A54" s="11"/>
      <c r="B54" s="11"/>
      <c r="C54" s="11"/>
    </row>
  </sheetData>
  <mergeCells count="4">
    <mergeCell ref="A1:C1"/>
    <mergeCell ref="A2:C2"/>
    <mergeCell ref="A3:C3"/>
    <mergeCell ref="A4:C4"/>
  </mergeCells>
  <printOptions horizontalCentered="1"/>
  <pageMargins left="0" right="0" top="0.73" bottom="0.37" header="0.5" footer="0.17"/>
  <pageSetup horizontalDpi="600" verticalDpi="600" orientation="landscape" scale="90" r:id="rId2"/>
  <drawing r:id="rId1"/>
</worksheet>
</file>

<file path=xl/worksheets/sheet4.xml><?xml version="1.0" encoding="utf-8"?>
<worksheet xmlns="http://schemas.openxmlformats.org/spreadsheetml/2006/main" xmlns:r="http://schemas.openxmlformats.org/officeDocument/2006/relationships">
  <dimension ref="A1:C53"/>
  <sheetViews>
    <sheetView workbookViewId="0" topLeftCell="A1">
      <selection activeCell="A1" sqref="A1:C1"/>
    </sheetView>
  </sheetViews>
  <sheetFormatPr defaultColWidth="8.88671875" defaultRowHeight="15"/>
  <cols>
    <col min="2" max="2" width="27.4453125" style="0" customWidth="1"/>
    <col min="3" max="3" width="10.77734375" style="0" bestFit="1" customWidth="1"/>
  </cols>
  <sheetData>
    <row r="1" spans="1:3" ht="15.75">
      <c r="A1" s="54" t="s">
        <v>100</v>
      </c>
      <c r="B1" s="54"/>
      <c r="C1" s="54"/>
    </row>
    <row r="2" spans="1:3" ht="15.75">
      <c r="A2" s="54" t="s">
        <v>1</v>
      </c>
      <c r="B2" s="54"/>
      <c r="C2" s="54"/>
    </row>
    <row r="3" spans="1:3" ht="15.75">
      <c r="A3" s="54" t="s">
        <v>2</v>
      </c>
      <c r="B3" s="54"/>
      <c r="C3" s="54"/>
    </row>
    <row r="4" spans="1:3" ht="15">
      <c r="A4" s="55"/>
      <c r="B4" s="55"/>
      <c r="C4" s="55"/>
    </row>
    <row r="5" spans="1:3" ht="15">
      <c r="A5" s="2"/>
      <c r="B5" s="2"/>
      <c r="C5" s="3" t="s">
        <v>3</v>
      </c>
    </row>
    <row r="6" spans="1:3" ht="15">
      <c r="A6" s="48"/>
      <c r="B6" s="4"/>
      <c r="C6" s="1" t="s">
        <v>84</v>
      </c>
    </row>
    <row r="7" spans="1:3" ht="15">
      <c r="A7" s="2"/>
      <c r="B7" s="2"/>
      <c r="C7" s="5"/>
    </row>
    <row r="8" spans="1:3" ht="15">
      <c r="A8" s="2"/>
      <c r="B8" s="6" t="s">
        <v>4</v>
      </c>
      <c r="C8" s="7">
        <f>6792014+3130468+1319481</f>
        <v>11241963</v>
      </c>
    </row>
    <row r="9" spans="1:3" ht="8.25" customHeight="1">
      <c r="A9" s="2"/>
      <c r="B9" s="2"/>
      <c r="C9" s="5"/>
    </row>
    <row r="10" spans="1:3" ht="12.75" customHeight="1">
      <c r="A10" s="2"/>
      <c r="B10" s="8" t="s">
        <v>5</v>
      </c>
      <c r="C10" s="9"/>
    </row>
    <row r="11" spans="1:3" ht="15">
      <c r="A11" s="2"/>
      <c r="B11" s="2" t="s">
        <v>6</v>
      </c>
      <c r="C11" s="10">
        <v>4490799</v>
      </c>
    </row>
    <row r="12" spans="1:3" ht="15">
      <c r="A12" s="2"/>
      <c r="B12" s="2" t="s">
        <v>7</v>
      </c>
      <c r="C12" s="10">
        <v>78295752</v>
      </c>
    </row>
    <row r="13" spans="1:3" ht="15">
      <c r="A13" s="2"/>
      <c r="B13" s="2" t="s">
        <v>8</v>
      </c>
      <c r="C13" s="10">
        <v>16050773</v>
      </c>
    </row>
    <row r="14" spans="1:3" ht="15">
      <c r="A14" s="2"/>
      <c r="B14" s="2" t="s">
        <v>47</v>
      </c>
      <c r="C14" s="10">
        <v>500000</v>
      </c>
    </row>
    <row r="15" spans="1:3" ht="15">
      <c r="A15" s="2"/>
      <c r="B15" s="2" t="s">
        <v>48</v>
      </c>
      <c r="C15" s="10">
        <f>2000000+200000+50000+20000+500+50000+1460000+2190000+31000</f>
        <v>6001500</v>
      </c>
    </row>
    <row r="16" spans="1:3" ht="15">
      <c r="A16" s="2"/>
      <c r="B16" s="2" t="s">
        <v>97</v>
      </c>
      <c r="C16" s="10">
        <v>3700000</v>
      </c>
    </row>
    <row r="17" spans="1:3" ht="15">
      <c r="A17" s="2"/>
      <c r="B17" s="2" t="s">
        <v>9</v>
      </c>
      <c r="C17" s="10">
        <f>100000+30000+50000</f>
        <v>180000</v>
      </c>
    </row>
    <row r="18" spans="1:3" ht="15">
      <c r="A18" s="2"/>
      <c r="B18" s="6" t="s">
        <v>10</v>
      </c>
      <c r="C18" s="7">
        <f>SUM(C11:C17)</f>
        <v>109218824</v>
      </c>
    </row>
    <row r="19" spans="1:3" ht="15">
      <c r="A19" s="2"/>
      <c r="B19" s="6"/>
      <c r="C19" s="9"/>
    </row>
    <row r="20" spans="1:3" ht="15">
      <c r="A20" s="2"/>
      <c r="B20" s="4" t="s">
        <v>11</v>
      </c>
      <c r="C20" s="5"/>
    </row>
    <row r="21" spans="1:3" ht="15">
      <c r="A21" s="2"/>
      <c r="B21" s="2" t="s">
        <v>12</v>
      </c>
      <c r="C21" s="10">
        <v>0</v>
      </c>
    </row>
    <row r="22" spans="1:3" ht="15">
      <c r="A22" s="2"/>
      <c r="B22" s="2" t="s">
        <v>13</v>
      </c>
      <c r="C22" s="10">
        <v>0</v>
      </c>
    </row>
    <row r="23" spans="1:3" ht="15">
      <c r="A23" s="2"/>
      <c r="B23" s="2" t="s">
        <v>14</v>
      </c>
      <c r="C23" s="10">
        <v>0</v>
      </c>
    </row>
    <row r="24" spans="1:3" ht="15">
      <c r="A24" s="2"/>
      <c r="B24" s="2" t="s">
        <v>15</v>
      </c>
      <c r="C24" s="10">
        <v>0</v>
      </c>
    </row>
    <row r="25" spans="1:3" ht="15">
      <c r="A25" s="2"/>
      <c r="B25" s="2" t="s">
        <v>16</v>
      </c>
      <c r="C25" s="10">
        <v>0</v>
      </c>
    </row>
    <row r="26" spans="1:3" ht="15">
      <c r="A26" s="2"/>
      <c r="B26" s="2" t="s">
        <v>27</v>
      </c>
      <c r="C26" s="10">
        <v>0</v>
      </c>
    </row>
    <row r="27" spans="1:3" ht="15">
      <c r="A27" s="2"/>
      <c r="B27" s="2" t="s">
        <v>28</v>
      </c>
      <c r="C27" s="10">
        <v>0</v>
      </c>
    </row>
    <row r="28" spans="1:3" ht="15">
      <c r="A28" s="2"/>
      <c r="B28" s="2" t="s">
        <v>34</v>
      </c>
      <c r="C28" s="10">
        <v>0</v>
      </c>
    </row>
    <row r="29" spans="1:3" ht="15">
      <c r="A29" s="2"/>
      <c r="B29" s="2" t="s">
        <v>17</v>
      </c>
      <c r="C29" s="10">
        <v>0</v>
      </c>
    </row>
    <row r="30" spans="1:3" ht="15">
      <c r="A30" s="2"/>
      <c r="B30" s="2" t="s">
        <v>18</v>
      </c>
      <c r="C30" s="10">
        <v>0</v>
      </c>
    </row>
    <row r="31" spans="1:3" ht="15">
      <c r="A31" s="2"/>
      <c r="B31" s="2" t="s">
        <v>29</v>
      </c>
      <c r="C31" s="10">
        <v>0</v>
      </c>
    </row>
    <row r="32" spans="1:3" ht="15">
      <c r="A32" s="2"/>
      <c r="B32" s="2" t="s">
        <v>35</v>
      </c>
      <c r="C32" s="10">
        <v>0</v>
      </c>
    </row>
    <row r="33" spans="1:3" ht="15">
      <c r="A33" s="2"/>
      <c r="B33" s="2" t="s">
        <v>19</v>
      </c>
      <c r="C33" s="10">
        <v>0</v>
      </c>
    </row>
    <row r="34" spans="1:3" ht="15">
      <c r="A34" s="2"/>
      <c r="B34" s="2" t="s">
        <v>30</v>
      </c>
      <c r="C34" s="10">
        <v>0</v>
      </c>
    </row>
    <row r="35" spans="1:3" ht="15">
      <c r="A35" s="2"/>
      <c r="B35" s="2" t="s">
        <v>31</v>
      </c>
      <c r="C35" s="10">
        <v>0</v>
      </c>
    </row>
    <row r="36" spans="1:3" ht="15">
      <c r="A36" s="2"/>
      <c r="B36" s="2" t="s">
        <v>32</v>
      </c>
      <c r="C36" s="10">
        <v>0</v>
      </c>
    </row>
    <row r="37" spans="1:3" ht="15">
      <c r="A37" s="2"/>
      <c r="B37" s="2" t="s">
        <v>20</v>
      </c>
      <c r="C37" s="10">
        <v>0</v>
      </c>
    </row>
    <row r="38" spans="1:3" ht="15">
      <c r="A38" s="2"/>
      <c r="B38" s="11" t="s">
        <v>33</v>
      </c>
      <c r="C38" s="10">
        <v>0</v>
      </c>
    </row>
    <row r="39" spans="1:3" ht="15">
      <c r="A39" s="2"/>
      <c r="B39" s="11" t="s">
        <v>36</v>
      </c>
      <c r="C39" s="10">
        <v>0</v>
      </c>
    </row>
    <row r="40" spans="1:3" ht="15">
      <c r="A40" s="2"/>
      <c r="B40" s="11" t="s">
        <v>37</v>
      </c>
      <c r="C40" s="10">
        <v>0</v>
      </c>
    </row>
    <row r="41" spans="1:3" ht="15">
      <c r="A41" s="2"/>
      <c r="B41" s="11" t="s">
        <v>38</v>
      </c>
      <c r="C41" s="10">
        <v>0</v>
      </c>
    </row>
    <row r="42" spans="1:3" ht="15">
      <c r="A42" s="2"/>
      <c r="B42" s="11" t="s">
        <v>39</v>
      </c>
      <c r="C42" s="10">
        <f>98837324+6020000+8800000</f>
        <v>113657324</v>
      </c>
    </row>
    <row r="43" spans="1:3" ht="15">
      <c r="A43" s="2"/>
      <c r="B43" s="6" t="s">
        <v>21</v>
      </c>
      <c r="C43" s="7">
        <f>SUM(C21:C42)</f>
        <v>113657324</v>
      </c>
    </row>
    <row r="44" spans="1:3" ht="15">
      <c r="A44" s="2"/>
      <c r="B44" s="6"/>
      <c r="C44" s="9"/>
    </row>
    <row r="45" spans="1:3" ht="15">
      <c r="A45" s="2"/>
      <c r="B45" s="4" t="s">
        <v>22</v>
      </c>
      <c r="C45" s="12"/>
    </row>
    <row r="46" spans="1:3" ht="15">
      <c r="A46" s="6"/>
      <c r="B46" s="2" t="s">
        <v>23</v>
      </c>
      <c r="C46" s="5">
        <v>0</v>
      </c>
    </row>
    <row r="47" spans="1:3" ht="15">
      <c r="A47" s="6"/>
      <c r="B47" s="2" t="s">
        <v>26</v>
      </c>
      <c r="C47" s="10">
        <v>0</v>
      </c>
    </row>
    <row r="48" spans="1:3" ht="15">
      <c r="A48" s="2"/>
      <c r="B48" s="2" t="s">
        <v>9</v>
      </c>
      <c r="C48" s="10">
        <v>0</v>
      </c>
    </row>
    <row r="49" spans="1:3" ht="15">
      <c r="A49" s="2"/>
      <c r="B49" s="6" t="s">
        <v>24</v>
      </c>
      <c r="C49" s="7">
        <f>SUM(C46:C48)</f>
        <v>0</v>
      </c>
    </row>
    <row r="50" spans="1:3" ht="15">
      <c r="A50" s="2"/>
      <c r="B50" s="2"/>
      <c r="C50" s="5"/>
    </row>
    <row r="51" spans="1:3" ht="15.75" thickBot="1">
      <c r="A51" s="2"/>
      <c r="B51" s="6" t="s">
        <v>25</v>
      </c>
      <c r="C51" s="13">
        <f>+C8+C18-C43-C49</f>
        <v>6803463</v>
      </c>
    </row>
    <row r="52" spans="1:3" ht="15.75" thickTop="1">
      <c r="A52" s="11"/>
      <c r="B52" s="11"/>
      <c r="C52" s="11"/>
    </row>
    <row r="53" spans="1:3" ht="15">
      <c r="A53" s="11"/>
      <c r="B53" s="11"/>
      <c r="C53" s="11"/>
    </row>
  </sheetData>
  <mergeCells count="4">
    <mergeCell ref="A1:C1"/>
    <mergeCell ref="A2:C2"/>
    <mergeCell ref="A3:C3"/>
    <mergeCell ref="A4:C4"/>
  </mergeCells>
  <printOptions horizontalCentered="1"/>
  <pageMargins left="0" right="0" top="0.42" bottom="0.35" header="0.21" footer="0.26"/>
  <pageSetup horizontalDpi="600" verticalDpi="600" orientation="landscape" scale="90" r:id="rId2"/>
  <drawing r:id="rId1"/>
</worksheet>
</file>

<file path=xl/worksheets/sheet5.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86</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8.75">
      <c r="B4" s="49"/>
      <c r="C4" s="14"/>
    </row>
    <row r="5" spans="1:12" s="20" customFormat="1" ht="18">
      <c r="A5" s="11"/>
      <c r="B5" s="19"/>
      <c r="C5" s="15" t="s">
        <v>66</v>
      </c>
      <c r="D5" s="15" t="s">
        <v>68</v>
      </c>
      <c r="E5" s="45"/>
      <c r="F5" s="52" t="s">
        <v>65</v>
      </c>
      <c r="G5" s="53"/>
      <c r="H5" s="53"/>
      <c r="I5" s="53"/>
      <c r="J5" s="53"/>
      <c r="K5" s="15" t="s">
        <v>74</v>
      </c>
      <c r="L5" s="25"/>
    </row>
    <row r="6" spans="1:12" s="20" customFormat="1" ht="18">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43573288</v>
      </c>
      <c r="D8" s="7">
        <v>41713908</v>
      </c>
      <c r="E8" s="7">
        <v>144810595</v>
      </c>
      <c r="F8" s="7">
        <v>5861977</v>
      </c>
      <c r="G8" s="7">
        <v>5488448</v>
      </c>
      <c r="H8" s="7">
        <v>449658</v>
      </c>
      <c r="I8" s="7">
        <v>14667465</v>
      </c>
      <c r="J8" s="7">
        <v>0</v>
      </c>
      <c r="K8" s="7">
        <v>0</v>
      </c>
      <c r="L8" s="7">
        <f>SUM(C8:K8)</f>
        <v>256565339</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17495454</v>
      </c>
      <c r="D11" s="9"/>
      <c r="E11" s="9"/>
      <c r="F11" s="9"/>
      <c r="J11" s="30"/>
      <c r="L11" s="27">
        <f>SUM(C11:K11)</f>
        <v>17495454</v>
      </c>
    </row>
    <row r="12" spans="1:12" ht="15.75">
      <c r="A12" s="11">
        <f t="shared" si="0"/>
        <v>5</v>
      </c>
      <c r="B12" s="6" t="s">
        <v>79</v>
      </c>
      <c r="C12" s="9">
        <v>255386842</v>
      </c>
      <c r="D12" s="9"/>
      <c r="E12" s="9"/>
      <c r="F12" s="9"/>
      <c r="J12" s="30"/>
      <c r="L12" s="27">
        <f aca="true" t="shared" si="1" ref="L12:L67">SUM(C12:K12)</f>
        <v>255386842</v>
      </c>
    </row>
    <row r="13" spans="1:12" ht="15.75">
      <c r="A13" s="11">
        <f t="shared" si="0"/>
        <v>6</v>
      </c>
      <c r="B13" s="6" t="s">
        <v>42</v>
      </c>
      <c r="C13" s="31"/>
      <c r="D13" s="9"/>
      <c r="E13" s="9"/>
      <c r="F13" s="9"/>
      <c r="J13" s="30"/>
      <c r="L13" s="27">
        <f t="shared" si="1"/>
        <v>0</v>
      </c>
    </row>
    <row r="14" spans="1:12" ht="15.75">
      <c r="A14" s="11">
        <f t="shared" si="0"/>
        <v>7</v>
      </c>
      <c r="B14" s="6" t="s">
        <v>8</v>
      </c>
      <c r="C14" s="9">
        <v>111456523</v>
      </c>
      <c r="D14" s="9"/>
      <c r="E14" s="9"/>
      <c r="F14" s="9"/>
      <c r="J14" s="30"/>
      <c r="L14" s="27">
        <f t="shared" si="1"/>
        <v>111456523</v>
      </c>
    </row>
    <row r="15" spans="1:12" ht="15.75">
      <c r="A15" s="11">
        <f t="shared" si="0"/>
        <v>8</v>
      </c>
      <c r="B15" s="6" t="s">
        <v>70</v>
      </c>
      <c r="C15" s="31"/>
      <c r="D15" s="9"/>
      <c r="E15" s="9"/>
      <c r="F15" s="9"/>
      <c r="J15" s="30"/>
      <c r="L15" s="27">
        <f t="shared" si="1"/>
        <v>0</v>
      </c>
    </row>
    <row r="16" spans="1:12" ht="15.75">
      <c r="A16" s="11">
        <f>+A15+1</f>
        <v>9</v>
      </c>
      <c r="B16" s="6" t="s">
        <v>43</v>
      </c>
      <c r="C16" s="31"/>
      <c r="D16" s="9">
        <v>104953653</v>
      </c>
      <c r="E16" s="9"/>
      <c r="F16" s="9"/>
      <c r="G16" s="9">
        <v>30313831</v>
      </c>
      <c r="H16" s="9"/>
      <c r="I16" s="9"/>
      <c r="J16" s="9"/>
      <c r="K16" s="9"/>
      <c r="L16" s="27">
        <f t="shared" si="1"/>
        <v>135267484</v>
      </c>
    </row>
    <row r="17" spans="1:12" ht="15.75">
      <c r="A17" s="11">
        <f t="shared" si="0"/>
        <v>10</v>
      </c>
      <c r="B17" s="6" t="s">
        <v>44</v>
      </c>
      <c r="C17" s="31"/>
      <c r="D17" s="9"/>
      <c r="E17" s="9"/>
      <c r="F17" s="9"/>
      <c r="G17" s="9"/>
      <c r="H17" s="9"/>
      <c r="I17" s="9"/>
      <c r="J17" s="9"/>
      <c r="K17" s="9"/>
      <c r="L17" s="27">
        <f t="shared" si="1"/>
        <v>0</v>
      </c>
    </row>
    <row r="18" spans="1:12" ht="15.75">
      <c r="A18" s="11">
        <f t="shared" si="0"/>
        <v>11</v>
      </c>
      <c r="B18" s="6" t="s">
        <v>45</v>
      </c>
      <c r="C18" s="31"/>
      <c r="D18" s="9">
        <v>13284126</v>
      </c>
      <c r="E18" s="9">
        <v>30001</v>
      </c>
      <c r="F18" s="9">
        <v>115169</v>
      </c>
      <c r="G18" s="9">
        <v>52173419</v>
      </c>
      <c r="H18" s="9"/>
      <c r="I18" s="9"/>
      <c r="J18" s="9"/>
      <c r="K18" s="9"/>
      <c r="L18" s="27">
        <f t="shared" si="1"/>
        <v>65602715</v>
      </c>
    </row>
    <row r="19" spans="1:12" ht="15.75">
      <c r="A19" s="11">
        <f t="shared" si="0"/>
        <v>12</v>
      </c>
      <c r="B19" s="6" t="s">
        <v>46</v>
      </c>
      <c r="C19" s="31"/>
      <c r="D19" s="9">
        <v>18890731</v>
      </c>
      <c r="E19" s="9"/>
      <c r="F19" s="9">
        <v>16500</v>
      </c>
      <c r="G19" s="9">
        <v>11277936</v>
      </c>
      <c r="H19" s="9"/>
      <c r="I19" s="9"/>
      <c r="J19" s="9"/>
      <c r="K19" s="9"/>
      <c r="L19" s="27">
        <f t="shared" si="1"/>
        <v>30185167</v>
      </c>
    </row>
    <row r="20" spans="1:12" ht="15.75">
      <c r="A20" s="11">
        <f t="shared" si="0"/>
        <v>13</v>
      </c>
      <c r="B20" s="6" t="s">
        <v>97</v>
      </c>
      <c r="C20" s="31"/>
      <c r="D20" s="9"/>
      <c r="E20" s="9"/>
      <c r="F20" s="9"/>
      <c r="J20" s="30"/>
      <c r="L20" s="27">
        <f t="shared" si="1"/>
        <v>0</v>
      </c>
    </row>
    <row r="21" spans="1:12" ht="15.75">
      <c r="A21" s="11">
        <f t="shared" si="0"/>
        <v>14</v>
      </c>
      <c r="B21" s="6" t="s">
        <v>47</v>
      </c>
      <c r="C21" s="9">
        <v>9000000</v>
      </c>
      <c r="D21" s="9">
        <f>19350606+66000000</f>
        <v>85350606</v>
      </c>
      <c r="E21" s="9">
        <f>7315398+5000000+34164954</f>
        <v>46480352</v>
      </c>
      <c r="F21" s="9">
        <f>817079+19209805</f>
        <v>20026884</v>
      </c>
      <c r="G21" s="9">
        <f>21286+201760</f>
        <v>223046</v>
      </c>
      <c r="H21" s="9">
        <v>347247</v>
      </c>
      <c r="I21" s="9">
        <v>6877466</v>
      </c>
      <c r="J21" s="9"/>
      <c r="K21" s="9"/>
      <c r="L21" s="27">
        <f t="shared" si="1"/>
        <v>168305601</v>
      </c>
    </row>
    <row r="22" spans="1:12" ht="15.75">
      <c r="A22" s="11">
        <f t="shared" si="0"/>
        <v>15</v>
      </c>
      <c r="B22" s="6" t="s">
        <v>48</v>
      </c>
      <c r="C22" s="31"/>
      <c r="D22" s="9">
        <f>17043337+113848</f>
        <v>17157185</v>
      </c>
      <c r="E22" s="9">
        <f>66261638+7104451+12845242+1671418+831031</f>
        <v>88713780</v>
      </c>
      <c r="F22" s="9">
        <f>241350+104500+454000</f>
        <v>799850</v>
      </c>
      <c r="H22" s="9">
        <v>460000</v>
      </c>
      <c r="I22" s="9">
        <v>27221258</v>
      </c>
      <c r="J22" s="30"/>
      <c r="L22" s="27">
        <f t="shared" si="1"/>
        <v>134352073</v>
      </c>
    </row>
    <row r="23" spans="1:12" ht="15.75">
      <c r="A23" s="11">
        <f t="shared" si="0"/>
        <v>16</v>
      </c>
      <c r="B23" s="6" t="s">
        <v>54</v>
      </c>
      <c r="C23" s="31"/>
      <c r="D23" s="9"/>
      <c r="E23" s="9">
        <f>8658479+900000</f>
        <v>9558479</v>
      </c>
      <c r="F23" s="9"/>
      <c r="J23" s="30"/>
      <c r="L23" s="27">
        <f t="shared" si="1"/>
        <v>9558479</v>
      </c>
    </row>
    <row r="24" spans="1:12" ht="15.75">
      <c r="A24" s="11">
        <f t="shared" si="0"/>
        <v>17</v>
      </c>
      <c r="B24" s="6" t="s">
        <v>51</v>
      </c>
      <c r="C24" s="31"/>
      <c r="D24" s="9">
        <v>1884173</v>
      </c>
      <c r="E24" s="9">
        <v>24494778</v>
      </c>
      <c r="F24" s="9">
        <v>8269655</v>
      </c>
      <c r="G24" s="9">
        <v>5594984</v>
      </c>
      <c r="H24" s="9"/>
      <c r="I24" s="9">
        <v>4747000</v>
      </c>
      <c r="J24" s="9"/>
      <c r="K24" s="9"/>
      <c r="L24" s="27">
        <f t="shared" si="1"/>
        <v>44990590</v>
      </c>
    </row>
    <row r="25" spans="1:12" ht="15.75">
      <c r="A25" s="11">
        <f t="shared" si="0"/>
        <v>18</v>
      </c>
      <c r="B25" s="6" t="s">
        <v>52</v>
      </c>
      <c r="C25" s="31"/>
      <c r="D25" s="9">
        <v>15825</v>
      </c>
      <c r="E25" s="9">
        <v>2569933</v>
      </c>
      <c r="F25" s="9">
        <v>1491040</v>
      </c>
      <c r="G25" s="9"/>
      <c r="H25" s="9"/>
      <c r="I25" s="9"/>
      <c r="J25" s="9"/>
      <c r="K25" s="9"/>
      <c r="L25" s="27">
        <f t="shared" si="1"/>
        <v>4076798</v>
      </c>
    </row>
    <row r="26" spans="1:12" ht="15.75">
      <c r="A26" s="11">
        <f t="shared" si="0"/>
        <v>19</v>
      </c>
      <c r="B26" s="6" t="s">
        <v>53</v>
      </c>
      <c r="C26" s="31"/>
      <c r="D26" s="9"/>
      <c r="E26" s="9">
        <v>22043328</v>
      </c>
      <c r="F26" s="9">
        <v>294650</v>
      </c>
      <c r="J26" s="30"/>
      <c r="L26" s="27">
        <f t="shared" si="1"/>
        <v>22337978</v>
      </c>
    </row>
    <row r="27" spans="1:12" ht="15.75">
      <c r="A27" s="11">
        <f t="shared" si="0"/>
        <v>20</v>
      </c>
      <c r="B27" s="6" t="s">
        <v>56</v>
      </c>
      <c r="C27" s="31"/>
      <c r="D27" s="9"/>
      <c r="E27" s="9"/>
      <c r="F27" s="9"/>
      <c r="H27" s="9"/>
      <c r="J27" s="30"/>
      <c r="L27" s="27">
        <f t="shared" si="1"/>
        <v>0</v>
      </c>
    </row>
    <row r="28" spans="1:12" ht="15.75">
      <c r="A28" s="11">
        <f t="shared" si="0"/>
        <v>21</v>
      </c>
      <c r="B28" s="6" t="s">
        <v>80</v>
      </c>
      <c r="C28" s="31"/>
      <c r="D28" s="9"/>
      <c r="E28" s="9"/>
      <c r="F28" s="9"/>
      <c r="H28" s="9"/>
      <c r="J28" s="9"/>
      <c r="L28" s="27">
        <f t="shared" si="1"/>
        <v>0</v>
      </c>
    </row>
    <row r="29" spans="1:12" ht="16.5">
      <c r="A29" s="11">
        <f>+A27+1</f>
        <v>21</v>
      </c>
      <c r="B29" s="6" t="s">
        <v>76</v>
      </c>
      <c r="C29" s="31"/>
      <c r="D29" s="9">
        <f>1525464+26481+365</f>
        <v>1552310</v>
      </c>
      <c r="E29" s="9">
        <f>4835748+576550+1032+2634+50000+2+449000</f>
        <v>5914966</v>
      </c>
      <c r="F29" s="9">
        <f>1+55</f>
        <v>56</v>
      </c>
      <c r="G29" s="9">
        <f>1043806+4070</f>
        <v>1047876</v>
      </c>
      <c r="H29" s="9"/>
      <c r="I29" s="9">
        <v>275000</v>
      </c>
      <c r="J29" s="9"/>
      <c r="K29" s="9"/>
      <c r="L29" s="27">
        <f>SUM(C29:K29)</f>
        <v>8790208</v>
      </c>
    </row>
    <row r="30" spans="1:13" ht="15.75">
      <c r="A30" s="11">
        <f t="shared" si="0"/>
        <v>22</v>
      </c>
      <c r="B30" s="6" t="s">
        <v>10</v>
      </c>
      <c r="C30" s="7">
        <f>SUM(C11:C29)</f>
        <v>393338819</v>
      </c>
      <c r="D30" s="7">
        <f aca="true" t="shared" si="2" ref="D30:K30">SUM(D11:D29)</f>
        <v>243088609</v>
      </c>
      <c r="E30" s="7">
        <f t="shared" si="2"/>
        <v>199805617</v>
      </c>
      <c r="F30" s="7">
        <f t="shared" si="2"/>
        <v>31013804</v>
      </c>
      <c r="G30" s="7">
        <f t="shared" si="2"/>
        <v>100631092</v>
      </c>
      <c r="H30" s="7">
        <f t="shared" si="2"/>
        <v>807247</v>
      </c>
      <c r="I30" s="7">
        <f t="shared" si="2"/>
        <v>39120724</v>
      </c>
      <c r="J30" s="7">
        <f>SUM(J11:J29)</f>
        <v>0</v>
      </c>
      <c r="K30" s="7">
        <f t="shared" si="2"/>
        <v>0</v>
      </c>
      <c r="L30" s="28">
        <f>SUM(C30:K30)</f>
        <v>1007805912</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276168099</v>
      </c>
      <c r="D33" s="9">
        <v>63407230</v>
      </c>
      <c r="E33" s="9">
        <v>38400942</v>
      </c>
      <c r="F33" s="9">
        <v>4613637</v>
      </c>
      <c r="G33" s="9"/>
      <c r="H33" s="9"/>
      <c r="I33" s="9">
        <v>10289808</v>
      </c>
      <c r="J33" s="9"/>
      <c r="K33" s="9"/>
      <c r="L33" s="27">
        <f t="shared" si="1"/>
        <v>392879716</v>
      </c>
    </row>
    <row r="34" spans="1:12" ht="15.75">
      <c r="A34" s="11">
        <f t="shared" si="0"/>
        <v>26</v>
      </c>
      <c r="B34" s="6" t="s">
        <v>59</v>
      </c>
      <c r="C34" s="9">
        <v>22527000</v>
      </c>
      <c r="D34" s="9">
        <v>21027134</v>
      </c>
      <c r="E34" s="9">
        <v>10705625</v>
      </c>
      <c r="F34" s="9">
        <v>2769864</v>
      </c>
      <c r="G34" s="9">
        <v>1363538</v>
      </c>
      <c r="H34" s="9">
        <v>392</v>
      </c>
      <c r="I34" s="9">
        <v>1081055</v>
      </c>
      <c r="J34" s="9"/>
      <c r="K34" s="9"/>
      <c r="L34" s="27">
        <f t="shared" si="1"/>
        <v>59474608</v>
      </c>
    </row>
    <row r="35" spans="1:12" ht="15.75">
      <c r="A35" s="11">
        <f t="shared" si="0"/>
        <v>27</v>
      </c>
      <c r="B35" s="6" t="s">
        <v>14</v>
      </c>
      <c r="C35" s="9">
        <v>61968037</v>
      </c>
      <c r="D35" s="9">
        <v>45563674</v>
      </c>
      <c r="E35" s="9">
        <v>94334104</v>
      </c>
      <c r="F35" s="9">
        <v>6673839</v>
      </c>
      <c r="G35" s="9">
        <v>99460342</v>
      </c>
      <c r="H35" s="9">
        <v>487432</v>
      </c>
      <c r="I35" s="9">
        <v>26615378</v>
      </c>
      <c r="J35" s="9"/>
      <c r="K35" s="9"/>
      <c r="L35" s="27">
        <f t="shared" si="1"/>
        <v>335102806</v>
      </c>
    </row>
    <row r="36" spans="1:12" ht="15.75">
      <c r="A36" s="11">
        <f t="shared" si="0"/>
        <v>28</v>
      </c>
      <c r="B36" s="6" t="s">
        <v>60</v>
      </c>
      <c r="C36" s="9">
        <v>9341058</v>
      </c>
      <c r="D36" s="9">
        <v>9045939</v>
      </c>
      <c r="E36" s="9">
        <v>8706157</v>
      </c>
      <c r="F36" s="9">
        <v>679579</v>
      </c>
      <c r="G36" s="9"/>
      <c r="H36" s="9">
        <v>1172</v>
      </c>
      <c r="I36" s="9">
        <v>812950</v>
      </c>
      <c r="J36" s="9"/>
      <c r="K36" s="9"/>
      <c r="L36" s="27">
        <f t="shared" si="1"/>
        <v>28586855</v>
      </c>
    </row>
    <row r="37" spans="1:12" ht="15.75">
      <c r="A37" s="11">
        <f t="shared" si="0"/>
        <v>29</v>
      </c>
      <c r="B37" s="6" t="s">
        <v>42</v>
      </c>
      <c r="C37" s="9"/>
      <c r="D37" s="9"/>
      <c r="E37" s="9"/>
      <c r="F37" s="9"/>
      <c r="J37" s="30"/>
      <c r="L37" s="27">
        <f t="shared" si="1"/>
        <v>0</v>
      </c>
    </row>
    <row r="38" spans="1:12" ht="15.75">
      <c r="A38" s="11">
        <f t="shared" si="0"/>
        <v>30</v>
      </c>
      <c r="B38" s="6" t="s">
        <v>16</v>
      </c>
      <c r="C38" s="9">
        <v>45236</v>
      </c>
      <c r="D38" s="9"/>
      <c r="E38" s="9"/>
      <c r="F38" s="9"/>
      <c r="J38" s="30"/>
      <c r="L38" s="27">
        <f t="shared" si="1"/>
        <v>45236</v>
      </c>
    </row>
    <row r="39" spans="1:12" ht="15.75" hidden="1">
      <c r="A39" s="11">
        <f t="shared" si="0"/>
        <v>31</v>
      </c>
      <c r="B39" s="6" t="s">
        <v>27</v>
      </c>
      <c r="C39" s="9"/>
      <c r="D39" s="9"/>
      <c r="E39" s="9"/>
      <c r="F39" s="9"/>
      <c r="J39" s="30"/>
      <c r="L39" s="27">
        <f t="shared" si="1"/>
        <v>0</v>
      </c>
    </row>
    <row r="40" spans="1:12" ht="15.75">
      <c r="A40" s="11">
        <f>+A38+1</f>
        <v>31</v>
      </c>
      <c r="B40" s="6" t="s">
        <v>28</v>
      </c>
      <c r="C40" s="9"/>
      <c r="D40" s="9"/>
      <c r="E40" s="9"/>
      <c r="F40" s="9"/>
      <c r="J40" s="30"/>
      <c r="L40" s="27">
        <f t="shared" si="1"/>
        <v>0</v>
      </c>
    </row>
    <row r="41" spans="1:12" ht="15.75">
      <c r="A41" s="11">
        <f t="shared" si="0"/>
        <v>32</v>
      </c>
      <c r="B41" s="6" t="s">
        <v>34</v>
      </c>
      <c r="C41" s="9">
        <v>1017155</v>
      </c>
      <c r="D41" s="9"/>
      <c r="E41" s="9"/>
      <c r="F41" s="9"/>
      <c r="J41" s="30"/>
      <c r="L41" s="27">
        <f t="shared" si="1"/>
        <v>1017155</v>
      </c>
    </row>
    <row r="42" spans="1:12" ht="15.75">
      <c r="A42" s="11">
        <f t="shared" si="0"/>
        <v>33</v>
      </c>
      <c r="B42" s="6" t="s">
        <v>17</v>
      </c>
      <c r="C42" s="9">
        <v>6240145</v>
      </c>
      <c r="D42" s="9"/>
      <c r="E42" s="9"/>
      <c r="F42" s="9"/>
      <c r="J42" s="30"/>
      <c r="L42" s="27">
        <f t="shared" si="1"/>
        <v>6240145</v>
      </c>
    </row>
    <row r="43" spans="1:12" ht="15.75">
      <c r="A43" s="11">
        <f t="shared" si="0"/>
        <v>34</v>
      </c>
      <c r="B43" s="6" t="s">
        <v>18</v>
      </c>
      <c r="C43" s="9">
        <v>2009457</v>
      </c>
      <c r="D43" s="9"/>
      <c r="E43" s="9"/>
      <c r="F43" s="9"/>
      <c r="J43" s="30"/>
      <c r="L43" s="27">
        <f t="shared" si="1"/>
        <v>2009457</v>
      </c>
    </row>
    <row r="44" spans="2:12" ht="15.75" hidden="1">
      <c r="B44" s="6" t="s">
        <v>29</v>
      </c>
      <c r="C44" s="9">
        <v>0</v>
      </c>
      <c r="D44" s="9"/>
      <c r="E44" s="9"/>
      <c r="F44" s="9"/>
      <c r="J44" s="30"/>
      <c r="L44" s="27">
        <f t="shared" si="1"/>
        <v>0</v>
      </c>
    </row>
    <row r="45" spans="2:12" ht="15.75" hidden="1">
      <c r="B45" s="6" t="s">
        <v>35</v>
      </c>
      <c r="C45" s="9">
        <v>0</v>
      </c>
      <c r="D45" s="9"/>
      <c r="E45" s="9"/>
      <c r="F45" s="9"/>
      <c r="J45" s="30"/>
      <c r="L45" s="27">
        <f t="shared" si="1"/>
        <v>0</v>
      </c>
    </row>
    <row r="46" spans="1:12" ht="15.75">
      <c r="A46" s="11">
        <f>+A43+1</f>
        <v>35</v>
      </c>
      <c r="B46" s="6" t="s">
        <v>19</v>
      </c>
      <c r="C46" s="9">
        <v>12830119</v>
      </c>
      <c r="D46" s="9"/>
      <c r="E46" s="9"/>
      <c r="F46" s="9"/>
      <c r="J46" s="30"/>
      <c r="L46" s="27">
        <f t="shared" si="1"/>
        <v>12830119</v>
      </c>
    </row>
    <row r="47" spans="1:12" ht="15.75">
      <c r="A47" s="11">
        <f t="shared" si="0"/>
        <v>36</v>
      </c>
      <c r="B47" s="6" t="s">
        <v>30</v>
      </c>
      <c r="C47" s="9"/>
      <c r="D47" s="9"/>
      <c r="E47" s="9"/>
      <c r="F47" s="9"/>
      <c r="J47" s="30"/>
      <c r="L47" s="27">
        <f t="shared" si="1"/>
        <v>0</v>
      </c>
    </row>
    <row r="48" spans="1:12" ht="15.75">
      <c r="A48" s="11">
        <f t="shared" si="0"/>
        <v>37</v>
      </c>
      <c r="B48" s="6" t="s">
        <v>31</v>
      </c>
      <c r="C48" s="9"/>
      <c r="D48" s="9"/>
      <c r="E48" s="9"/>
      <c r="F48" s="9"/>
      <c r="J48" s="30"/>
      <c r="L48" s="27">
        <f t="shared" si="1"/>
        <v>0</v>
      </c>
    </row>
    <row r="49" spans="1:12" ht="15.75">
      <c r="A49" s="11">
        <f t="shared" si="0"/>
        <v>38</v>
      </c>
      <c r="B49" s="6" t="s">
        <v>32</v>
      </c>
      <c r="C49" s="9"/>
      <c r="D49" s="9"/>
      <c r="E49" s="9"/>
      <c r="F49" s="9"/>
      <c r="J49" s="30"/>
      <c r="L49" s="27">
        <f t="shared" si="1"/>
        <v>0</v>
      </c>
    </row>
    <row r="50" spans="1:12" ht="15.75">
      <c r="A50" s="11">
        <f t="shared" si="0"/>
        <v>39</v>
      </c>
      <c r="B50" s="6" t="s">
        <v>20</v>
      </c>
      <c r="C50" s="9">
        <v>1113673</v>
      </c>
      <c r="D50" s="9"/>
      <c r="E50" s="9"/>
      <c r="F50" s="9"/>
      <c r="J50" s="30"/>
      <c r="K50" s="9"/>
      <c r="L50" s="27">
        <f t="shared" si="1"/>
        <v>1113673</v>
      </c>
    </row>
    <row r="51" spans="1:12" ht="15.75">
      <c r="A51" s="11">
        <f t="shared" si="0"/>
        <v>40</v>
      </c>
      <c r="B51" s="22" t="s">
        <v>33</v>
      </c>
      <c r="C51" s="9"/>
      <c r="D51" s="9"/>
      <c r="E51" s="9"/>
      <c r="F51" s="9"/>
      <c r="J51" s="30"/>
      <c r="L51" s="27">
        <f t="shared" si="1"/>
        <v>0</v>
      </c>
    </row>
    <row r="52" spans="1:12" ht="15.75">
      <c r="A52" s="11">
        <f t="shared" si="0"/>
        <v>41</v>
      </c>
      <c r="B52" s="22" t="s">
        <v>36</v>
      </c>
      <c r="C52" s="9"/>
      <c r="D52" s="9"/>
      <c r="E52" s="9"/>
      <c r="F52" s="9"/>
      <c r="J52" s="30"/>
      <c r="L52" s="27">
        <f t="shared" si="1"/>
        <v>0</v>
      </c>
    </row>
    <row r="53" spans="1:12" ht="15.75">
      <c r="A53" s="11">
        <f t="shared" si="0"/>
        <v>42</v>
      </c>
      <c r="B53" s="22" t="s">
        <v>37</v>
      </c>
      <c r="C53" s="9">
        <v>78840</v>
      </c>
      <c r="D53" s="9"/>
      <c r="E53" s="9"/>
      <c r="F53" s="9"/>
      <c r="J53" s="30"/>
      <c r="L53" s="27">
        <f t="shared" si="1"/>
        <v>78840</v>
      </c>
    </row>
    <row r="54" spans="1:12" ht="15.75">
      <c r="A54" s="11">
        <f t="shared" si="0"/>
        <v>43</v>
      </c>
      <c r="B54" s="23" t="s">
        <v>78</v>
      </c>
      <c r="C54" s="9"/>
      <c r="D54" s="9"/>
      <c r="E54" s="9"/>
      <c r="F54" s="9"/>
      <c r="J54" s="30"/>
      <c r="L54" s="27">
        <f t="shared" si="1"/>
        <v>0</v>
      </c>
    </row>
    <row r="55" spans="1:12" ht="15.75">
      <c r="A55" s="11">
        <f t="shared" si="0"/>
        <v>44</v>
      </c>
      <c r="B55" s="22" t="s">
        <v>39</v>
      </c>
      <c r="C55" s="9"/>
      <c r="D55" s="9"/>
      <c r="E55" s="9"/>
      <c r="F55" s="9"/>
      <c r="J55" s="30"/>
      <c r="L55" s="27">
        <f t="shared" si="1"/>
        <v>0</v>
      </c>
    </row>
    <row r="56" spans="1:12" ht="15.75">
      <c r="A56" s="11">
        <f t="shared" si="0"/>
        <v>45</v>
      </c>
      <c r="B56" s="22" t="s">
        <v>57</v>
      </c>
      <c r="C56" s="9"/>
      <c r="D56" s="9"/>
      <c r="E56" s="9"/>
      <c r="F56" s="9"/>
      <c r="J56" s="30"/>
      <c r="L56" s="27">
        <f t="shared" si="1"/>
        <v>0</v>
      </c>
    </row>
    <row r="57" spans="1:12" ht="15.75">
      <c r="A57" s="11">
        <f t="shared" si="0"/>
        <v>46</v>
      </c>
      <c r="B57" s="22" t="s">
        <v>58</v>
      </c>
      <c r="C57" s="9"/>
      <c r="D57" s="9"/>
      <c r="E57" s="9"/>
      <c r="F57" s="9"/>
      <c r="J57" s="30"/>
      <c r="L57" s="27">
        <f t="shared" si="1"/>
        <v>0</v>
      </c>
    </row>
    <row r="58" spans="1:12" ht="15.75">
      <c r="A58" s="11">
        <f t="shared" si="0"/>
        <v>47</v>
      </c>
      <c r="B58" s="6" t="s">
        <v>49</v>
      </c>
      <c r="C58" s="21"/>
      <c r="D58" s="9">
        <v>39082087</v>
      </c>
      <c r="E58" s="9"/>
      <c r="F58" s="9"/>
      <c r="J58" s="30"/>
      <c r="L58" s="27">
        <f t="shared" si="1"/>
        <v>39082087</v>
      </c>
    </row>
    <row r="59" spans="1:12" ht="15.75">
      <c r="A59" s="11">
        <f t="shared" si="0"/>
        <v>48</v>
      </c>
      <c r="B59" s="6" t="s">
        <v>55</v>
      </c>
      <c r="C59" s="21"/>
      <c r="D59" s="9"/>
      <c r="E59" s="9">
        <v>9095000</v>
      </c>
      <c r="F59" s="9"/>
      <c r="I59" s="9"/>
      <c r="J59" s="9"/>
      <c r="K59" s="9"/>
      <c r="L59" s="27">
        <f t="shared" si="1"/>
        <v>9095000</v>
      </c>
    </row>
    <row r="60" spans="1:12" ht="15.75">
      <c r="A60" s="11">
        <f>+A59+1</f>
        <v>49</v>
      </c>
      <c r="B60" s="6" t="s">
        <v>21</v>
      </c>
      <c r="C60" s="7">
        <f>SUM(C33:C59)</f>
        <v>393338819</v>
      </c>
      <c r="D60" s="7">
        <f aca="true" t="shared" si="3" ref="D60:K60">SUM(D33:D59)</f>
        <v>178126064</v>
      </c>
      <c r="E60" s="7">
        <f t="shared" si="3"/>
        <v>161241828</v>
      </c>
      <c r="F60" s="7">
        <f t="shared" si="3"/>
        <v>14736919</v>
      </c>
      <c r="G60" s="7">
        <f t="shared" si="3"/>
        <v>100823880</v>
      </c>
      <c r="H60" s="7">
        <f t="shared" si="3"/>
        <v>488996</v>
      </c>
      <c r="I60" s="7">
        <f t="shared" si="3"/>
        <v>38799191</v>
      </c>
      <c r="J60" s="7">
        <f t="shared" si="3"/>
        <v>0</v>
      </c>
      <c r="K60" s="7">
        <f t="shared" si="3"/>
        <v>0</v>
      </c>
      <c r="L60" s="28">
        <f>SUM(C60:K60)</f>
        <v>887555697</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31"/>
      <c r="D63" s="9">
        <f>85350606+500000</f>
        <v>85850606</v>
      </c>
      <c r="E63" s="9">
        <f>34164954+23467356</f>
        <v>57632310</v>
      </c>
      <c r="F63" s="12">
        <f>19209805+144881</f>
        <v>19354686</v>
      </c>
      <c r="G63" s="12">
        <f>201760+610378</f>
        <v>812138</v>
      </c>
      <c r="H63" s="12">
        <f>347247+20000</f>
        <v>367247</v>
      </c>
      <c r="I63" s="12">
        <f>1457386+1850000</f>
        <v>3307386</v>
      </c>
      <c r="J63" s="12"/>
      <c r="K63" s="12"/>
      <c r="L63" s="27">
        <f t="shared" si="1"/>
        <v>167324373</v>
      </c>
    </row>
    <row r="64" spans="1:12" ht="15.75">
      <c r="A64" s="11">
        <f t="shared" si="0"/>
        <v>53</v>
      </c>
      <c r="B64" s="6" t="s">
        <v>50</v>
      </c>
      <c r="C64" s="31"/>
      <c r="D64" s="9"/>
      <c r="E64" s="9"/>
      <c r="F64" s="9"/>
      <c r="I64" s="9"/>
      <c r="J64" s="9"/>
      <c r="L64" s="27">
        <f t="shared" si="1"/>
        <v>0</v>
      </c>
    </row>
    <row r="65" spans="1:12" ht="15.75">
      <c r="A65" s="11">
        <f>+A64+1</f>
        <v>54</v>
      </c>
      <c r="B65" s="6" t="s">
        <v>26</v>
      </c>
      <c r="C65" s="9">
        <v>10000000</v>
      </c>
      <c r="D65" s="9"/>
      <c r="E65" s="9"/>
      <c r="F65" s="9"/>
      <c r="J65" s="30"/>
      <c r="L65" s="27">
        <f>SUM(C65:K65)</f>
        <v>10000000</v>
      </c>
    </row>
    <row r="66" spans="1:12" ht="16.5">
      <c r="A66" s="11">
        <f>+A65+1</f>
        <v>55</v>
      </c>
      <c r="B66" s="6" t="s">
        <v>77</v>
      </c>
      <c r="C66" s="31"/>
      <c r="D66" s="9"/>
      <c r="E66" s="9"/>
      <c r="F66" s="9"/>
      <c r="J66" s="30"/>
      <c r="L66" s="27">
        <f t="shared" si="1"/>
        <v>0</v>
      </c>
    </row>
    <row r="67" spans="1:12" ht="15.75">
      <c r="A67" s="11">
        <f t="shared" si="0"/>
        <v>56</v>
      </c>
      <c r="B67" s="6" t="s">
        <v>24</v>
      </c>
      <c r="C67" s="7">
        <f aca="true" t="shared" si="4" ref="C67:K67">SUM(C63:C66)</f>
        <v>10000000</v>
      </c>
      <c r="D67" s="7">
        <f t="shared" si="4"/>
        <v>85850606</v>
      </c>
      <c r="E67" s="7">
        <f t="shared" si="4"/>
        <v>57632310</v>
      </c>
      <c r="F67" s="7">
        <f t="shared" si="4"/>
        <v>19354686</v>
      </c>
      <c r="G67" s="7">
        <f t="shared" si="4"/>
        <v>812138</v>
      </c>
      <c r="H67" s="7">
        <f t="shared" si="4"/>
        <v>367247</v>
      </c>
      <c r="I67" s="7">
        <f t="shared" si="4"/>
        <v>3307386</v>
      </c>
      <c r="J67" s="7">
        <f t="shared" si="4"/>
        <v>0</v>
      </c>
      <c r="K67" s="7">
        <f t="shared" si="4"/>
        <v>0</v>
      </c>
      <c r="L67" s="28">
        <f t="shared" si="1"/>
        <v>177324373</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33573288</v>
      </c>
      <c r="D69" s="13">
        <f t="shared" si="5"/>
        <v>20825847</v>
      </c>
      <c r="E69" s="13">
        <f t="shared" si="5"/>
        <v>125742074</v>
      </c>
      <c r="F69" s="13">
        <f t="shared" si="5"/>
        <v>2784176</v>
      </c>
      <c r="G69" s="13">
        <f t="shared" si="5"/>
        <v>4483522</v>
      </c>
      <c r="H69" s="13">
        <f t="shared" si="5"/>
        <v>400662</v>
      </c>
      <c r="I69" s="13">
        <f t="shared" si="5"/>
        <v>11681612</v>
      </c>
      <c r="J69" s="13">
        <f t="shared" si="5"/>
        <v>0</v>
      </c>
      <c r="K69" s="13">
        <f t="shared" si="5"/>
        <v>0</v>
      </c>
      <c r="L69" s="29">
        <f>SUM(C69:K69)</f>
        <v>199491181</v>
      </c>
      <c r="M69" s="21">
        <f>+L8+L30-L60-L67</f>
        <v>199491181</v>
      </c>
    </row>
    <row r="70" ht="16.5" thickTop="1">
      <c r="J70" s="30"/>
    </row>
    <row r="72" ht="15.75">
      <c r="C72" s="21"/>
    </row>
  </sheetData>
  <mergeCells count="4">
    <mergeCell ref="F5:J5"/>
    <mergeCell ref="B1:L1"/>
    <mergeCell ref="B2:L2"/>
    <mergeCell ref="B3:L3"/>
  </mergeCells>
  <printOptions horizontalCentered="1"/>
  <pageMargins left="0" right="0" top="1" bottom="1" header="0.5" footer="0.5"/>
  <pageSetup horizontalDpi="600" verticalDpi="600" orientation="landscape" scale="60" r:id="rId4"/>
  <drawing r:id="rId3"/>
  <legacyDrawing r:id="rId2"/>
</worksheet>
</file>

<file path=xl/worksheets/sheet6.xml><?xml version="1.0" encoding="utf-8"?>
<worksheet xmlns="http://schemas.openxmlformats.org/spreadsheetml/2006/main" xmlns:r="http://schemas.openxmlformats.org/officeDocument/2006/relationships">
  <dimension ref="A1:C51"/>
  <sheetViews>
    <sheetView workbookViewId="0" topLeftCell="A1">
      <selection activeCell="D17" sqref="D17"/>
    </sheetView>
  </sheetViews>
  <sheetFormatPr defaultColWidth="8.88671875" defaultRowHeight="15"/>
  <cols>
    <col min="2" max="2" width="27.4453125" style="0" customWidth="1"/>
    <col min="3" max="3" width="10.77734375" style="0" bestFit="1" customWidth="1"/>
  </cols>
  <sheetData>
    <row r="1" spans="1:3" ht="15.75">
      <c r="A1" s="54" t="s">
        <v>96</v>
      </c>
      <c r="B1" s="54"/>
      <c r="C1" s="54"/>
    </row>
    <row r="2" spans="1:3" ht="15.75">
      <c r="A2" s="54" t="s">
        <v>1</v>
      </c>
      <c r="B2" s="54"/>
      <c r="C2" s="54"/>
    </row>
    <row r="3" spans="1:3" ht="15.75">
      <c r="A3" s="54" t="s">
        <v>2</v>
      </c>
      <c r="B3" s="54"/>
      <c r="C3" s="54"/>
    </row>
    <row r="4" spans="1:3" ht="15">
      <c r="A4" s="55"/>
      <c r="B4" s="55"/>
      <c r="C4" s="55"/>
    </row>
    <row r="5" spans="1:3" ht="15">
      <c r="A5" s="2"/>
      <c r="B5" s="2"/>
      <c r="C5" s="3" t="s">
        <v>3</v>
      </c>
    </row>
    <row r="6" spans="1:3" ht="15">
      <c r="A6" s="48"/>
      <c r="B6" s="4"/>
      <c r="C6" s="1" t="s">
        <v>84</v>
      </c>
    </row>
    <row r="7" spans="1:3" ht="15">
      <c r="A7" s="2"/>
      <c r="B7" s="2"/>
      <c r="C7" s="5"/>
    </row>
    <row r="8" spans="1:3" ht="15">
      <c r="A8" s="2"/>
      <c r="B8" s="6" t="s">
        <v>4</v>
      </c>
      <c r="C8" s="7">
        <v>19663374</v>
      </c>
    </row>
    <row r="9" spans="1:3" ht="15">
      <c r="A9" s="2"/>
      <c r="B9" s="2"/>
      <c r="C9" s="5"/>
    </row>
    <row r="10" spans="1:3" ht="15">
      <c r="A10" s="2"/>
      <c r="B10" s="8" t="s">
        <v>5</v>
      </c>
      <c r="C10" s="9"/>
    </row>
    <row r="11" spans="1:3" ht="15">
      <c r="A11" s="2"/>
      <c r="B11" s="2" t="s">
        <v>6</v>
      </c>
      <c r="C11" s="10">
        <v>3132</v>
      </c>
    </row>
    <row r="12" spans="1:3" ht="15">
      <c r="A12" s="2"/>
      <c r="B12" s="2" t="s">
        <v>7</v>
      </c>
      <c r="C12" s="10">
        <v>27986638</v>
      </c>
    </row>
    <row r="13" spans="1:3" ht="15">
      <c r="A13" s="2"/>
      <c r="B13" s="2" t="s">
        <v>8</v>
      </c>
      <c r="C13" s="10">
        <v>2638589</v>
      </c>
    </row>
    <row r="14" spans="1:3" ht="15">
      <c r="A14" s="2"/>
      <c r="B14" s="2" t="s">
        <v>9</v>
      </c>
      <c r="C14" s="10">
        <v>0</v>
      </c>
    </row>
    <row r="15" spans="1:3" ht="15">
      <c r="A15" s="2"/>
      <c r="B15" s="2" t="s">
        <v>41</v>
      </c>
      <c r="C15" s="10">
        <v>0</v>
      </c>
    </row>
    <row r="16" spans="1:3" ht="15">
      <c r="A16" s="2"/>
      <c r="B16" s="6" t="s">
        <v>10</v>
      </c>
      <c r="C16" s="7">
        <f>SUM(C11:C15)</f>
        <v>30628359</v>
      </c>
    </row>
    <row r="17" spans="1:3" ht="15">
      <c r="A17" s="2"/>
      <c r="B17" s="6"/>
      <c r="C17" s="9"/>
    </row>
    <row r="18" spans="1:3" ht="15">
      <c r="A18" s="2"/>
      <c r="B18" s="4" t="s">
        <v>11</v>
      </c>
      <c r="C18" s="5"/>
    </row>
    <row r="19" spans="1:3" ht="15">
      <c r="A19" s="2"/>
      <c r="B19" s="2" t="s">
        <v>12</v>
      </c>
      <c r="C19" s="10">
        <v>23583046</v>
      </c>
    </row>
    <row r="20" spans="1:3" ht="15">
      <c r="A20" s="2"/>
      <c r="B20" s="2" t="s">
        <v>13</v>
      </c>
      <c r="C20" s="10">
        <v>2876272</v>
      </c>
    </row>
    <row r="21" spans="1:3" ht="15">
      <c r="A21" s="2"/>
      <c r="B21" s="2" t="s">
        <v>14</v>
      </c>
      <c r="C21" s="10">
        <v>2711698</v>
      </c>
    </row>
    <row r="22" spans="1:3" ht="15">
      <c r="A22" s="2"/>
      <c r="B22" s="2" t="s">
        <v>15</v>
      </c>
      <c r="C22" s="10">
        <v>1197119</v>
      </c>
    </row>
    <row r="23" spans="1:3" ht="15">
      <c r="A23" s="2"/>
      <c r="B23" s="2" t="s">
        <v>16</v>
      </c>
      <c r="C23" s="10">
        <v>0</v>
      </c>
    </row>
    <row r="24" spans="1:3" ht="15">
      <c r="A24" s="2"/>
      <c r="B24" s="2" t="s">
        <v>27</v>
      </c>
      <c r="C24" s="10">
        <v>0</v>
      </c>
    </row>
    <row r="25" spans="1:3" ht="15">
      <c r="A25" s="2"/>
      <c r="B25" s="2" t="s">
        <v>28</v>
      </c>
      <c r="C25" s="10">
        <v>0</v>
      </c>
    </row>
    <row r="26" spans="1:3" ht="15">
      <c r="A26" s="2"/>
      <c r="B26" s="2" t="s">
        <v>34</v>
      </c>
      <c r="C26" s="10">
        <v>0</v>
      </c>
    </row>
    <row r="27" spans="1:3" ht="15">
      <c r="A27" s="2"/>
      <c r="B27" s="2" t="s">
        <v>17</v>
      </c>
      <c r="C27" s="10">
        <v>260224</v>
      </c>
    </row>
    <row r="28" spans="1:3" ht="15">
      <c r="A28" s="2"/>
      <c r="B28" s="2" t="s">
        <v>18</v>
      </c>
      <c r="C28" s="10">
        <v>0</v>
      </c>
    </row>
    <row r="29" spans="1:3" ht="15">
      <c r="A29" s="2"/>
      <c r="B29" s="2" t="s">
        <v>29</v>
      </c>
      <c r="C29" s="10">
        <v>0</v>
      </c>
    </row>
    <row r="30" spans="1:3" ht="15">
      <c r="A30" s="2"/>
      <c r="B30" s="2" t="s">
        <v>35</v>
      </c>
      <c r="C30" s="10">
        <v>0</v>
      </c>
    </row>
    <row r="31" spans="1:3" ht="15">
      <c r="A31" s="2"/>
      <c r="B31" s="2" t="s">
        <v>19</v>
      </c>
      <c r="C31" s="10">
        <v>0</v>
      </c>
    </row>
    <row r="32" spans="1:3" ht="15">
      <c r="A32" s="2"/>
      <c r="B32" s="2" t="s">
        <v>30</v>
      </c>
      <c r="C32" s="10">
        <v>0</v>
      </c>
    </row>
    <row r="33" spans="1:3" ht="15">
      <c r="A33" s="2"/>
      <c r="B33" s="2" t="s">
        <v>31</v>
      </c>
      <c r="C33" s="10">
        <v>0</v>
      </c>
    </row>
    <row r="34" spans="1:3" ht="15">
      <c r="A34" s="2"/>
      <c r="B34" s="2" t="s">
        <v>32</v>
      </c>
      <c r="C34" s="10">
        <v>0</v>
      </c>
    </row>
    <row r="35" spans="1:3" ht="15">
      <c r="A35" s="2"/>
      <c r="B35" s="2" t="s">
        <v>20</v>
      </c>
      <c r="C35" s="10">
        <v>0</v>
      </c>
    </row>
    <row r="36" spans="1:3" ht="15">
      <c r="A36" s="2"/>
      <c r="B36" s="11" t="s">
        <v>33</v>
      </c>
      <c r="C36" s="10">
        <v>0</v>
      </c>
    </row>
    <row r="37" spans="1:3" ht="15">
      <c r="A37" s="2"/>
      <c r="B37" s="11" t="s">
        <v>36</v>
      </c>
      <c r="C37" s="10">
        <v>0</v>
      </c>
    </row>
    <row r="38" spans="1:3" ht="15">
      <c r="A38" s="2"/>
      <c r="B38" s="11" t="s">
        <v>37</v>
      </c>
      <c r="C38" s="10">
        <v>0</v>
      </c>
    </row>
    <row r="39" spans="1:3" ht="15">
      <c r="A39" s="2"/>
      <c r="B39" s="11" t="s">
        <v>38</v>
      </c>
      <c r="C39" s="10">
        <v>0</v>
      </c>
    </row>
    <row r="40" spans="1:3" ht="15">
      <c r="A40" s="2"/>
      <c r="B40" s="11" t="s">
        <v>39</v>
      </c>
      <c r="C40" s="10">
        <v>0</v>
      </c>
    </row>
    <row r="41" spans="1:3" ht="15">
      <c r="A41" s="2"/>
      <c r="B41" s="6" t="s">
        <v>21</v>
      </c>
      <c r="C41" s="7">
        <f>SUM(C19:C40)</f>
        <v>30628359</v>
      </c>
    </row>
    <row r="42" spans="1:3" ht="15">
      <c r="A42" s="2"/>
      <c r="B42" s="6"/>
      <c r="C42" s="9"/>
    </row>
    <row r="43" spans="1:3" ht="15">
      <c r="A43" s="2"/>
      <c r="B43" s="4" t="s">
        <v>22</v>
      </c>
      <c r="C43" s="12"/>
    </row>
    <row r="44" spans="1:3" ht="15">
      <c r="A44" s="6"/>
      <c r="B44" s="2" t="s">
        <v>23</v>
      </c>
      <c r="C44" s="5">
        <v>0</v>
      </c>
    </row>
    <row r="45" spans="1:3" ht="15">
      <c r="A45" s="6"/>
      <c r="B45" s="2" t="s">
        <v>26</v>
      </c>
      <c r="C45" s="10">
        <v>500000</v>
      </c>
    </row>
    <row r="46" spans="1:3" ht="15">
      <c r="A46" s="2"/>
      <c r="B46" s="2" t="s">
        <v>9</v>
      </c>
      <c r="C46" s="10">
        <v>0</v>
      </c>
    </row>
    <row r="47" spans="1:3" ht="15">
      <c r="A47" s="2"/>
      <c r="B47" s="6" t="s">
        <v>24</v>
      </c>
      <c r="C47" s="7">
        <f>SUM(C44:C46)</f>
        <v>500000</v>
      </c>
    </row>
    <row r="48" spans="1:3" ht="15">
      <c r="A48" s="2"/>
      <c r="B48" s="2"/>
      <c r="C48" s="5"/>
    </row>
    <row r="49" spans="1:3" ht="15.75" thickBot="1">
      <c r="A49" s="2"/>
      <c r="B49" s="6" t="s">
        <v>25</v>
      </c>
      <c r="C49" s="13">
        <f>+C8+C16-C41-C47</f>
        <v>19163374</v>
      </c>
    </row>
    <row r="50" spans="1:3" ht="15.75" thickTop="1">
      <c r="A50" s="11"/>
      <c r="B50" s="11"/>
      <c r="C50" s="11"/>
    </row>
    <row r="51" spans="1:3" ht="15">
      <c r="A51" s="11"/>
      <c r="B51" s="11"/>
      <c r="C51" s="11"/>
    </row>
  </sheetData>
  <mergeCells count="4">
    <mergeCell ref="A1:C1"/>
    <mergeCell ref="A2:C2"/>
    <mergeCell ref="A3:C3"/>
    <mergeCell ref="A4:C4"/>
  </mergeCells>
  <printOptions horizontalCentered="1"/>
  <pageMargins left="0" right="0" top="0.69" bottom="0.33" header="0.28" footer="0.17"/>
  <pageSetup horizontalDpi="600" verticalDpi="600" orientation="landscape" scale="90" r:id="rId2"/>
  <drawing r:id="rId1"/>
</worksheet>
</file>

<file path=xl/worksheets/sheet7.xml><?xml version="1.0" encoding="utf-8"?>
<worksheet xmlns="http://schemas.openxmlformats.org/spreadsheetml/2006/main" xmlns:r="http://schemas.openxmlformats.org/officeDocument/2006/relationships">
  <dimension ref="A1:M72"/>
  <sheetViews>
    <sheetView zoomScale="60" zoomScaleNormal="60" workbookViewId="0" topLeftCell="B1">
      <pane xSplit="1" ySplit="6" topLeftCell="C7" activePane="bottomRight" state="frozen"/>
      <selection pane="topLeft" activeCell="B1" sqref="B1"/>
      <selection pane="topRight" activeCell="C1" sqref="C1"/>
      <selection pane="bottomLeft" activeCell="B7" sqref="B7"/>
      <selection pane="bottomRight" activeCell="B1" sqref="B1:L1"/>
    </sheetView>
  </sheetViews>
  <sheetFormatPr defaultColWidth="8.88671875" defaultRowHeight="15"/>
  <cols>
    <col min="1" max="1" width="0.23046875" style="11" hidden="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87</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10265468</v>
      </c>
      <c r="D8" s="7">
        <v>7075309</v>
      </c>
      <c r="E8" s="7">
        <v>7737879</v>
      </c>
      <c r="F8" s="7">
        <v>1484875</v>
      </c>
      <c r="G8" s="7">
        <v>4423858</v>
      </c>
      <c r="H8" s="7">
        <v>17257</v>
      </c>
      <c r="I8" s="7">
        <v>-497480</v>
      </c>
      <c r="J8" s="7">
        <v>0</v>
      </c>
      <c r="K8" s="7">
        <v>0</v>
      </c>
      <c r="L8" s="7">
        <f>SUM(C8:K8)</f>
        <v>30507166</v>
      </c>
    </row>
    <row r="9" spans="1:12" ht="15.75">
      <c r="A9" s="11">
        <f>+A8+1</f>
        <v>2</v>
      </c>
      <c r="B9" s="6"/>
      <c r="C9" s="12"/>
      <c r="D9" s="12"/>
      <c r="E9" s="12"/>
      <c r="F9" s="12"/>
      <c r="J9" s="30"/>
      <c r="L9" s="26"/>
    </row>
    <row r="10" spans="1:12" ht="15.75">
      <c r="A10" s="11">
        <f aca="true" t="shared" si="0" ref="A10:A69">+A9+1</f>
        <v>3</v>
      </c>
      <c r="B10" s="8" t="s">
        <v>5</v>
      </c>
      <c r="C10" s="9"/>
      <c r="D10" s="35"/>
      <c r="E10" s="46"/>
      <c r="F10" s="9"/>
      <c r="J10" s="30"/>
      <c r="L10" s="26"/>
    </row>
    <row r="11" spans="1:12" ht="15.75">
      <c r="A11" s="11">
        <f t="shared" si="0"/>
        <v>4</v>
      </c>
      <c r="B11" s="6" t="s">
        <v>81</v>
      </c>
      <c r="C11" s="9">
        <v>7554329</v>
      </c>
      <c r="D11" s="9"/>
      <c r="E11" s="9"/>
      <c r="F11" s="9"/>
      <c r="J11" s="30"/>
      <c r="L11" s="27">
        <f>SUM(C11:K11)</f>
        <v>7554329</v>
      </c>
    </row>
    <row r="12" spans="1:12" ht="15.75">
      <c r="A12" s="11">
        <f t="shared" si="0"/>
        <v>5</v>
      </c>
      <c r="B12" s="6" t="s">
        <v>79</v>
      </c>
      <c r="C12" s="9">
        <v>95391016</v>
      </c>
      <c r="D12" s="9"/>
      <c r="E12" s="9"/>
      <c r="F12" s="9"/>
      <c r="J12" s="30"/>
      <c r="L12" s="27">
        <f aca="true" t="shared" si="1" ref="L12:L67">SUM(C12:K12)</f>
        <v>95391016</v>
      </c>
    </row>
    <row r="13" spans="1:12" ht="15.75">
      <c r="A13" s="11">
        <f t="shared" si="0"/>
        <v>6</v>
      </c>
      <c r="B13" s="6" t="s">
        <v>42</v>
      </c>
      <c r="C13" s="9"/>
      <c r="D13" s="9"/>
      <c r="E13" s="9"/>
      <c r="F13" s="9"/>
      <c r="J13" s="30"/>
      <c r="L13" s="27">
        <f t="shared" si="1"/>
        <v>0</v>
      </c>
    </row>
    <row r="14" spans="1:12" ht="15.75">
      <c r="A14" s="11">
        <f t="shared" si="0"/>
        <v>7</v>
      </c>
      <c r="B14" s="6" t="s">
        <v>8</v>
      </c>
      <c r="C14" s="9">
        <v>47527389</v>
      </c>
      <c r="D14" s="9"/>
      <c r="E14" s="9"/>
      <c r="F14" s="9"/>
      <c r="J14" s="30"/>
      <c r="L14" s="27">
        <f t="shared" si="1"/>
        <v>47527389</v>
      </c>
    </row>
    <row r="15" spans="1:12" ht="15.75">
      <c r="A15" s="11">
        <f t="shared" si="0"/>
        <v>8</v>
      </c>
      <c r="B15" s="6" t="s">
        <v>70</v>
      </c>
      <c r="C15" s="9"/>
      <c r="E15" s="9"/>
      <c r="F15" s="9"/>
      <c r="J15" s="30"/>
      <c r="L15" s="27">
        <f t="shared" si="1"/>
        <v>0</v>
      </c>
    </row>
    <row r="16" spans="1:12" ht="15.75">
      <c r="A16" s="11">
        <f>+A15+1</f>
        <v>9</v>
      </c>
      <c r="B16" s="6" t="s">
        <v>43</v>
      </c>
      <c r="C16" s="9"/>
      <c r="D16" s="9">
        <v>47654180</v>
      </c>
      <c r="E16" s="9"/>
      <c r="F16" s="9"/>
      <c r="G16" s="9">
        <v>65551589</v>
      </c>
      <c r="H16" s="9"/>
      <c r="I16" s="9"/>
      <c r="J16" s="9"/>
      <c r="K16" s="9"/>
      <c r="L16" s="27">
        <f t="shared" si="1"/>
        <v>113205769</v>
      </c>
    </row>
    <row r="17" spans="1:12" ht="15.75">
      <c r="A17" s="11">
        <f t="shared" si="0"/>
        <v>10</v>
      </c>
      <c r="B17" s="6" t="s">
        <v>44</v>
      </c>
      <c r="C17" s="9"/>
      <c r="D17" s="9"/>
      <c r="E17" s="9"/>
      <c r="F17" s="9"/>
      <c r="G17" s="9"/>
      <c r="H17" s="9"/>
      <c r="I17" s="9"/>
      <c r="J17" s="9"/>
      <c r="K17" s="9"/>
      <c r="L17" s="27">
        <f t="shared" si="1"/>
        <v>0</v>
      </c>
    </row>
    <row r="18" spans="1:12" ht="15.75">
      <c r="A18" s="11">
        <f t="shared" si="0"/>
        <v>11</v>
      </c>
      <c r="B18" s="6" t="s">
        <v>45</v>
      </c>
      <c r="C18" s="9"/>
      <c r="D18" s="9">
        <v>6527708</v>
      </c>
      <c r="E18" s="9"/>
      <c r="F18" s="9"/>
      <c r="G18" s="9"/>
      <c r="H18" s="9"/>
      <c r="I18" s="9"/>
      <c r="J18" s="9"/>
      <c r="K18" s="9"/>
      <c r="L18" s="27">
        <f t="shared" si="1"/>
        <v>6527708</v>
      </c>
    </row>
    <row r="19" spans="1:12" ht="15.75">
      <c r="A19" s="11">
        <f t="shared" si="0"/>
        <v>12</v>
      </c>
      <c r="B19" s="6" t="s">
        <v>46</v>
      </c>
      <c r="C19" s="9"/>
      <c r="D19" s="9">
        <v>5649112</v>
      </c>
      <c r="E19" s="9"/>
      <c r="F19" s="9"/>
      <c r="G19" s="9">
        <v>5388053</v>
      </c>
      <c r="H19" s="9"/>
      <c r="I19" s="9"/>
      <c r="J19" s="9"/>
      <c r="K19" s="9"/>
      <c r="L19" s="27">
        <f t="shared" si="1"/>
        <v>11037165</v>
      </c>
    </row>
    <row r="20" spans="1:12" ht="15.75">
      <c r="A20" s="11">
        <f t="shared" si="0"/>
        <v>13</v>
      </c>
      <c r="B20" s="6" t="s">
        <v>97</v>
      </c>
      <c r="C20" s="9"/>
      <c r="D20" s="9"/>
      <c r="E20" s="9"/>
      <c r="F20" s="9"/>
      <c r="J20" s="30"/>
      <c r="L20" s="27">
        <f t="shared" si="1"/>
        <v>0</v>
      </c>
    </row>
    <row r="21" spans="1:12" ht="15.75">
      <c r="A21" s="11">
        <f t="shared" si="0"/>
        <v>14</v>
      </c>
      <c r="B21" s="6" t="s">
        <v>47</v>
      </c>
      <c r="C21" s="9"/>
      <c r="D21" s="9">
        <v>2348</v>
      </c>
      <c r="E21" s="9">
        <v>4962714</v>
      </c>
      <c r="F21" s="9"/>
      <c r="G21" s="9">
        <v>2030170</v>
      </c>
      <c r="H21" s="9"/>
      <c r="I21" s="9"/>
      <c r="J21" s="9"/>
      <c r="K21" s="9"/>
      <c r="L21" s="27">
        <f t="shared" si="1"/>
        <v>6995232</v>
      </c>
    </row>
    <row r="22" spans="1:12" ht="15.75">
      <c r="A22" s="11">
        <f t="shared" si="0"/>
        <v>15</v>
      </c>
      <c r="B22" s="6" t="s">
        <v>48</v>
      </c>
      <c r="C22" s="9"/>
      <c r="D22" s="9">
        <v>1627496</v>
      </c>
      <c r="E22" s="9"/>
      <c r="F22" s="9"/>
      <c r="I22" s="9"/>
      <c r="J22" s="30"/>
      <c r="L22" s="27">
        <f t="shared" si="1"/>
        <v>1627496</v>
      </c>
    </row>
    <row r="23" spans="1:12" ht="15.75">
      <c r="A23" s="11">
        <f t="shared" si="0"/>
        <v>16</v>
      </c>
      <c r="B23" s="6" t="s">
        <v>54</v>
      </c>
      <c r="C23" s="9"/>
      <c r="D23" s="9"/>
      <c r="E23" s="9"/>
      <c r="F23" s="9"/>
      <c r="J23" s="30"/>
      <c r="L23" s="27">
        <f t="shared" si="1"/>
        <v>0</v>
      </c>
    </row>
    <row r="24" spans="1:12" ht="15.75">
      <c r="A24" s="11">
        <f t="shared" si="0"/>
        <v>17</v>
      </c>
      <c r="B24" s="6" t="s">
        <v>51</v>
      </c>
      <c r="C24" s="9">
        <v>408797</v>
      </c>
      <c r="D24" s="9"/>
      <c r="E24" s="9">
        <v>2017734</v>
      </c>
      <c r="F24" s="9">
        <v>3735000</v>
      </c>
      <c r="G24" s="9">
        <v>2368207</v>
      </c>
      <c r="H24" s="9"/>
      <c r="I24" s="9"/>
      <c r="J24" s="9"/>
      <c r="K24" s="9"/>
      <c r="L24" s="27">
        <f t="shared" si="1"/>
        <v>8529738</v>
      </c>
    </row>
    <row r="25" spans="1:12" ht="15.75">
      <c r="A25" s="11">
        <f t="shared" si="0"/>
        <v>18</v>
      </c>
      <c r="B25" s="6" t="s">
        <v>52</v>
      </c>
      <c r="C25" s="9">
        <v>55292</v>
      </c>
      <c r="D25" s="9">
        <v>10052709</v>
      </c>
      <c r="E25" s="9">
        <v>24431071</v>
      </c>
      <c r="F25" s="9"/>
      <c r="G25" s="9">
        <v>85556358</v>
      </c>
      <c r="H25" s="9">
        <v>177500</v>
      </c>
      <c r="I25" s="9">
        <v>9250758</v>
      </c>
      <c r="J25" s="9"/>
      <c r="K25" s="9"/>
      <c r="L25" s="27">
        <f t="shared" si="1"/>
        <v>129523688</v>
      </c>
    </row>
    <row r="26" spans="1:12" ht="15.75">
      <c r="A26" s="11">
        <f t="shared" si="0"/>
        <v>19</v>
      </c>
      <c r="B26" s="6" t="s">
        <v>53</v>
      </c>
      <c r="C26" s="9"/>
      <c r="D26" s="9"/>
      <c r="E26" s="9"/>
      <c r="F26" s="9"/>
      <c r="J26" s="30"/>
      <c r="L26" s="27">
        <f t="shared" si="1"/>
        <v>0</v>
      </c>
    </row>
    <row r="27" spans="1:12" ht="15.75">
      <c r="A27" s="11">
        <f t="shared" si="0"/>
        <v>20</v>
      </c>
      <c r="B27" s="6" t="s">
        <v>56</v>
      </c>
      <c r="C27" s="9"/>
      <c r="D27" s="9"/>
      <c r="E27" s="9"/>
      <c r="F27" s="9"/>
      <c r="H27" s="9"/>
      <c r="J27" s="30"/>
      <c r="L27" s="27">
        <f t="shared" si="1"/>
        <v>0</v>
      </c>
    </row>
    <row r="28" spans="1:12" ht="15.75">
      <c r="A28" s="11">
        <f t="shared" si="0"/>
        <v>21</v>
      </c>
      <c r="B28" s="6" t="s">
        <v>80</v>
      </c>
      <c r="C28" s="9"/>
      <c r="D28" s="9"/>
      <c r="E28" s="9"/>
      <c r="F28" s="9"/>
      <c r="H28" s="9"/>
      <c r="J28" s="9"/>
      <c r="L28" s="27">
        <f t="shared" si="1"/>
        <v>0</v>
      </c>
    </row>
    <row r="29" spans="1:12" ht="16.5">
      <c r="A29" s="11">
        <f>+A27+1</f>
        <v>21</v>
      </c>
      <c r="B29" s="6" t="s">
        <v>76</v>
      </c>
      <c r="C29" s="9"/>
      <c r="D29" s="9">
        <f>35332+181444</f>
        <v>216776</v>
      </c>
      <c r="E29" s="9">
        <v>550000</v>
      </c>
      <c r="F29" s="9"/>
      <c r="G29" s="9">
        <v>1587</v>
      </c>
      <c r="H29" s="9"/>
      <c r="I29" s="9"/>
      <c r="J29" s="9"/>
      <c r="K29" s="9"/>
      <c r="L29" s="27">
        <f>SUM(C29:K29)</f>
        <v>768363</v>
      </c>
    </row>
    <row r="30" spans="1:13" ht="15.75">
      <c r="A30" s="11">
        <f t="shared" si="0"/>
        <v>22</v>
      </c>
      <c r="B30" s="6" t="s">
        <v>10</v>
      </c>
      <c r="C30" s="7">
        <f>SUM(C11:C29)</f>
        <v>150936823</v>
      </c>
      <c r="D30" s="7">
        <f aca="true" t="shared" si="2" ref="D30:K30">SUM(D11:D29)</f>
        <v>71730329</v>
      </c>
      <c r="E30" s="7">
        <f t="shared" si="2"/>
        <v>31961519</v>
      </c>
      <c r="F30" s="7">
        <f t="shared" si="2"/>
        <v>3735000</v>
      </c>
      <c r="G30" s="7">
        <f t="shared" si="2"/>
        <v>160895964</v>
      </c>
      <c r="H30" s="7">
        <f t="shared" si="2"/>
        <v>177500</v>
      </c>
      <c r="I30" s="7">
        <f t="shared" si="2"/>
        <v>9250758</v>
      </c>
      <c r="J30" s="7">
        <f>SUM(J11:J29)</f>
        <v>0</v>
      </c>
      <c r="K30" s="7">
        <f t="shared" si="2"/>
        <v>0</v>
      </c>
      <c r="L30" s="28">
        <f>SUM(C30:K30)</f>
        <v>428687893</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108225684</v>
      </c>
      <c r="D33" s="9">
        <v>21496814</v>
      </c>
      <c r="E33" s="9">
        <v>9903369</v>
      </c>
      <c r="F33" s="9">
        <v>379411</v>
      </c>
      <c r="G33" s="9">
        <v>271387</v>
      </c>
      <c r="H33" s="9"/>
      <c r="I33" s="9">
        <v>2401760</v>
      </c>
      <c r="J33" s="9"/>
      <c r="K33" s="9"/>
      <c r="L33" s="27">
        <f t="shared" si="1"/>
        <v>142678425</v>
      </c>
    </row>
    <row r="34" spans="1:12" ht="15.75">
      <c r="A34" s="11">
        <f t="shared" si="0"/>
        <v>26</v>
      </c>
      <c r="B34" s="6" t="s">
        <v>59</v>
      </c>
      <c r="C34" s="9">
        <v>7931001</v>
      </c>
      <c r="D34" s="9">
        <v>18463837</v>
      </c>
      <c r="E34" s="9">
        <v>2870879</v>
      </c>
      <c r="F34" s="9">
        <v>540387</v>
      </c>
      <c r="G34" s="9">
        <v>42526</v>
      </c>
      <c r="H34" s="9"/>
      <c r="I34" s="9">
        <v>563315</v>
      </c>
      <c r="J34" s="9"/>
      <c r="K34" s="9"/>
      <c r="L34" s="27">
        <f t="shared" si="1"/>
        <v>30411945</v>
      </c>
    </row>
    <row r="35" spans="1:12" ht="15.75">
      <c r="A35" s="11">
        <f t="shared" si="0"/>
        <v>27</v>
      </c>
      <c r="B35" s="6" t="s">
        <v>14</v>
      </c>
      <c r="C35" s="9">
        <v>21636109</v>
      </c>
      <c r="D35" s="9">
        <v>22035050</v>
      </c>
      <c r="E35" s="9">
        <v>16896745</v>
      </c>
      <c r="F35" s="9">
        <v>2091123</v>
      </c>
      <c r="G35" s="9">
        <v>160141050</v>
      </c>
      <c r="H35" s="9">
        <v>177400</v>
      </c>
      <c r="I35" s="9">
        <v>5103981</v>
      </c>
      <c r="J35" s="9"/>
      <c r="K35" s="9"/>
      <c r="L35" s="27">
        <f t="shared" si="1"/>
        <v>228081458</v>
      </c>
    </row>
    <row r="36" spans="1:12" ht="15.75">
      <c r="A36" s="11">
        <f t="shared" si="0"/>
        <v>28</v>
      </c>
      <c r="B36" s="6" t="s">
        <v>60</v>
      </c>
      <c r="C36" s="9">
        <v>2517268</v>
      </c>
      <c r="D36" s="9">
        <v>5729421</v>
      </c>
      <c r="E36" s="9">
        <v>1479929</v>
      </c>
      <c r="F36" s="9">
        <v>226377</v>
      </c>
      <c r="G36" s="9">
        <v>20000</v>
      </c>
      <c r="H36" s="9"/>
      <c r="I36" s="9">
        <v>46443</v>
      </c>
      <c r="J36" s="9"/>
      <c r="K36" s="9"/>
      <c r="L36" s="27">
        <f t="shared" si="1"/>
        <v>10019438</v>
      </c>
    </row>
    <row r="37" spans="1:12" ht="15.75">
      <c r="A37" s="11">
        <f t="shared" si="0"/>
        <v>29</v>
      </c>
      <c r="B37" s="6" t="s">
        <v>42</v>
      </c>
      <c r="C37" s="9">
        <v>0</v>
      </c>
      <c r="D37" s="9"/>
      <c r="E37" s="9"/>
      <c r="F37" s="9"/>
      <c r="J37" s="30"/>
      <c r="L37" s="27">
        <f t="shared" si="1"/>
        <v>0</v>
      </c>
    </row>
    <row r="38" spans="1:12" ht="15.75">
      <c r="A38" s="11">
        <f t="shared" si="0"/>
        <v>30</v>
      </c>
      <c r="B38" s="6" t="s">
        <v>16</v>
      </c>
      <c r="C38" s="9">
        <v>151237</v>
      </c>
      <c r="D38" s="9"/>
      <c r="E38" s="9"/>
      <c r="F38" s="9"/>
      <c r="J38" s="30"/>
      <c r="L38" s="27">
        <f t="shared" si="1"/>
        <v>151237</v>
      </c>
    </row>
    <row r="39" spans="1:12" ht="15.75">
      <c r="A39" s="11">
        <f t="shared" si="0"/>
        <v>31</v>
      </c>
      <c r="B39" s="6" t="s">
        <v>27</v>
      </c>
      <c r="C39" s="9">
        <v>0</v>
      </c>
      <c r="D39" s="9"/>
      <c r="E39" s="9"/>
      <c r="F39" s="9"/>
      <c r="J39" s="30"/>
      <c r="L39" s="27">
        <f t="shared" si="1"/>
        <v>0</v>
      </c>
    </row>
    <row r="40" spans="1:12" ht="15.75">
      <c r="A40" s="11">
        <f>+A38+1</f>
        <v>31</v>
      </c>
      <c r="B40" s="6" t="s">
        <v>28</v>
      </c>
      <c r="C40" s="9">
        <v>0</v>
      </c>
      <c r="D40" s="9"/>
      <c r="E40" s="9"/>
      <c r="F40" s="9"/>
      <c r="J40" s="30"/>
      <c r="L40" s="27">
        <f t="shared" si="1"/>
        <v>0</v>
      </c>
    </row>
    <row r="41" spans="1:12" ht="15.75">
      <c r="A41" s="11">
        <f t="shared" si="0"/>
        <v>32</v>
      </c>
      <c r="B41" s="6" t="s">
        <v>34</v>
      </c>
      <c r="C41" s="9">
        <v>0</v>
      </c>
      <c r="D41" s="9"/>
      <c r="E41" s="9"/>
      <c r="F41" s="9"/>
      <c r="J41" s="30"/>
      <c r="L41" s="27">
        <f t="shared" si="1"/>
        <v>0</v>
      </c>
    </row>
    <row r="42" spans="1:12" ht="15.75">
      <c r="A42" s="11">
        <f t="shared" si="0"/>
        <v>33</v>
      </c>
      <c r="B42" s="6" t="s">
        <v>17</v>
      </c>
      <c r="C42" s="9">
        <v>2774009</v>
      </c>
      <c r="D42" s="9"/>
      <c r="E42" s="9"/>
      <c r="F42" s="9"/>
      <c r="J42" s="30"/>
      <c r="L42" s="27">
        <f t="shared" si="1"/>
        <v>2774009</v>
      </c>
    </row>
    <row r="43" spans="1:12" ht="15.75">
      <c r="A43" s="11">
        <f t="shared" si="0"/>
        <v>34</v>
      </c>
      <c r="B43" s="6" t="s">
        <v>18</v>
      </c>
      <c r="C43" s="9">
        <v>1428836</v>
      </c>
      <c r="D43" s="9"/>
      <c r="E43" s="9"/>
      <c r="F43" s="9"/>
      <c r="J43" s="30"/>
      <c r="L43" s="27">
        <f t="shared" si="1"/>
        <v>1428836</v>
      </c>
    </row>
    <row r="44" spans="2:12" ht="15.75" hidden="1">
      <c r="B44" s="6" t="s">
        <v>29</v>
      </c>
      <c r="C44" s="9">
        <v>0</v>
      </c>
      <c r="D44" s="9"/>
      <c r="E44" s="9"/>
      <c r="F44" s="9"/>
      <c r="J44" s="30"/>
      <c r="L44" s="27">
        <f t="shared" si="1"/>
        <v>0</v>
      </c>
    </row>
    <row r="45" spans="2:12" ht="15.75" hidden="1">
      <c r="B45" s="6" t="s">
        <v>35</v>
      </c>
      <c r="C45" s="9">
        <v>0</v>
      </c>
      <c r="D45" s="9"/>
      <c r="E45" s="9"/>
      <c r="F45" s="9"/>
      <c r="J45" s="30"/>
      <c r="L45" s="27">
        <f t="shared" si="1"/>
        <v>0</v>
      </c>
    </row>
    <row r="46" spans="1:12" ht="15.75">
      <c r="A46" s="11">
        <f>+A43+1</f>
        <v>35</v>
      </c>
      <c r="B46" s="6" t="s">
        <v>19</v>
      </c>
      <c r="C46" s="9">
        <v>5825307</v>
      </c>
      <c r="D46" s="9"/>
      <c r="E46" s="9"/>
      <c r="F46" s="9"/>
      <c r="J46" s="30"/>
      <c r="L46" s="27">
        <f t="shared" si="1"/>
        <v>5825307</v>
      </c>
    </row>
    <row r="47" spans="1:12" ht="15.75">
      <c r="A47" s="11">
        <f t="shared" si="0"/>
        <v>36</v>
      </c>
      <c r="B47" s="6" t="s">
        <v>30</v>
      </c>
      <c r="C47" s="9">
        <v>0</v>
      </c>
      <c r="D47" s="9"/>
      <c r="E47" s="9"/>
      <c r="F47" s="9"/>
      <c r="J47" s="30"/>
      <c r="L47" s="27">
        <f t="shared" si="1"/>
        <v>0</v>
      </c>
    </row>
    <row r="48" spans="1:12" ht="15.75">
      <c r="A48" s="11">
        <f t="shared" si="0"/>
        <v>37</v>
      </c>
      <c r="B48" s="6" t="s">
        <v>31</v>
      </c>
      <c r="C48" s="9">
        <v>0</v>
      </c>
      <c r="D48" s="9"/>
      <c r="E48" s="9"/>
      <c r="F48" s="9"/>
      <c r="J48" s="30"/>
      <c r="L48" s="27">
        <f t="shared" si="1"/>
        <v>0</v>
      </c>
    </row>
    <row r="49" spans="1:12" ht="15.75">
      <c r="A49" s="11">
        <f t="shared" si="0"/>
        <v>38</v>
      </c>
      <c r="B49" s="6" t="s">
        <v>32</v>
      </c>
      <c r="C49" s="9">
        <v>0</v>
      </c>
      <c r="D49" s="9"/>
      <c r="E49" s="9"/>
      <c r="F49" s="9"/>
      <c r="J49" s="30"/>
      <c r="L49" s="27">
        <f t="shared" si="1"/>
        <v>0</v>
      </c>
    </row>
    <row r="50" spans="1:12" ht="15.75">
      <c r="A50" s="11">
        <f t="shared" si="0"/>
        <v>39</v>
      </c>
      <c r="B50" s="6" t="s">
        <v>20</v>
      </c>
      <c r="C50" s="9">
        <v>430266</v>
      </c>
      <c r="D50" s="9"/>
      <c r="E50" s="9"/>
      <c r="F50" s="9"/>
      <c r="J50" s="30"/>
      <c r="K50" s="9"/>
      <c r="L50" s="27">
        <f t="shared" si="1"/>
        <v>430266</v>
      </c>
    </row>
    <row r="51" spans="1:12" ht="15.75">
      <c r="A51" s="11">
        <f t="shared" si="0"/>
        <v>40</v>
      </c>
      <c r="B51" s="22" t="s">
        <v>33</v>
      </c>
      <c r="C51" s="9">
        <v>0</v>
      </c>
      <c r="D51" s="9"/>
      <c r="E51" s="9"/>
      <c r="F51" s="9"/>
      <c r="J51" s="30"/>
      <c r="L51" s="27">
        <f t="shared" si="1"/>
        <v>0</v>
      </c>
    </row>
    <row r="52" spans="1:12" ht="15.75">
      <c r="A52" s="11">
        <f t="shared" si="0"/>
        <v>41</v>
      </c>
      <c r="B52" s="22" t="s">
        <v>36</v>
      </c>
      <c r="C52" s="9">
        <v>0</v>
      </c>
      <c r="D52" s="9"/>
      <c r="E52" s="9"/>
      <c r="F52" s="9"/>
      <c r="J52" s="30"/>
      <c r="L52" s="27">
        <f t="shared" si="1"/>
        <v>0</v>
      </c>
    </row>
    <row r="53" spans="1:12" ht="15.75">
      <c r="A53" s="11">
        <f t="shared" si="0"/>
        <v>42</v>
      </c>
      <c r="B53" s="22" t="s">
        <v>37</v>
      </c>
      <c r="C53" s="9">
        <v>17106</v>
      </c>
      <c r="D53" s="9"/>
      <c r="E53" s="9"/>
      <c r="F53" s="9"/>
      <c r="J53" s="30"/>
      <c r="L53" s="27">
        <f t="shared" si="1"/>
        <v>17106</v>
      </c>
    </row>
    <row r="54" spans="1:12" ht="15.75">
      <c r="A54" s="11">
        <f t="shared" si="0"/>
        <v>43</v>
      </c>
      <c r="B54" s="23" t="s">
        <v>78</v>
      </c>
      <c r="C54" s="9">
        <v>0</v>
      </c>
      <c r="D54" s="9"/>
      <c r="E54" s="9"/>
      <c r="F54" s="9"/>
      <c r="J54" s="30"/>
      <c r="L54" s="27">
        <f t="shared" si="1"/>
        <v>0</v>
      </c>
    </row>
    <row r="55" spans="1:12" ht="15.75">
      <c r="A55" s="11">
        <f t="shared" si="0"/>
        <v>44</v>
      </c>
      <c r="B55" s="22" t="s">
        <v>39</v>
      </c>
      <c r="C55" s="9">
        <v>0</v>
      </c>
      <c r="D55" s="9"/>
      <c r="E55" s="9"/>
      <c r="F55" s="9"/>
      <c r="J55" s="30"/>
      <c r="L55" s="27">
        <f t="shared" si="1"/>
        <v>0</v>
      </c>
    </row>
    <row r="56" spans="1:12" ht="15.75">
      <c r="A56" s="11">
        <f t="shared" si="0"/>
        <v>45</v>
      </c>
      <c r="B56" s="22" t="s">
        <v>57</v>
      </c>
      <c r="C56" s="9">
        <v>0</v>
      </c>
      <c r="D56" s="9"/>
      <c r="E56" s="9"/>
      <c r="F56" s="9"/>
      <c r="J56" s="30"/>
      <c r="L56" s="27">
        <f t="shared" si="1"/>
        <v>0</v>
      </c>
    </row>
    <row r="57" spans="1:12" ht="15.75">
      <c r="A57" s="11">
        <f t="shared" si="0"/>
        <v>46</v>
      </c>
      <c r="B57" s="22" t="s">
        <v>58</v>
      </c>
      <c r="C57" s="9">
        <v>0</v>
      </c>
      <c r="D57" s="9"/>
      <c r="E57" s="9"/>
      <c r="F57" s="9"/>
      <c r="J57" s="30"/>
      <c r="L57" s="27">
        <f t="shared" si="1"/>
        <v>0</v>
      </c>
    </row>
    <row r="58" spans="1:12" ht="15.75">
      <c r="A58" s="11">
        <f t="shared" si="0"/>
        <v>47</v>
      </c>
      <c r="B58" s="6" t="s">
        <v>49</v>
      </c>
      <c r="C58" s="9">
        <v>0</v>
      </c>
      <c r="D58" s="9">
        <v>4471560</v>
      </c>
      <c r="E58" s="9"/>
      <c r="F58" s="9"/>
      <c r="J58" s="30"/>
      <c r="L58" s="27">
        <f t="shared" si="1"/>
        <v>4471560</v>
      </c>
    </row>
    <row r="59" spans="1:12" ht="15.75">
      <c r="A59" s="11">
        <f t="shared" si="0"/>
        <v>48</v>
      </c>
      <c r="B59" s="6" t="s">
        <v>55</v>
      </c>
      <c r="C59" s="9">
        <v>0</v>
      </c>
      <c r="D59" s="9"/>
      <c r="E59" s="9"/>
      <c r="F59" s="9"/>
      <c r="I59" s="9"/>
      <c r="J59" s="9"/>
      <c r="K59" s="9"/>
      <c r="L59" s="27">
        <f t="shared" si="1"/>
        <v>0</v>
      </c>
    </row>
    <row r="60" spans="1:12" ht="15.75">
      <c r="A60" s="11">
        <f>+A59+1</f>
        <v>49</v>
      </c>
      <c r="B60" s="6" t="s">
        <v>21</v>
      </c>
      <c r="C60" s="7">
        <f>SUM(C33:C59)</f>
        <v>150936823</v>
      </c>
      <c r="D60" s="7">
        <f aca="true" t="shared" si="3" ref="D60:K60">SUM(D33:D59)</f>
        <v>72196682</v>
      </c>
      <c r="E60" s="7">
        <f t="shared" si="3"/>
        <v>31150922</v>
      </c>
      <c r="F60" s="7">
        <f t="shared" si="3"/>
        <v>3237298</v>
      </c>
      <c r="G60" s="7">
        <f t="shared" si="3"/>
        <v>160474963</v>
      </c>
      <c r="H60" s="7">
        <f t="shared" si="3"/>
        <v>177400</v>
      </c>
      <c r="I60" s="7">
        <f t="shared" si="3"/>
        <v>8115499</v>
      </c>
      <c r="J60" s="7">
        <f t="shared" si="3"/>
        <v>0</v>
      </c>
      <c r="K60" s="7">
        <f t="shared" si="3"/>
        <v>0</v>
      </c>
      <c r="L60" s="28">
        <f>SUM(C60:K60)</f>
        <v>426289587</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31"/>
      <c r="D63" s="9">
        <v>44997</v>
      </c>
      <c r="E63" s="9">
        <v>720000</v>
      </c>
      <c r="F63" s="12">
        <v>1735702</v>
      </c>
      <c r="G63" s="12"/>
      <c r="H63" s="12"/>
      <c r="I63" s="12">
        <v>221234</v>
      </c>
      <c r="J63" s="12"/>
      <c r="K63" s="12"/>
      <c r="L63" s="27">
        <f t="shared" si="1"/>
        <v>2721933</v>
      </c>
    </row>
    <row r="64" spans="1:12" ht="15.75">
      <c r="A64" s="11">
        <f t="shared" si="0"/>
        <v>53</v>
      </c>
      <c r="B64" s="6" t="s">
        <v>50</v>
      </c>
      <c r="C64" s="9"/>
      <c r="D64" s="9"/>
      <c r="E64" s="9"/>
      <c r="F64" s="9"/>
      <c r="I64" s="9"/>
      <c r="J64" s="9"/>
      <c r="L64" s="27">
        <f t="shared" si="1"/>
        <v>0</v>
      </c>
    </row>
    <row r="65" spans="1:12" ht="15.75">
      <c r="A65" s="11">
        <f>+A64+1</f>
        <v>54</v>
      </c>
      <c r="B65" s="6" t="s">
        <v>26</v>
      </c>
      <c r="C65" s="9">
        <v>8904997</v>
      </c>
      <c r="D65" s="9"/>
      <c r="E65" s="9"/>
      <c r="F65" s="9"/>
      <c r="J65" s="30"/>
      <c r="L65" s="27">
        <f>SUM(C65:K65)</f>
        <v>8904997</v>
      </c>
    </row>
    <row r="66" spans="1:12" ht="16.5">
      <c r="A66" s="11">
        <f>+A65+1</f>
        <v>55</v>
      </c>
      <c r="B66" s="6" t="s">
        <v>77</v>
      </c>
      <c r="C66" s="31"/>
      <c r="D66" s="9"/>
      <c r="E66" s="9"/>
      <c r="F66" s="9"/>
      <c r="H66" s="32"/>
      <c r="J66" s="30"/>
      <c r="L66" s="27">
        <f t="shared" si="1"/>
        <v>0</v>
      </c>
    </row>
    <row r="67" spans="1:12" ht="15.75">
      <c r="A67" s="11">
        <f t="shared" si="0"/>
        <v>56</v>
      </c>
      <c r="B67" s="6" t="s">
        <v>24</v>
      </c>
      <c r="C67" s="7">
        <f aca="true" t="shared" si="4" ref="C67:K67">SUM(C63:C66)</f>
        <v>8904997</v>
      </c>
      <c r="D67" s="7">
        <f t="shared" si="4"/>
        <v>44997</v>
      </c>
      <c r="E67" s="7">
        <f t="shared" si="4"/>
        <v>720000</v>
      </c>
      <c r="F67" s="7">
        <f t="shared" si="4"/>
        <v>1735702</v>
      </c>
      <c r="G67" s="7">
        <f t="shared" si="4"/>
        <v>0</v>
      </c>
      <c r="H67" s="7">
        <f t="shared" si="4"/>
        <v>0</v>
      </c>
      <c r="I67" s="7">
        <f t="shared" si="4"/>
        <v>221234</v>
      </c>
      <c r="J67" s="7">
        <f t="shared" si="4"/>
        <v>0</v>
      </c>
      <c r="K67" s="7">
        <f t="shared" si="4"/>
        <v>0</v>
      </c>
      <c r="L67" s="28">
        <f t="shared" si="1"/>
        <v>11626930</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1360471</v>
      </c>
      <c r="D69" s="13">
        <f t="shared" si="5"/>
        <v>6563959</v>
      </c>
      <c r="E69" s="13">
        <f t="shared" si="5"/>
        <v>7828476</v>
      </c>
      <c r="F69" s="13">
        <f t="shared" si="5"/>
        <v>246875</v>
      </c>
      <c r="G69" s="13">
        <f t="shared" si="5"/>
        <v>4844859</v>
      </c>
      <c r="H69" s="13">
        <f t="shared" si="5"/>
        <v>17357</v>
      </c>
      <c r="I69" s="13">
        <f t="shared" si="5"/>
        <v>416545</v>
      </c>
      <c r="J69" s="13">
        <f t="shared" si="5"/>
        <v>0</v>
      </c>
      <c r="K69" s="13">
        <f t="shared" si="5"/>
        <v>0</v>
      </c>
      <c r="L69" s="29">
        <f>SUM(C69:K69)</f>
        <v>21278542</v>
      </c>
      <c r="M69" s="21">
        <f>+L8+L30-L60-L67</f>
        <v>21278542</v>
      </c>
    </row>
    <row r="70" ht="16.5" thickTop="1">
      <c r="J70" s="30"/>
    </row>
    <row r="72" ht="15.75">
      <c r="C72" s="21"/>
    </row>
  </sheetData>
  <mergeCells count="4">
    <mergeCell ref="B1:L1"/>
    <mergeCell ref="B2:L2"/>
    <mergeCell ref="B3:L3"/>
    <mergeCell ref="F5:J5"/>
  </mergeCells>
  <printOptions horizontalCentered="1"/>
  <pageMargins left="0" right="0" top="0.32" bottom="0.31" header="0.22" footer="0.23"/>
  <pageSetup horizontalDpi="600" verticalDpi="600" orientation="landscape" scale="60" r:id="rId2"/>
  <rowBreaks count="1" manualBreakCount="1">
    <brk id="60" max="11" man="1"/>
  </rowBreaks>
  <drawing r:id="rId1"/>
</worksheet>
</file>

<file path=xl/worksheets/sheet8.xml><?xml version="1.0" encoding="utf-8"?>
<worksheet xmlns="http://schemas.openxmlformats.org/spreadsheetml/2006/main" xmlns:r="http://schemas.openxmlformats.org/officeDocument/2006/relationships">
  <dimension ref="A1:M72"/>
  <sheetViews>
    <sheetView zoomScale="70" zoomScaleNormal="7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8.88671875" defaultRowHeight="15"/>
  <cols>
    <col min="1" max="1" width="3.10546875" style="11" bestFit="1" customWidth="1"/>
    <col min="2" max="2" width="31.77734375" style="18" customWidth="1"/>
    <col min="3" max="11" width="14.77734375" style="18" customWidth="1"/>
    <col min="12" max="12" width="15.77734375" style="24" customWidth="1"/>
    <col min="13" max="13" width="16.21484375" style="18" bestFit="1" customWidth="1"/>
    <col min="14" max="16384" width="8.88671875" style="18" customWidth="1"/>
  </cols>
  <sheetData>
    <row r="1" spans="2:12" ht="15.75">
      <c r="B1" s="50" t="s">
        <v>88</v>
      </c>
      <c r="C1" s="51"/>
      <c r="D1" s="51"/>
      <c r="E1" s="51"/>
      <c r="F1" s="51"/>
      <c r="G1" s="51"/>
      <c r="H1" s="51"/>
      <c r="I1" s="51"/>
      <c r="J1" s="51"/>
      <c r="K1" s="51"/>
      <c r="L1" s="51"/>
    </row>
    <row r="2" spans="2:12" ht="15.75">
      <c r="B2" s="50" t="s">
        <v>83</v>
      </c>
      <c r="C2" s="51"/>
      <c r="D2" s="51"/>
      <c r="E2" s="51"/>
      <c r="F2" s="51"/>
      <c r="G2" s="51"/>
      <c r="H2" s="51"/>
      <c r="I2" s="51"/>
      <c r="J2" s="51"/>
      <c r="K2" s="51"/>
      <c r="L2" s="51"/>
    </row>
    <row r="3" spans="2:12" ht="15.75">
      <c r="B3" s="50" t="s">
        <v>82</v>
      </c>
      <c r="C3" s="51"/>
      <c r="D3" s="51"/>
      <c r="E3" s="51"/>
      <c r="F3" s="51"/>
      <c r="G3" s="51"/>
      <c r="H3" s="51"/>
      <c r="I3" s="51"/>
      <c r="J3" s="51"/>
      <c r="K3" s="51"/>
      <c r="L3" s="51"/>
    </row>
    <row r="4" spans="2:3" ht="15.75">
      <c r="B4" s="48"/>
      <c r="C4" s="14"/>
    </row>
    <row r="5" spans="1:12" s="20" customFormat="1" ht="17.25">
      <c r="A5" s="11"/>
      <c r="B5" s="19"/>
      <c r="C5" s="15" t="s">
        <v>66</v>
      </c>
      <c r="D5" s="15" t="s">
        <v>68</v>
      </c>
      <c r="E5" s="15"/>
      <c r="F5" s="52" t="s">
        <v>65</v>
      </c>
      <c r="G5" s="53"/>
      <c r="H5" s="53"/>
      <c r="I5" s="53"/>
      <c r="J5" s="53"/>
      <c r="K5" s="15" t="s">
        <v>74</v>
      </c>
      <c r="L5" s="25"/>
    </row>
    <row r="6" spans="1:12" s="20" customFormat="1" ht="17.25">
      <c r="A6" s="11"/>
      <c r="B6" s="16"/>
      <c r="C6" s="17" t="s">
        <v>67</v>
      </c>
      <c r="D6" s="17" t="s">
        <v>69</v>
      </c>
      <c r="E6" s="17" t="s">
        <v>73</v>
      </c>
      <c r="F6" s="17" t="s">
        <v>64</v>
      </c>
      <c r="G6" s="17" t="s">
        <v>63</v>
      </c>
      <c r="H6" s="17" t="s">
        <v>56</v>
      </c>
      <c r="I6" s="17" t="s">
        <v>62</v>
      </c>
      <c r="J6" s="17" t="s">
        <v>61</v>
      </c>
      <c r="K6" s="17" t="s">
        <v>75</v>
      </c>
      <c r="L6" s="17" t="s">
        <v>2</v>
      </c>
    </row>
    <row r="7" spans="2:10" ht="15.75">
      <c r="B7" s="6"/>
      <c r="C7" s="12"/>
      <c r="D7" s="12"/>
      <c r="E7" s="12"/>
      <c r="F7" s="12"/>
      <c r="J7" s="30"/>
    </row>
    <row r="8" spans="1:12" ht="15.75">
      <c r="A8" s="11">
        <v>1</v>
      </c>
      <c r="B8" s="6" t="s">
        <v>4</v>
      </c>
      <c r="C8" s="7">
        <v>52854889</v>
      </c>
      <c r="D8" s="7">
        <v>27039761</v>
      </c>
      <c r="E8" s="7">
        <v>37217833</v>
      </c>
      <c r="F8" s="7">
        <v>8017071</v>
      </c>
      <c r="G8" s="7">
        <v>13956990</v>
      </c>
      <c r="H8" s="7">
        <v>286061</v>
      </c>
      <c r="I8" s="7">
        <v>2389706</v>
      </c>
      <c r="J8" s="7">
        <f>3892753-4097141+762798-734017+270000</f>
        <v>94393</v>
      </c>
      <c r="K8" s="7">
        <v>32783156</v>
      </c>
      <c r="L8" s="7">
        <f>SUM(C8:K8)</f>
        <v>174639860</v>
      </c>
    </row>
    <row r="9" spans="1:12" ht="15.75">
      <c r="A9" s="11">
        <f>+A8+1</f>
        <v>2</v>
      </c>
      <c r="B9" s="6"/>
      <c r="C9" s="12"/>
      <c r="D9" s="12"/>
      <c r="E9" s="12"/>
      <c r="F9" s="12"/>
      <c r="J9" s="30"/>
      <c r="L9" s="26"/>
    </row>
    <row r="10" spans="1:12" ht="15.75">
      <c r="A10" s="11">
        <f aca="true" t="shared" si="0" ref="A10:A69">+A9+1</f>
        <v>3</v>
      </c>
      <c r="B10" s="8" t="s">
        <v>5</v>
      </c>
      <c r="C10" s="9"/>
      <c r="D10" s="35"/>
      <c r="E10" s="36"/>
      <c r="F10" s="9"/>
      <c r="J10" s="30"/>
      <c r="L10" s="26"/>
    </row>
    <row r="11" spans="1:12" ht="15.75">
      <c r="A11" s="11">
        <f t="shared" si="0"/>
        <v>4</v>
      </c>
      <c r="B11" s="6" t="s">
        <v>81</v>
      </c>
      <c r="C11" s="9">
        <v>15615218</v>
      </c>
      <c r="D11" s="9"/>
      <c r="E11" s="31"/>
      <c r="F11" s="31"/>
      <c r="J11" s="30"/>
      <c r="K11" s="9"/>
      <c r="L11" s="27">
        <f>SUM(C11:K11)</f>
        <v>15615218</v>
      </c>
    </row>
    <row r="12" spans="1:12" ht="15.75">
      <c r="A12" s="11">
        <f t="shared" si="0"/>
        <v>5</v>
      </c>
      <c r="B12" s="6" t="s">
        <v>79</v>
      </c>
      <c r="C12" s="9">
        <v>223148965</v>
      </c>
      <c r="D12" s="9"/>
      <c r="E12" s="9"/>
      <c r="F12" s="9"/>
      <c r="J12" s="30"/>
      <c r="K12" s="9"/>
      <c r="L12" s="27">
        <f aca="true" t="shared" si="1" ref="L12:L67">SUM(C12:K12)</f>
        <v>223148965</v>
      </c>
    </row>
    <row r="13" spans="1:12" ht="15.75">
      <c r="A13" s="11">
        <f t="shared" si="0"/>
        <v>6</v>
      </c>
      <c r="B13" s="6" t="s">
        <v>42</v>
      </c>
      <c r="C13" s="9"/>
      <c r="D13" s="9"/>
      <c r="E13" s="9"/>
      <c r="F13" s="9"/>
      <c r="J13" s="30"/>
      <c r="K13" s="9"/>
      <c r="L13" s="27">
        <f t="shared" si="1"/>
        <v>0</v>
      </c>
    </row>
    <row r="14" spans="1:12" ht="15.75">
      <c r="A14" s="11">
        <f t="shared" si="0"/>
        <v>7</v>
      </c>
      <c r="B14" s="6" t="s">
        <v>8</v>
      </c>
      <c r="C14" s="9">
        <v>88491275</v>
      </c>
      <c r="D14" s="9"/>
      <c r="E14" s="9"/>
      <c r="F14" s="9"/>
      <c r="J14" s="30"/>
      <c r="K14" s="9"/>
      <c r="L14" s="27">
        <f t="shared" si="1"/>
        <v>88491275</v>
      </c>
    </row>
    <row r="15" spans="1:12" ht="15.75">
      <c r="A15" s="11">
        <f t="shared" si="0"/>
        <v>8</v>
      </c>
      <c r="B15" s="6" t="s">
        <v>70</v>
      </c>
      <c r="C15" s="9">
        <v>6583722</v>
      </c>
      <c r="D15" s="9"/>
      <c r="E15" s="9"/>
      <c r="F15" s="9"/>
      <c r="J15" s="30"/>
      <c r="K15" s="9"/>
      <c r="L15" s="27">
        <f t="shared" si="1"/>
        <v>6583722</v>
      </c>
    </row>
    <row r="16" spans="1:12" ht="15.75">
      <c r="A16" s="11">
        <f>+A15+1</f>
        <v>9</v>
      </c>
      <c r="B16" s="6" t="s">
        <v>43</v>
      </c>
      <c r="C16" s="9"/>
      <c r="D16" s="9">
        <v>147262745</v>
      </c>
      <c r="E16" s="9"/>
      <c r="F16" s="9"/>
      <c r="G16" s="9">
        <v>30494995</v>
      </c>
      <c r="H16" s="9"/>
      <c r="I16" s="9"/>
      <c r="J16" s="9"/>
      <c r="K16" s="9"/>
      <c r="L16" s="27">
        <f t="shared" si="1"/>
        <v>177757740</v>
      </c>
    </row>
    <row r="17" spans="1:12" ht="15.75">
      <c r="A17" s="11">
        <f t="shared" si="0"/>
        <v>10</v>
      </c>
      <c r="B17" s="6" t="s">
        <v>44</v>
      </c>
      <c r="C17" s="9"/>
      <c r="D17" s="9">
        <v>2294334</v>
      </c>
      <c r="E17" s="9"/>
      <c r="F17" s="9"/>
      <c r="G17" s="9">
        <v>168147341</v>
      </c>
      <c r="H17" s="9"/>
      <c r="I17" s="9"/>
      <c r="J17" s="9"/>
      <c r="K17" s="9"/>
      <c r="L17" s="27">
        <f t="shared" si="1"/>
        <v>170441675</v>
      </c>
    </row>
    <row r="18" spans="1:12" ht="15.75">
      <c r="A18" s="11">
        <f t="shared" si="0"/>
        <v>11</v>
      </c>
      <c r="B18" s="6" t="s">
        <v>45</v>
      </c>
      <c r="C18" s="9"/>
      <c r="D18" s="9">
        <v>19148238</v>
      </c>
      <c r="E18" s="9"/>
      <c r="F18" s="9"/>
      <c r="G18" s="9"/>
      <c r="H18" s="9"/>
      <c r="I18" s="9"/>
      <c r="J18" s="9"/>
      <c r="K18" s="9"/>
      <c r="L18" s="27">
        <f t="shared" si="1"/>
        <v>19148238</v>
      </c>
    </row>
    <row r="19" spans="1:12" ht="15.75">
      <c r="A19" s="11">
        <f t="shared" si="0"/>
        <v>12</v>
      </c>
      <c r="B19" s="6" t="s">
        <v>46</v>
      </c>
      <c r="C19" s="9"/>
      <c r="D19" s="9">
        <v>134674909</v>
      </c>
      <c r="E19" s="9"/>
      <c r="F19" s="9"/>
      <c r="G19" s="9"/>
      <c r="H19" s="9"/>
      <c r="I19" s="9"/>
      <c r="J19" s="9"/>
      <c r="K19" s="9">
        <v>4840560</v>
      </c>
      <c r="L19" s="27">
        <f t="shared" si="1"/>
        <v>139515469</v>
      </c>
    </row>
    <row r="20" spans="1:12" ht="15.75">
      <c r="A20" s="11">
        <f t="shared" si="0"/>
        <v>13</v>
      </c>
      <c r="B20" s="6" t="s">
        <v>97</v>
      </c>
      <c r="C20" s="9"/>
      <c r="D20" s="9"/>
      <c r="E20" s="9"/>
      <c r="F20" s="9"/>
      <c r="J20" s="30"/>
      <c r="K20" s="9"/>
      <c r="L20" s="27">
        <f t="shared" si="1"/>
        <v>0</v>
      </c>
    </row>
    <row r="21" spans="1:12" ht="15.75">
      <c r="A21" s="11">
        <f t="shared" si="0"/>
        <v>14</v>
      </c>
      <c r="B21" s="6" t="s">
        <v>47</v>
      </c>
      <c r="C21" s="9"/>
      <c r="D21" s="9">
        <v>2906777</v>
      </c>
      <c r="E21" s="9">
        <v>27005575</v>
      </c>
      <c r="F21" s="9"/>
      <c r="G21" s="9">
        <v>30624964</v>
      </c>
      <c r="H21" s="9"/>
      <c r="I21" s="9">
        <v>3692015</v>
      </c>
      <c r="J21" s="9"/>
      <c r="K21" s="9"/>
      <c r="L21" s="27">
        <f t="shared" si="1"/>
        <v>64229331</v>
      </c>
    </row>
    <row r="22" spans="1:12" ht="15.75">
      <c r="A22" s="11">
        <f t="shared" si="0"/>
        <v>15</v>
      </c>
      <c r="B22" s="6" t="s">
        <v>48</v>
      </c>
      <c r="C22" s="9"/>
      <c r="D22" s="9">
        <v>30631940</v>
      </c>
      <c r="E22" s="9">
        <v>17752954</v>
      </c>
      <c r="F22" s="9"/>
      <c r="I22" s="9"/>
      <c r="J22" s="30"/>
      <c r="K22" s="9"/>
      <c r="L22" s="27">
        <f t="shared" si="1"/>
        <v>48384894</v>
      </c>
    </row>
    <row r="23" spans="1:12" ht="15.75">
      <c r="A23" s="11">
        <f t="shared" si="0"/>
        <v>16</v>
      </c>
      <c r="B23" s="6" t="s">
        <v>54</v>
      </c>
      <c r="C23" s="9"/>
      <c r="D23" s="9"/>
      <c r="E23" s="9"/>
      <c r="F23" s="9"/>
      <c r="J23" s="30"/>
      <c r="K23" s="9"/>
      <c r="L23" s="27">
        <f t="shared" si="1"/>
        <v>0</v>
      </c>
    </row>
    <row r="24" spans="1:12" ht="15.75">
      <c r="A24" s="11">
        <f t="shared" si="0"/>
        <v>17</v>
      </c>
      <c r="B24" s="6" t="s">
        <v>51</v>
      </c>
      <c r="C24" s="9"/>
      <c r="D24" s="9">
        <v>1607256</v>
      </c>
      <c r="E24" s="9">
        <v>24050425</v>
      </c>
      <c r="F24" s="9">
        <v>7644595</v>
      </c>
      <c r="G24" s="9">
        <v>6015387</v>
      </c>
      <c r="H24" s="9"/>
      <c r="I24" s="9">
        <v>8948690</v>
      </c>
      <c r="J24" s="9"/>
      <c r="K24" s="9">
        <v>90864053</v>
      </c>
      <c r="L24" s="27">
        <f t="shared" si="1"/>
        <v>139130406</v>
      </c>
    </row>
    <row r="25" spans="1:12" ht="15.75">
      <c r="A25" s="11">
        <f t="shared" si="0"/>
        <v>18</v>
      </c>
      <c r="B25" s="6" t="s">
        <v>52</v>
      </c>
      <c r="C25" s="9"/>
      <c r="D25" s="9">
        <v>3752698</v>
      </c>
      <c r="E25" s="9">
        <v>68332635</v>
      </c>
      <c r="F25" s="9"/>
      <c r="G25" s="9"/>
      <c r="H25" s="9"/>
      <c r="I25" s="9"/>
      <c r="J25" s="9"/>
      <c r="K25" s="9">
        <v>27160049</v>
      </c>
      <c r="L25" s="27">
        <f t="shared" si="1"/>
        <v>99245382</v>
      </c>
    </row>
    <row r="26" spans="1:12" ht="15.75">
      <c r="A26" s="11">
        <f t="shared" si="0"/>
        <v>19</v>
      </c>
      <c r="B26" s="6" t="s">
        <v>53</v>
      </c>
      <c r="C26" s="9"/>
      <c r="D26" s="9"/>
      <c r="E26" s="9"/>
      <c r="F26" s="9"/>
      <c r="J26" s="30"/>
      <c r="K26" s="9"/>
      <c r="L26" s="27">
        <f t="shared" si="1"/>
        <v>0</v>
      </c>
    </row>
    <row r="27" spans="1:12" ht="15.75">
      <c r="A27" s="11">
        <f t="shared" si="0"/>
        <v>20</v>
      </c>
      <c r="B27" s="6" t="s">
        <v>56</v>
      </c>
      <c r="C27" s="9"/>
      <c r="D27" s="9"/>
      <c r="E27" s="9"/>
      <c r="F27" s="9"/>
      <c r="H27" s="9"/>
      <c r="J27" s="30"/>
      <c r="K27" s="9"/>
      <c r="L27" s="27">
        <f t="shared" si="1"/>
        <v>0</v>
      </c>
    </row>
    <row r="28" spans="1:12" ht="15.75">
      <c r="A28" s="11">
        <f t="shared" si="0"/>
        <v>21</v>
      </c>
      <c r="B28" s="6" t="s">
        <v>80</v>
      </c>
      <c r="C28" s="9"/>
      <c r="D28" s="9"/>
      <c r="E28" s="9"/>
      <c r="F28" s="9"/>
      <c r="H28" s="9"/>
      <c r="J28" s="9">
        <f>4190935+892500</f>
        <v>5083435</v>
      </c>
      <c r="K28" s="9"/>
      <c r="L28" s="27">
        <f t="shared" si="1"/>
        <v>5083435</v>
      </c>
    </row>
    <row r="29" spans="1:12" ht="16.5">
      <c r="A29" s="11">
        <f>+A27+1</f>
        <v>21</v>
      </c>
      <c r="B29" s="6" t="s">
        <v>76</v>
      </c>
      <c r="C29" s="9"/>
      <c r="D29" s="9">
        <f>3174466+229947</f>
        <v>3404413</v>
      </c>
      <c r="E29" s="9">
        <v>5494452</v>
      </c>
      <c r="F29" s="9"/>
      <c r="G29" s="9">
        <f>150000+7500</f>
        <v>157500</v>
      </c>
      <c r="H29" s="9">
        <v>560000</v>
      </c>
      <c r="I29" s="9">
        <v>6049896</v>
      </c>
      <c r="J29" s="9"/>
      <c r="K29" s="9">
        <v>279760</v>
      </c>
      <c r="L29" s="27">
        <f>SUM(C29:K29)</f>
        <v>15946021</v>
      </c>
    </row>
    <row r="30" spans="1:13" ht="15.75">
      <c r="A30" s="11">
        <f t="shared" si="0"/>
        <v>22</v>
      </c>
      <c r="B30" s="6" t="s">
        <v>10</v>
      </c>
      <c r="C30" s="7">
        <f>SUM(C11:C29)</f>
        <v>333839180</v>
      </c>
      <c r="D30" s="7">
        <f aca="true" t="shared" si="2" ref="D30:K30">SUM(D11:D29)</f>
        <v>345683310</v>
      </c>
      <c r="E30" s="7">
        <f t="shared" si="2"/>
        <v>142636041</v>
      </c>
      <c r="F30" s="7">
        <f t="shared" si="2"/>
        <v>7644595</v>
      </c>
      <c r="G30" s="7">
        <f t="shared" si="2"/>
        <v>235440187</v>
      </c>
      <c r="H30" s="7">
        <f t="shared" si="2"/>
        <v>560000</v>
      </c>
      <c r="I30" s="7">
        <f t="shared" si="2"/>
        <v>18690601</v>
      </c>
      <c r="J30" s="7">
        <f>SUM(J11:J29)</f>
        <v>5083435</v>
      </c>
      <c r="K30" s="7">
        <f t="shared" si="2"/>
        <v>123144422</v>
      </c>
      <c r="L30" s="28">
        <f>SUM(C30:K30)</f>
        <v>1212721771</v>
      </c>
      <c r="M30" s="21"/>
    </row>
    <row r="31" spans="1:12" ht="15.75">
      <c r="A31" s="11">
        <f t="shared" si="0"/>
        <v>23</v>
      </c>
      <c r="B31" s="6"/>
      <c r="C31" s="9"/>
      <c r="D31" s="9"/>
      <c r="E31" s="9"/>
      <c r="F31" s="9"/>
      <c r="J31" s="30"/>
      <c r="L31" s="27"/>
    </row>
    <row r="32" spans="1:12" ht="15.75">
      <c r="A32" s="11">
        <f t="shared" si="0"/>
        <v>24</v>
      </c>
      <c r="B32" s="4" t="s">
        <v>11</v>
      </c>
      <c r="C32" s="12"/>
      <c r="D32" s="12"/>
      <c r="E32" s="12"/>
      <c r="F32" s="12"/>
      <c r="J32" s="30"/>
      <c r="L32" s="27"/>
    </row>
    <row r="33" spans="1:12" ht="15.75">
      <c r="A33" s="11">
        <f t="shared" si="0"/>
        <v>25</v>
      </c>
      <c r="B33" s="6" t="s">
        <v>12</v>
      </c>
      <c r="C33" s="9">
        <v>230090528</v>
      </c>
      <c r="D33" s="9">
        <v>137727800</v>
      </c>
      <c r="E33" s="9">
        <v>32641840</v>
      </c>
      <c r="F33" s="9"/>
      <c r="G33" s="9"/>
      <c r="H33" s="9"/>
      <c r="I33" s="9">
        <v>5972297</v>
      </c>
      <c r="J33" s="9">
        <v>450000</v>
      </c>
      <c r="K33" s="9">
        <v>53913591</v>
      </c>
      <c r="L33" s="27">
        <f t="shared" si="1"/>
        <v>460796056</v>
      </c>
    </row>
    <row r="34" spans="1:12" ht="15.75">
      <c r="A34" s="11">
        <f t="shared" si="0"/>
        <v>26</v>
      </c>
      <c r="B34" s="6" t="s">
        <v>59</v>
      </c>
      <c r="C34" s="9">
        <v>25305825</v>
      </c>
      <c r="D34" s="9">
        <v>80955054</v>
      </c>
      <c r="E34" s="9">
        <v>13573297</v>
      </c>
      <c r="F34" s="9"/>
      <c r="G34" s="9">
        <v>105350</v>
      </c>
      <c r="H34" s="9"/>
      <c r="I34" s="9">
        <v>563020</v>
      </c>
      <c r="J34" s="9"/>
      <c r="K34" s="9">
        <v>1988748</v>
      </c>
      <c r="L34" s="27">
        <f t="shared" si="1"/>
        <v>122491294</v>
      </c>
    </row>
    <row r="35" spans="1:12" ht="15.75">
      <c r="A35" s="11">
        <f t="shared" si="0"/>
        <v>27</v>
      </c>
      <c r="B35" s="6" t="s">
        <v>14</v>
      </c>
      <c r="C35" s="9">
        <v>59918557</v>
      </c>
      <c r="D35" s="9">
        <v>101516782</v>
      </c>
      <c r="E35" s="9">
        <v>45785855</v>
      </c>
      <c r="F35" s="9">
        <v>5658494</v>
      </c>
      <c r="G35" s="9">
        <v>229376879</v>
      </c>
      <c r="H35" s="9">
        <v>160000</v>
      </c>
      <c r="I35" s="9">
        <v>12155284</v>
      </c>
      <c r="J35" s="9">
        <f>143300+4190935</f>
        <v>4334235</v>
      </c>
      <c r="K35" s="9">
        <v>18734203</v>
      </c>
      <c r="L35" s="27">
        <f t="shared" si="1"/>
        <v>477640289</v>
      </c>
    </row>
    <row r="36" spans="1:12" ht="15.75">
      <c r="A36" s="11">
        <f t="shared" si="0"/>
        <v>28</v>
      </c>
      <c r="B36" s="6" t="s">
        <v>60</v>
      </c>
      <c r="C36" s="9">
        <v>2867773</v>
      </c>
      <c r="D36" s="9">
        <v>16492893</v>
      </c>
      <c r="E36" s="9">
        <v>11967630</v>
      </c>
      <c r="F36" s="9"/>
      <c r="G36" s="9"/>
      <c r="H36" s="9"/>
      <c r="I36" s="9"/>
      <c r="J36" s="9"/>
      <c r="K36" s="9">
        <v>441892</v>
      </c>
      <c r="L36" s="27">
        <f t="shared" si="1"/>
        <v>31770188</v>
      </c>
    </row>
    <row r="37" spans="1:12" ht="15.75">
      <c r="A37" s="11">
        <f t="shared" si="0"/>
        <v>29</v>
      </c>
      <c r="B37" s="6" t="s">
        <v>42</v>
      </c>
      <c r="C37" s="9"/>
      <c r="D37" s="9"/>
      <c r="E37" s="9"/>
      <c r="F37" s="9"/>
      <c r="J37" s="30"/>
      <c r="K37" s="32"/>
      <c r="L37" s="27">
        <f t="shared" si="1"/>
        <v>0</v>
      </c>
    </row>
    <row r="38" spans="1:12" ht="15.75">
      <c r="A38" s="11">
        <f t="shared" si="0"/>
        <v>30</v>
      </c>
      <c r="B38" s="6" t="s">
        <v>16</v>
      </c>
      <c r="C38" s="9"/>
      <c r="D38" s="9"/>
      <c r="E38" s="9"/>
      <c r="F38" s="9"/>
      <c r="J38" s="30"/>
      <c r="K38" s="32"/>
      <c r="L38" s="27">
        <f t="shared" si="1"/>
        <v>0</v>
      </c>
    </row>
    <row r="39" spans="1:12" ht="15.75" hidden="1">
      <c r="A39" s="11">
        <f t="shared" si="0"/>
        <v>31</v>
      </c>
      <c r="B39" s="6" t="s">
        <v>27</v>
      </c>
      <c r="C39" s="9"/>
      <c r="D39" s="9"/>
      <c r="E39" s="9"/>
      <c r="F39" s="9"/>
      <c r="J39" s="30"/>
      <c r="K39" s="32"/>
      <c r="L39" s="27">
        <f t="shared" si="1"/>
        <v>0</v>
      </c>
    </row>
    <row r="40" spans="1:12" ht="15.75">
      <c r="A40" s="11">
        <f>+A38+1</f>
        <v>31</v>
      </c>
      <c r="B40" s="6" t="s">
        <v>28</v>
      </c>
      <c r="C40" s="9"/>
      <c r="D40" s="9"/>
      <c r="E40" s="9"/>
      <c r="F40" s="9"/>
      <c r="J40" s="30"/>
      <c r="K40" s="32"/>
      <c r="L40" s="27">
        <f t="shared" si="1"/>
        <v>0</v>
      </c>
    </row>
    <row r="41" spans="1:12" ht="15.75">
      <c r="A41" s="11">
        <f t="shared" si="0"/>
        <v>32</v>
      </c>
      <c r="B41" s="6" t="s">
        <v>34</v>
      </c>
      <c r="C41" s="9"/>
      <c r="D41" s="9"/>
      <c r="E41" s="9"/>
      <c r="F41" s="9"/>
      <c r="J41" s="30"/>
      <c r="K41" s="32"/>
      <c r="L41" s="27">
        <f t="shared" si="1"/>
        <v>0</v>
      </c>
    </row>
    <row r="42" spans="1:12" ht="15.75">
      <c r="A42" s="11">
        <f t="shared" si="0"/>
        <v>33</v>
      </c>
      <c r="B42" s="6" t="s">
        <v>17</v>
      </c>
      <c r="C42" s="9">
        <v>5758188</v>
      </c>
      <c r="D42" s="9"/>
      <c r="E42" s="9"/>
      <c r="F42" s="9"/>
      <c r="J42" s="30"/>
      <c r="K42" s="32"/>
      <c r="L42" s="27">
        <f t="shared" si="1"/>
        <v>5758188</v>
      </c>
    </row>
    <row r="43" spans="1:12" ht="15.75">
      <c r="A43" s="11">
        <f t="shared" si="0"/>
        <v>34</v>
      </c>
      <c r="B43" s="6" t="s">
        <v>18</v>
      </c>
      <c r="C43" s="9">
        <v>1828073</v>
      </c>
      <c r="D43" s="9">
        <v>320434</v>
      </c>
      <c r="E43" s="9">
        <v>510031</v>
      </c>
      <c r="F43" s="9"/>
      <c r="J43" s="30"/>
      <c r="K43" s="32"/>
      <c r="L43" s="27">
        <f t="shared" si="1"/>
        <v>2658538</v>
      </c>
    </row>
    <row r="44" spans="2:12" ht="15.75" hidden="1">
      <c r="B44" s="6" t="s">
        <v>29</v>
      </c>
      <c r="C44" s="9">
        <v>0</v>
      </c>
      <c r="D44" s="9"/>
      <c r="E44" s="9"/>
      <c r="F44" s="9"/>
      <c r="J44" s="30"/>
      <c r="K44" s="32"/>
      <c r="L44" s="27">
        <f t="shared" si="1"/>
        <v>0</v>
      </c>
    </row>
    <row r="45" spans="2:12" ht="15.75" hidden="1">
      <c r="B45" s="6" t="s">
        <v>35</v>
      </c>
      <c r="C45" s="9">
        <v>0</v>
      </c>
      <c r="D45" s="9"/>
      <c r="E45" s="9"/>
      <c r="F45" s="9"/>
      <c r="J45" s="30"/>
      <c r="K45" s="32"/>
      <c r="L45" s="27">
        <f t="shared" si="1"/>
        <v>0</v>
      </c>
    </row>
    <row r="46" spans="1:12" ht="15.75">
      <c r="A46" s="11">
        <f>+A43+1</f>
        <v>35</v>
      </c>
      <c r="B46" s="6" t="s">
        <v>19</v>
      </c>
      <c r="C46" s="9">
        <v>2411791</v>
      </c>
      <c r="D46" s="9"/>
      <c r="E46" s="9"/>
      <c r="F46" s="9"/>
      <c r="J46" s="30"/>
      <c r="K46" s="32"/>
      <c r="L46" s="27">
        <f t="shared" si="1"/>
        <v>2411791</v>
      </c>
    </row>
    <row r="47" spans="1:12" ht="15.75">
      <c r="A47" s="11">
        <f t="shared" si="0"/>
        <v>36</v>
      </c>
      <c r="B47" s="6" t="s">
        <v>30</v>
      </c>
      <c r="C47" s="9"/>
      <c r="D47" s="9"/>
      <c r="E47" s="9"/>
      <c r="F47" s="9"/>
      <c r="J47" s="30"/>
      <c r="K47" s="32"/>
      <c r="L47" s="27">
        <f t="shared" si="1"/>
        <v>0</v>
      </c>
    </row>
    <row r="48" spans="1:12" ht="15.75">
      <c r="A48" s="11">
        <f t="shared" si="0"/>
        <v>37</v>
      </c>
      <c r="B48" s="6" t="s">
        <v>31</v>
      </c>
      <c r="C48" s="9">
        <v>474853</v>
      </c>
      <c r="D48" s="9"/>
      <c r="E48" s="9"/>
      <c r="F48" s="9"/>
      <c r="J48" s="30"/>
      <c r="K48" s="32"/>
      <c r="L48" s="27">
        <f t="shared" si="1"/>
        <v>474853</v>
      </c>
    </row>
    <row r="49" spans="1:12" ht="15.75">
      <c r="A49" s="11">
        <f t="shared" si="0"/>
        <v>38</v>
      </c>
      <c r="B49" s="6" t="s">
        <v>32</v>
      </c>
      <c r="C49" s="9"/>
      <c r="D49" s="9"/>
      <c r="E49" s="9"/>
      <c r="F49" s="9"/>
      <c r="J49" s="30"/>
      <c r="K49" s="32"/>
      <c r="L49" s="27">
        <f t="shared" si="1"/>
        <v>0</v>
      </c>
    </row>
    <row r="50" spans="1:12" ht="15.75">
      <c r="A50" s="11">
        <f t="shared" si="0"/>
        <v>39</v>
      </c>
      <c r="B50" s="6" t="s">
        <v>20</v>
      </c>
      <c r="C50" s="9"/>
      <c r="D50" s="9">
        <v>99613</v>
      </c>
      <c r="E50" s="9"/>
      <c r="F50" s="9"/>
      <c r="J50" s="30"/>
      <c r="K50" s="31"/>
      <c r="L50" s="27">
        <f t="shared" si="1"/>
        <v>99613</v>
      </c>
    </row>
    <row r="51" spans="1:12" ht="15.75">
      <c r="A51" s="11">
        <f t="shared" si="0"/>
        <v>40</v>
      </c>
      <c r="B51" s="22" t="s">
        <v>33</v>
      </c>
      <c r="C51" s="9"/>
      <c r="D51" s="9"/>
      <c r="E51" s="9"/>
      <c r="F51" s="9"/>
      <c r="J51" s="30"/>
      <c r="K51" s="32"/>
      <c r="L51" s="27">
        <f t="shared" si="1"/>
        <v>0</v>
      </c>
    </row>
    <row r="52" spans="1:12" ht="15.75">
      <c r="A52" s="11">
        <f t="shared" si="0"/>
        <v>41</v>
      </c>
      <c r="B52" s="22" t="s">
        <v>36</v>
      </c>
      <c r="C52" s="9"/>
      <c r="D52" s="9"/>
      <c r="E52" s="9"/>
      <c r="F52" s="9"/>
      <c r="J52" s="30"/>
      <c r="K52" s="32"/>
      <c r="L52" s="27">
        <f t="shared" si="1"/>
        <v>0</v>
      </c>
    </row>
    <row r="53" spans="1:12" ht="15.75">
      <c r="A53" s="11">
        <f t="shared" si="0"/>
        <v>42</v>
      </c>
      <c r="B53" s="22" t="s">
        <v>37</v>
      </c>
      <c r="C53" s="9"/>
      <c r="D53" s="9"/>
      <c r="E53" s="9"/>
      <c r="F53" s="9"/>
      <c r="J53" s="30"/>
      <c r="K53" s="32"/>
      <c r="L53" s="27">
        <f t="shared" si="1"/>
        <v>0</v>
      </c>
    </row>
    <row r="54" spans="1:12" ht="15.75">
      <c r="A54" s="11">
        <f t="shared" si="0"/>
        <v>43</v>
      </c>
      <c r="B54" s="23" t="s">
        <v>78</v>
      </c>
      <c r="C54" s="9"/>
      <c r="D54" s="9"/>
      <c r="E54" s="9"/>
      <c r="F54" s="9"/>
      <c r="J54" s="30"/>
      <c r="K54" s="32"/>
      <c r="L54" s="27">
        <f t="shared" si="1"/>
        <v>0</v>
      </c>
    </row>
    <row r="55" spans="1:12" ht="15.75">
      <c r="A55" s="11">
        <f t="shared" si="0"/>
        <v>44</v>
      </c>
      <c r="B55" s="22" t="s">
        <v>99</v>
      </c>
      <c r="C55" s="9">
        <v>4298252</v>
      </c>
      <c r="D55" s="9"/>
      <c r="E55" s="9"/>
      <c r="F55" s="9"/>
      <c r="J55" s="30"/>
      <c r="K55" s="32"/>
      <c r="L55" s="27">
        <f t="shared" si="1"/>
        <v>4298252</v>
      </c>
    </row>
    <row r="56" spans="1:12" ht="15.75">
      <c r="A56" s="11">
        <f t="shared" si="0"/>
        <v>45</v>
      </c>
      <c r="B56" s="22" t="s">
        <v>57</v>
      </c>
      <c r="C56" s="9"/>
      <c r="D56" s="9"/>
      <c r="E56" s="9"/>
      <c r="F56" s="9"/>
      <c r="J56" s="30"/>
      <c r="K56" s="32"/>
      <c r="L56" s="27">
        <f t="shared" si="1"/>
        <v>0</v>
      </c>
    </row>
    <row r="57" spans="1:12" ht="15.75">
      <c r="A57" s="11">
        <f t="shared" si="0"/>
        <v>46</v>
      </c>
      <c r="B57" s="22" t="s">
        <v>58</v>
      </c>
      <c r="C57" s="9">
        <v>885340</v>
      </c>
      <c r="D57" s="9"/>
      <c r="E57" s="9"/>
      <c r="F57" s="9"/>
      <c r="J57" s="30"/>
      <c r="K57" s="32"/>
      <c r="L57" s="27">
        <f t="shared" si="1"/>
        <v>885340</v>
      </c>
    </row>
    <row r="58" spans="1:12" ht="15.75">
      <c r="A58" s="11">
        <f t="shared" si="0"/>
        <v>47</v>
      </c>
      <c r="B58" s="6" t="s">
        <v>49</v>
      </c>
      <c r="D58" s="9">
        <v>3793834</v>
      </c>
      <c r="E58" s="9"/>
      <c r="F58" s="9"/>
      <c r="J58" s="30"/>
      <c r="K58" s="32"/>
      <c r="L58" s="27">
        <f t="shared" si="1"/>
        <v>3793834</v>
      </c>
    </row>
    <row r="59" spans="1:12" ht="15.75">
      <c r="A59" s="11">
        <f t="shared" si="0"/>
        <v>48</v>
      </c>
      <c r="B59" s="6" t="s">
        <v>55</v>
      </c>
      <c r="D59" s="9"/>
      <c r="E59" s="9">
        <v>9367531</v>
      </c>
      <c r="F59" s="9"/>
      <c r="I59" s="9"/>
      <c r="J59" s="9"/>
      <c r="K59" s="31"/>
      <c r="L59" s="27">
        <f t="shared" si="1"/>
        <v>9367531</v>
      </c>
    </row>
    <row r="60" spans="1:12" ht="15.75">
      <c r="A60" s="11">
        <f>+A59+1</f>
        <v>49</v>
      </c>
      <c r="B60" s="6" t="s">
        <v>21</v>
      </c>
      <c r="C60" s="7">
        <f>SUM(C33:C59)</f>
        <v>333839180</v>
      </c>
      <c r="D60" s="7">
        <f aca="true" t="shared" si="3" ref="D60:K60">SUM(D33:D59)</f>
        <v>340906410</v>
      </c>
      <c r="E60" s="7">
        <f t="shared" si="3"/>
        <v>113846184</v>
      </c>
      <c r="F60" s="7">
        <f t="shared" si="3"/>
        <v>5658494</v>
      </c>
      <c r="G60" s="7">
        <f t="shared" si="3"/>
        <v>229482229</v>
      </c>
      <c r="H60" s="7">
        <f t="shared" si="3"/>
        <v>160000</v>
      </c>
      <c r="I60" s="7">
        <f t="shared" si="3"/>
        <v>18690601</v>
      </c>
      <c r="J60" s="7">
        <f t="shared" si="3"/>
        <v>4784235</v>
      </c>
      <c r="K60" s="7">
        <f t="shared" si="3"/>
        <v>75078434</v>
      </c>
      <c r="L60" s="28">
        <f>SUM(C60:K60)</f>
        <v>1122445767</v>
      </c>
    </row>
    <row r="61" spans="1:12" ht="15.75">
      <c r="A61" s="11">
        <f t="shared" si="0"/>
        <v>50</v>
      </c>
      <c r="B61" s="6"/>
      <c r="C61" s="9"/>
      <c r="D61" s="9"/>
      <c r="E61" s="9"/>
      <c r="F61" s="9"/>
      <c r="J61" s="30"/>
      <c r="L61" s="27"/>
    </row>
    <row r="62" spans="1:12" ht="15.75">
      <c r="A62" s="11">
        <f t="shared" si="0"/>
        <v>51</v>
      </c>
      <c r="B62" s="4" t="s">
        <v>22</v>
      </c>
      <c r="C62" s="12"/>
      <c r="D62" s="12"/>
      <c r="E62" s="12"/>
      <c r="F62" s="12"/>
      <c r="J62" s="30"/>
      <c r="L62" s="27"/>
    </row>
    <row r="63" spans="1:12" ht="15.75">
      <c r="A63" s="11">
        <f t="shared" si="0"/>
        <v>52</v>
      </c>
      <c r="B63" s="6" t="s">
        <v>23</v>
      </c>
      <c r="C63" s="9"/>
      <c r="D63" s="31"/>
      <c r="E63" s="9">
        <v>40488287</v>
      </c>
      <c r="F63" s="12">
        <v>3566803</v>
      </c>
      <c r="G63" s="12">
        <v>1790180</v>
      </c>
      <c r="H63" s="12">
        <v>400000</v>
      </c>
      <c r="I63" s="12"/>
      <c r="J63" s="12">
        <v>299200</v>
      </c>
      <c r="K63" s="12">
        <f>30561399+17312121</f>
        <v>47873520</v>
      </c>
      <c r="L63" s="27">
        <f t="shared" si="1"/>
        <v>94417990</v>
      </c>
    </row>
    <row r="64" spans="1:12" ht="15.75">
      <c r="A64" s="11">
        <f t="shared" si="0"/>
        <v>53</v>
      </c>
      <c r="B64" s="6" t="s">
        <v>50</v>
      </c>
      <c r="C64" s="9"/>
      <c r="D64" s="31"/>
      <c r="E64" s="31"/>
      <c r="F64" s="9"/>
      <c r="I64" s="9"/>
      <c r="J64" s="9"/>
      <c r="K64" s="32"/>
      <c r="L64" s="27">
        <f t="shared" si="1"/>
        <v>0</v>
      </c>
    </row>
    <row r="65" spans="1:12" ht="15.75">
      <c r="A65" s="11">
        <f>+A64+1</f>
        <v>54</v>
      </c>
      <c r="B65" s="6" t="s">
        <v>26</v>
      </c>
      <c r="C65" s="9">
        <v>13159932</v>
      </c>
      <c r="D65" s="31"/>
      <c r="E65" s="31"/>
      <c r="F65" s="9"/>
      <c r="J65" s="30"/>
      <c r="K65" s="32"/>
      <c r="L65" s="27">
        <f>SUM(C65:K65)</f>
        <v>13159932</v>
      </c>
    </row>
    <row r="66" spans="1:12" ht="16.5">
      <c r="A66" s="11">
        <f>+A65+1</f>
        <v>55</v>
      </c>
      <c r="B66" s="6" t="s">
        <v>77</v>
      </c>
      <c r="C66" s="9"/>
      <c r="D66" s="31"/>
      <c r="E66" s="31"/>
      <c r="F66" s="31"/>
      <c r="G66" s="32"/>
      <c r="I66" s="32"/>
      <c r="J66" s="30"/>
      <c r="K66" s="32"/>
      <c r="L66" s="27">
        <f t="shared" si="1"/>
        <v>0</v>
      </c>
    </row>
    <row r="67" spans="1:12" ht="15.75">
      <c r="A67" s="11">
        <f t="shared" si="0"/>
        <v>56</v>
      </c>
      <c r="B67" s="6" t="s">
        <v>24</v>
      </c>
      <c r="C67" s="7">
        <f aca="true" t="shared" si="4" ref="C67:K67">SUM(C63:C66)</f>
        <v>13159932</v>
      </c>
      <c r="D67" s="7">
        <f t="shared" si="4"/>
        <v>0</v>
      </c>
      <c r="E67" s="7">
        <f t="shared" si="4"/>
        <v>40488287</v>
      </c>
      <c r="F67" s="7">
        <f t="shared" si="4"/>
        <v>3566803</v>
      </c>
      <c r="G67" s="7">
        <f t="shared" si="4"/>
        <v>1790180</v>
      </c>
      <c r="H67" s="7">
        <f t="shared" si="4"/>
        <v>400000</v>
      </c>
      <c r="I67" s="7">
        <f t="shared" si="4"/>
        <v>0</v>
      </c>
      <c r="J67" s="7">
        <f t="shared" si="4"/>
        <v>299200</v>
      </c>
      <c r="K67" s="7">
        <f t="shared" si="4"/>
        <v>47873520</v>
      </c>
      <c r="L67" s="28">
        <f t="shared" si="1"/>
        <v>107577922</v>
      </c>
    </row>
    <row r="68" spans="1:12" ht="15.75">
      <c r="A68" s="11">
        <f t="shared" si="0"/>
        <v>57</v>
      </c>
      <c r="B68" s="6"/>
      <c r="C68" s="12"/>
      <c r="D68" s="12"/>
      <c r="E68" s="12"/>
      <c r="F68" s="12"/>
      <c r="G68" s="12"/>
      <c r="H68" s="12"/>
      <c r="I68" s="12"/>
      <c r="J68" s="12"/>
      <c r="K68" s="12"/>
      <c r="L68" s="27"/>
    </row>
    <row r="69" spans="1:13" ht="16.5" thickBot="1">
      <c r="A69" s="11">
        <f t="shared" si="0"/>
        <v>58</v>
      </c>
      <c r="B69" s="6" t="s">
        <v>25</v>
      </c>
      <c r="C69" s="13">
        <f aca="true" t="shared" si="5" ref="C69:K69">+C8+C30-C60-C67</f>
        <v>39694957</v>
      </c>
      <c r="D69" s="13">
        <f t="shared" si="5"/>
        <v>31816661</v>
      </c>
      <c r="E69" s="13">
        <f t="shared" si="5"/>
        <v>25519403</v>
      </c>
      <c r="F69" s="13">
        <f t="shared" si="5"/>
        <v>6436369</v>
      </c>
      <c r="G69" s="13">
        <f t="shared" si="5"/>
        <v>18124768</v>
      </c>
      <c r="H69" s="13">
        <f t="shared" si="5"/>
        <v>286061</v>
      </c>
      <c r="I69" s="13">
        <f t="shared" si="5"/>
        <v>2389706</v>
      </c>
      <c r="J69" s="13">
        <f t="shared" si="5"/>
        <v>94393</v>
      </c>
      <c r="K69" s="13">
        <f t="shared" si="5"/>
        <v>32975624</v>
      </c>
      <c r="L69" s="29">
        <f>SUM(C69:K69)</f>
        <v>157337942</v>
      </c>
      <c r="M69" s="21">
        <f>+L8+L30-L60-L67</f>
        <v>157337942</v>
      </c>
    </row>
    <row r="70" ht="16.5" thickTop="1">
      <c r="J70" s="30"/>
    </row>
    <row r="71" spans="10:11" ht="15.75">
      <c r="J71" s="21"/>
      <c r="K71" s="21"/>
    </row>
    <row r="72" ht="15.75">
      <c r="C72" s="21"/>
    </row>
  </sheetData>
  <mergeCells count="4">
    <mergeCell ref="B1:L1"/>
    <mergeCell ref="B2:L2"/>
    <mergeCell ref="B3:L3"/>
    <mergeCell ref="F5:J5"/>
  </mergeCells>
  <printOptions horizontalCentered="1"/>
  <pageMargins left="0" right="0" top="0.48" bottom="0.36" header="0.36" footer="0.26"/>
  <pageSetup horizontalDpi="600" verticalDpi="600" orientation="landscape" scale="60" r:id="rId2"/>
  <rowBreaks count="1" manualBreakCount="1">
    <brk id="60" max="11" man="1"/>
  </rowBreaks>
  <drawing r:id="rId1"/>
</worksheet>
</file>

<file path=xl/worksheets/sheet9.xml><?xml version="1.0" encoding="utf-8"?>
<worksheet xmlns="http://schemas.openxmlformats.org/spreadsheetml/2006/main" xmlns:r="http://schemas.openxmlformats.org/officeDocument/2006/relationships">
  <dimension ref="A1:C51"/>
  <sheetViews>
    <sheetView workbookViewId="0" topLeftCell="A1">
      <selection activeCell="A1" sqref="A1:C1"/>
    </sheetView>
  </sheetViews>
  <sheetFormatPr defaultColWidth="8.88671875" defaultRowHeight="15"/>
  <cols>
    <col min="2" max="2" width="27.4453125" style="0" customWidth="1"/>
    <col min="3" max="3" width="10.77734375" style="0" bestFit="1" customWidth="1"/>
  </cols>
  <sheetData>
    <row r="1" spans="1:3" ht="15.75">
      <c r="A1" s="54" t="s">
        <v>40</v>
      </c>
      <c r="B1" s="54"/>
      <c r="C1" s="54"/>
    </row>
    <row r="2" spans="1:3" ht="15.75">
      <c r="A2" s="54" t="s">
        <v>1</v>
      </c>
      <c r="B2" s="54"/>
      <c r="C2" s="54"/>
    </row>
    <row r="3" spans="1:3" ht="15.75">
      <c r="A3" s="54" t="s">
        <v>2</v>
      </c>
      <c r="B3" s="54"/>
      <c r="C3" s="54"/>
    </row>
    <row r="4" spans="1:3" ht="15">
      <c r="A4" s="55"/>
      <c r="B4" s="55"/>
      <c r="C4" s="55"/>
    </row>
    <row r="5" spans="1:3" ht="15">
      <c r="A5" s="48"/>
      <c r="B5" s="2"/>
      <c r="C5" s="3" t="s">
        <v>3</v>
      </c>
    </row>
    <row r="6" spans="1:3" ht="15">
      <c r="A6" s="36"/>
      <c r="B6" s="4"/>
      <c r="C6" s="1" t="s">
        <v>84</v>
      </c>
    </row>
    <row r="7" spans="1:3" ht="15">
      <c r="A7" s="2"/>
      <c r="B7" s="2"/>
      <c r="C7" s="5"/>
    </row>
    <row r="8" spans="1:3" ht="15">
      <c r="A8" s="2"/>
      <c r="B8" s="6" t="s">
        <v>4</v>
      </c>
      <c r="C8" s="7">
        <v>11262572</v>
      </c>
    </row>
    <row r="9" spans="1:3" ht="15">
      <c r="A9" s="2"/>
      <c r="B9" s="2"/>
      <c r="C9" s="5"/>
    </row>
    <row r="10" spans="1:3" ht="15">
      <c r="A10" s="2"/>
      <c r="B10" s="8" t="s">
        <v>5</v>
      </c>
      <c r="C10" s="9"/>
    </row>
    <row r="11" spans="1:3" ht="15">
      <c r="A11" s="2"/>
      <c r="B11" s="2" t="s">
        <v>6</v>
      </c>
      <c r="C11" s="10">
        <v>2698719</v>
      </c>
    </row>
    <row r="12" spans="1:3" ht="15">
      <c r="A12" s="2"/>
      <c r="B12" s="2" t="s">
        <v>7</v>
      </c>
      <c r="C12" s="10">
        <v>58787863</v>
      </c>
    </row>
    <row r="13" spans="1:3" ht="15">
      <c r="A13" s="2"/>
      <c r="B13" s="2" t="s">
        <v>8</v>
      </c>
      <c r="C13" s="10">
        <v>14380180</v>
      </c>
    </row>
    <row r="14" spans="1:3" ht="15">
      <c r="A14" s="2"/>
      <c r="B14" s="2" t="s">
        <v>9</v>
      </c>
      <c r="C14" s="10">
        <v>0</v>
      </c>
    </row>
    <row r="15" spans="1:3" ht="15">
      <c r="A15" s="2"/>
      <c r="B15" s="2" t="s">
        <v>41</v>
      </c>
      <c r="C15" s="10">
        <v>0</v>
      </c>
    </row>
    <row r="16" spans="1:3" ht="15">
      <c r="A16" s="2"/>
      <c r="B16" s="6" t="s">
        <v>10</v>
      </c>
      <c r="C16" s="7">
        <f>SUM(C11:C15)</f>
        <v>75866762</v>
      </c>
    </row>
    <row r="17" spans="1:3" ht="15">
      <c r="A17" s="2"/>
      <c r="B17" s="6"/>
      <c r="C17" s="9"/>
    </row>
    <row r="18" spans="1:3" ht="15">
      <c r="A18" s="2"/>
      <c r="B18" s="4" t="s">
        <v>11</v>
      </c>
      <c r="C18" s="5"/>
    </row>
    <row r="19" spans="1:3" ht="15">
      <c r="A19" s="2"/>
      <c r="B19" s="2" t="s">
        <v>12</v>
      </c>
      <c r="C19" s="10">
        <v>57928839</v>
      </c>
    </row>
    <row r="20" spans="1:3" ht="15">
      <c r="A20" s="2"/>
      <c r="B20" s="2" t="s">
        <v>13</v>
      </c>
      <c r="C20" s="10">
        <v>2379239</v>
      </c>
    </row>
    <row r="21" spans="1:3" ht="15">
      <c r="A21" s="2"/>
      <c r="B21" s="2" t="s">
        <v>14</v>
      </c>
      <c r="C21" s="10">
        <v>2163081</v>
      </c>
    </row>
    <row r="22" spans="1:3" ht="15">
      <c r="A22" s="2"/>
      <c r="B22" s="2" t="s">
        <v>15</v>
      </c>
      <c r="C22" s="10">
        <v>250496</v>
      </c>
    </row>
    <row r="23" spans="1:3" ht="15">
      <c r="A23" s="2"/>
      <c r="B23" s="2" t="s">
        <v>16</v>
      </c>
      <c r="C23" s="10">
        <v>0</v>
      </c>
    </row>
    <row r="24" spans="1:3" ht="15">
      <c r="A24" s="2"/>
      <c r="B24" s="2" t="s">
        <v>27</v>
      </c>
      <c r="C24" s="10">
        <v>0</v>
      </c>
    </row>
    <row r="25" spans="1:3" ht="15">
      <c r="A25" s="2"/>
      <c r="B25" s="2" t="s">
        <v>28</v>
      </c>
      <c r="C25" s="10">
        <v>0</v>
      </c>
    </row>
    <row r="26" spans="1:3" ht="15">
      <c r="A26" s="2"/>
      <c r="B26" s="2" t="s">
        <v>34</v>
      </c>
      <c r="C26" s="10">
        <v>0</v>
      </c>
    </row>
    <row r="27" spans="1:3" ht="15">
      <c r="A27" s="2"/>
      <c r="B27" s="2" t="s">
        <v>17</v>
      </c>
      <c r="C27" s="10">
        <v>685000</v>
      </c>
    </row>
    <row r="28" spans="1:3" ht="15">
      <c r="A28" s="2"/>
      <c r="B28" s="2" t="s">
        <v>18</v>
      </c>
      <c r="C28" s="10">
        <v>465872</v>
      </c>
    </row>
    <row r="29" spans="1:3" ht="15">
      <c r="A29" s="2"/>
      <c r="B29" s="2" t="s">
        <v>29</v>
      </c>
      <c r="C29" s="10">
        <v>11373</v>
      </c>
    </row>
    <row r="30" spans="1:3" ht="15">
      <c r="A30" s="2"/>
      <c r="B30" s="2" t="s">
        <v>35</v>
      </c>
      <c r="C30" s="10">
        <v>0</v>
      </c>
    </row>
    <row r="31" spans="1:3" ht="15">
      <c r="A31" s="2"/>
      <c r="B31" s="2" t="s">
        <v>19</v>
      </c>
      <c r="C31" s="10">
        <v>0</v>
      </c>
    </row>
    <row r="32" spans="1:3" ht="15">
      <c r="A32" s="2"/>
      <c r="B32" s="2" t="s">
        <v>30</v>
      </c>
      <c r="C32" s="10">
        <v>0</v>
      </c>
    </row>
    <row r="33" spans="1:3" ht="15">
      <c r="A33" s="2"/>
      <c r="B33" s="2" t="s">
        <v>31</v>
      </c>
      <c r="C33" s="10">
        <v>1042527</v>
      </c>
    </row>
    <row r="34" spans="1:3" ht="15">
      <c r="A34" s="2"/>
      <c r="B34" s="2" t="s">
        <v>32</v>
      </c>
      <c r="C34" s="10">
        <v>0</v>
      </c>
    </row>
    <row r="35" spans="1:3" ht="15">
      <c r="A35" s="2"/>
      <c r="B35" s="2" t="s">
        <v>20</v>
      </c>
      <c r="C35" s="10">
        <v>0</v>
      </c>
    </row>
    <row r="36" spans="1:3" ht="15">
      <c r="A36" s="2"/>
      <c r="B36" s="11" t="s">
        <v>33</v>
      </c>
      <c r="C36" s="10">
        <v>0</v>
      </c>
    </row>
    <row r="37" spans="1:3" ht="15">
      <c r="A37" s="2"/>
      <c r="B37" s="11" t="s">
        <v>36</v>
      </c>
      <c r="C37" s="10">
        <v>0</v>
      </c>
    </row>
    <row r="38" spans="1:3" ht="15">
      <c r="A38" s="2"/>
      <c r="B38" s="11" t="s">
        <v>37</v>
      </c>
      <c r="C38" s="10">
        <v>0</v>
      </c>
    </row>
    <row r="39" spans="1:3" ht="15">
      <c r="A39" s="2"/>
      <c r="B39" s="11" t="s">
        <v>38</v>
      </c>
      <c r="C39" s="10">
        <v>0</v>
      </c>
    </row>
    <row r="40" spans="1:3" ht="15">
      <c r="A40" s="2"/>
      <c r="B40" s="11" t="s">
        <v>39</v>
      </c>
      <c r="C40" s="10">
        <v>10940335</v>
      </c>
    </row>
    <row r="41" spans="1:3" ht="15">
      <c r="A41" s="2"/>
      <c r="B41" s="6" t="s">
        <v>21</v>
      </c>
      <c r="C41" s="7">
        <f>SUM(C19:C40)</f>
        <v>75866762</v>
      </c>
    </row>
    <row r="42" spans="1:3" ht="15">
      <c r="A42" s="2"/>
      <c r="B42" s="6"/>
      <c r="C42" s="9"/>
    </row>
    <row r="43" spans="1:3" ht="15">
      <c r="A43" s="2"/>
      <c r="B43" s="4" t="s">
        <v>22</v>
      </c>
      <c r="C43" s="12"/>
    </row>
    <row r="44" spans="1:3" ht="15">
      <c r="A44" s="6"/>
      <c r="B44" s="2" t="s">
        <v>23</v>
      </c>
      <c r="C44" s="5">
        <v>0</v>
      </c>
    </row>
    <row r="45" spans="1:3" ht="15">
      <c r="A45" s="6"/>
      <c r="B45" s="2" t="s">
        <v>26</v>
      </c>
      <c r="C45" s="10">
        <v>2754450</v>
      </c>
    </row>
    <row r="46" spans="1:3" ht="15">
      <c r="A46" s="2"/>
      <c r="B46" s="2" t="s">
        <v>9</v>
      </c>
      <c r="C46" s="10">
        <v>0</v>
      </c>
    </row>
    <row r="47" spans="1:3" ht="15">
      <c r="A47" s="2"/>
      <c r="B47" s="6" t="s">
        <v>24</v>
      </c>
      <c r="C47" s="7">
        <f>SUM(C44:C46)</f>
        <v>2754450</v>
      </c>
    </row>
    <row r="48" spans="1:3" ht="15">
      <c r="A48" s="2"/>
      <c r="B48" s="2"/>
      <c r="C48" s="5"/>
    </row>
    <row r="49" spans="1:3" ht="15.75" thickBot="1">
      <c r="A49" s="2"/>
      <c r="B49" s="6" t="s">
        <v>25</v>
      </c>
      <c r="C49" s="13">
        <f>+C8+C16-C41-C47</f>
        <v>8508122</v>
      </c>
    </row>
    <row r="50" spans="1:3" ht="15.75" thickTop="1">
      <c r="A50" s="11"/>
      <c r="B50" s="11"/>
      <c r="C50" s="11"/>
    </row>
    <row r="51" spans="1:3" ht="15">
      <c r="A51" s="11"/>
      <c r="B51" s="11"/>
      <c r="C51" s="11"/>
    </row>
  </sheetData>
  <mergeCells count="4">
    <mergeCell ref="A1:C1"/>
    <mergeCell ref="A2:C2"/>
    <mergeCell ref="A3:C3"/>
    <mergeCell ref="A4:C4"/>
  </mergeCells>
  <printOptions horizontalCentered="1"/>
  <pageMargins left="0" right="0" top="0.69" bottom="0.46" header="0.28" footer="0.17"/>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Jones</dc:creator>
  <cp:keywords/>
  <dc:description/>
  <cp:lastModifiedBy>Florida Department of Education</cp:lastModifiedBy>
  <cp:lastPrinted>2004-10-11T19:19:36Z</cp:lastPrinted>
  <dcterms:created xsi:type="dcterms:W3CDTF">2003-11-21T14:20:02Z</dcterms:created>
  <dcterms:modified xsi:type="dcterms:W3CDTF">2004-10-11T19:19:50Z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-2053338163</vt:i4>
  </property>
  <property fmtid="{D5CDD505-2E9C-101B-9397-08002B2CF9AE}" pid="3" name="_EmailSubject">
    <vt:lpwstr>operating budget files</vt:lpwstr>
  </property>
  <property fmtid="{D5CDD505-2E9C-101B-9397-08002B2CF9AE}" pid="4" name="_AuthorEmail">
    <vt:lpwstr>Tim.Jones@fldoe.org</vt:lpwstr>
  </property>
  <property fmtid="{D5CDD505-2E9C-101B-9397-08002B2CF9AE}" pid="5" name="_AuthorEmailDisplayName">
    <vt:lpwstr>Jones, Tim</vt:lpwstr>
  </property>
  <property fmtid="{D5CDD505-2E9C-101B-9397-08002B2CF9AE}" pid="6" name="_PreviousAdHocReviewCycleID">
    <vt:i4>1165997741</vt:i4>
  </property>
</Properties>
</file>