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895" windowWidth="12120" windowHeight="3660" tabRatio="659" activeTab="1"/>
  </bookViews>
  <sheets>
    <sheet name="SUS" sheetId="1" r:id="rId1"/>
    <sheet name="UF" sheetId="2" r:id="rId2"/>
    <sheet name="FSU" sheetId="3" r:id="rId3"/>
    <sheet name="FAMU" sheetId="4" r:id="rId4"/>
    <sheet name="USF" sheetId="5" r:id="rId5"/>
    <sheet name="FAU" sheetId="6" r:id="rId6"/>
    <sheet name="UWF" sheetId="7" r:id="rId7"/>
    <sheet name="FIU" sheetId="8" r:id="rId8"/>
    <sheet name="UCF" sheetId="9" r:id="rId9"/>
    <sheet name="UNF" sheetId="10" r:id="rId10"/>
    <sheet name="FGCU" sheetId="11" r:id="rId11"/>
    <sheet name="NCF" sheetId="12" r:id="rId12"/>
    <sheet name="UF1" sheetId="13" state="hidden" r:id="rId13"/>
    <sheet name="FSU1" sheetId="14" state="hidden" r:id="rId14"/>
    <sheet name="FAMU1" sheetId="15" state="hidden" r:id="rId15"/>
    <sheet name="USF1 Total" sheetId="16" state="hidden" r:id="rId16"/>
    <sheet name="USF1 E&amp;G" sheetId="17" state="hidden" r:id="rId17"/>
    <sheet name="USF1 HSC" sheetId="18" state="hidden" r:id="rId18"/>
    <sheet name="FAU1" sheetId="19" state="hidden" r:id="rId19"/>
    <sheet name="UWF1" sheetId="20" state="hidden" r:id="rId20"/>
    <sheet name="UCF1" sheetId="21" state="hidden" r:id="rId21"/>
    <sheet name="FIU1" sheetId="22" state="hidden" r:id="rId22"/>
    <sheet name="UNF1" sheetId="23" state="hidden" r:id="rId23"/>
    <sheet name="FGCU1" sheetId="24" state="hidden" r:id="rId24"/>
    <sheet name="NCF1" sheetId="25" state="hidden" r:id="rId25"/>
  </sheets>
  <definedNames>
    <definedName name="_xlnm.Print_Area" localSheetId="3">'FAMU'!$A$1:$D$24</definedName>
    <definedName name="_xlnm.Print_Area" localSheetId="14">'FAMU1'!$B$4:$P$40</definedName>
    <definedName name="_xlnm.Print_Area" localSheetId="5">'FAU'!$A$1:$D$23</definedName>
    <definedName name="_xlnm.Print_Area" localSheetId="18">'FAU1'!$A$1:$O$36</definedName>
    <definedName name="_xlnm.Print_Area" localSheetId="10">'FGCU'!$A$1:$D$24</definedName>
    <definedName name="_xlnm.Print_Area" localSheetId="23">'FGCU1'!$A$1:$O$22</definedName>
    <definedName name="_xlnm.Print_Area" localSheetId="7">'FIU'!$A$1:$D$24</definedName>
    <definedName name="_xlnm.Print_Area" localSheetId="21">'FIU1'!$A$1:$O$35</definedName>
    <definedName name="_xlnm.Print_Area" localSheetId="2">'FSU'!$A$1:$D$24</definedName>
    <definedName name="_xlnm.Print_Area" localSheetId="13">'FSU1'!$A$1:$O$46</definedName>
    <definedName name="_xlnm.Print_Area" localSheetId="11">'NCF'!$A$1:$D$24</definedName>
    <definedName name="_xlnm.Print_Area" localSheetId="24">'NCF1'!$A$1:$O$9</definedName>
    <definedName name="_xlnm.Print_Area" localSheetId="0">'SUS'!$A$1:$I$146</definedName>
    <definedName name="_xlnm.Print_Area" localSheetId="8">'UCF'!$A$1:$D$24</definedName>
    <definedName name="_xlnm.Print_Area" localSheetId="20">'UCF1'!$A$1:$O$66</definedName>
    <definedName name="_xlnm.Print_Area" localSheetId="1">'UF'!$A$1:$D$24</definedName>
    <definedName name="_xlnm.Print_Area" localSheetId="12">'UF1'!$A$1:$S$32</definedName>
    <definedName name="_xlnm.Print_Area" localSheetId="9">'UNF'!$A$1:$D$24</definedName>
    <definedName name="_xlnm.Print_Area" localSheetId="22">'UNF1'!$A$1:$O$22</definedName>
    <definedName name="_xlnm.Print_Area" localSheetId="4">'USF'!$A$1:$D$24</definedName>
    <definedName name="_xlnm.Print_Area" localSheetId="16">'USF1 E&amp;G'!$A$1:$O$52</definedName>
    <definedName name="_xlnm.Print_Area" localSheetId="17">'USF1 HSC'!$A$1:$O$50</definedName>
    <definedName name="_xlnm.Print_Area" localSheetId="15">'USF1 Total'!$A$1:$O$13</definedName>
    <definedName name="_xlnm.Print_Area" localSheetId="6">'UWF'!$A$1:$D$24</definedName>
    <definedName name="_xlnm.Print_Area" localSheetId="19">'UWF1'!$A$1:$O$32</definedName>
    <definedName name="_xlnm.Print_Titles" localSheetId="13">'FSU1'!$1:$9</definedName>
    <definedName name="Z_E5B751E1_A714_11D7_A25A_009027B3829B_.wvu.PrintArea" localSheetId="18" hidden="1">'FAU1'!$A$1:$N$36</definedName>
    <definedName name="Z_E5B751E1_A714_11D7_A25A_009027B3829B_.wvu.PrintArea" localSheetId="23" hidden="1">'FGCU1'!$A$1:$N$22</definedName>
    <definedName name="Z_E5B751E1_A714_11D7_A25A_009027B3829B_.wvu.PrintArea" localSheetId="21" hidden="1">'FIU1'!$A$1:$N$35</definedName>
    <definedName name="Z_E5B751E1_A714_11D7_A25A_009027B3829B_.wvu.PrintArea" localSheetId="13" hidden="1">'FSU1'!$A$1:$M$46</definedName>
    <definedName name="Z_E5B751E1_A714_11D7_A25A_009027B3829B_.wvu.PrintArea" localSheetId="24" hidden="1">'NCF1'!$A$1:$N$9</definedName>
    <definedName name="Z_E5B751E1_A714_11D7_A25A_009027B3829B_.wvu.PrintArea" localSheetId="20" hidden="1">'UCF1'!$A$1:$N$66</definedName>
    <definedName name="Z_E5B751E1_A714_11D7_A25A_009027B3829B_.wvu.PrintArea" localSheetId="12" hidden="1">'UF1'!$A$1:$R$32</definedName>
    <definedName name="Z_E5B751E1_A714_11D7_A25A_009027B3829B_.wvu.PrintArea" localSheetId="22" hidden="1">'UNF1'!$A$1:$N$22</definedName>
    <definedName name="Z_E5B751E1_A714_11D7_A25A_009027B3829B_.wvu.PrintArea" localSheetId="16" hidden="1">'USF1 E&amp;G'!$A$1:$N$52</definedName>
    <definedName name="Z_E5B751E1_A714_11D7_A25A_009027B3829B_.wvu.PrintArea" localSheetId="17" hidden="1">'USF1 HSC'!$A$1:$N$50</definedName>
    <definedName name="Z_E5B751E1_A714_11D7_A25A_009027B3829B_.wvu.PrintArea" localSheetId="19" hidden="1">'UWF1'!$A$1:$N$29</definedName>
  </definedNames>
  <calcPr fullCalcOnLoad="1"/>
</workbook>
</file>

<file path=xl/comments13.xml><?xml version="1.0" encoding="utf-8"?>
<comments xmlns="http://schemas.openxmlformats.org/spreadsheetml/2006/main">
  <authors>
    <author>A satisfied Microsoft Office user</author>
    <author>victor</author>
  </authors>
  <commentList>
    <comment ref="Q1" authorId="0">
      <text>
        <r>
          <rPr>
            <sz val="8"/>
            <rFont val="Tahoma"/>
            <family val="0"/>
          </rPr>
          <t>JC:
Based on 2002-03 actual and growth in original plan.</t>
        </r>
      </text>
    </comment>
    <comment ref="I29" authorId="1">
      <text>
        <r>
          <rPr>
            <b/>
            <sz val="8"/>
            <rFont val="Tahoma"/>
            <family val="0"/>
          </rPr>
          <t>victor:</t>
        </r>
        <r>
          <rPr>
            <sz val="8"/>
            <rFont val="Tahoma"/>
            <family val="0"/>
          </rPr>
          <t xml:space="preserve">
159 FTE Increase over Funded with Neutral shift  causing reduction 108 FTE in Total</t>
        </r>
      </text>
    </comment>
    <comment ref="I28" authorId="1">
      <text>
        <r>
          <rPr>
            <b/>
            <sz val="8"/>
            <rFont val="Tahoma"/>
            <family val="0"/>
          </rPr>
          <t>victor:</t>
        </r>
        <r>
          <rPr>
            <sz val="8"/>
            <rFont val="Tahoma"/>
            <family val="0"/>
          </rPr>
          <t xml:space="preserve">
159 FTE Increase over Funded with Neutral shift  causing reduction 108 FTE in Total</t>
        </r>
      </text>
    </comment>
    <comment ref="L29" authorId="1">
      <text>
        <r>
          <rPr>
            <b/>
            <sz val="8"/>
            <rFont val="Tahoma"/>
            <family val="0"/>
          </rPr>
          <t>victor:</t>
        </r>
        <r>
          <rPr>
            <sz val="8"/>
            <rFont val="Tahoma"/>
            <family val="0"/>
          </rPr>
          <t xml:space="preserve">
100 Grad II FTEs shifted to Grad I for Increase of +168 Grad I FTE and 67 FTE Total Increase</t>
        </r>
      </text>
    </comment>
    <comment ref="N28" authorId="1">
      <text>
        <r>
          <rPr>
            <b/>
            <sz val="8"/>
            <rFont val="Tahoma"/>
            <family val="0"/>
          </rPr>
          <t>victor:</t>
        </r>
        <r>
          <rPr>
            <sz val="8"/>
            <rFont val="Tahoma"/>
            <family val="0"/>
          </rPr>
          <t xml:space="preserve">
Assumes PharmD in SE Florida with Class of 75 per year starting 07-08
</t>
        </r>
      </text>
    </comment>
  </commentList>
</comments>
</file>

<file path=xl/comments14.xml><?xml version="1.0" encoding="utf-8"?>
<comments xmlns="http://schemas.openxmlformats.org/spreadsheetml/2006/main">
  <authors>
    <author>A satisfied Microsoft Office user</author>
  </authors>
  <commentList>
    <comment ref="L1" authorId="0">
      <text>
        <r>
          <rPr>
            <sz val="8"/>
            <rFont val="Tahoma"/>
            <family val="0"/>
          </rPr>
          <t xml:space="preserve">JC:
Based on 2002-03 actual and growth in original plan.
</t>
        </r>
      </text>
    </comment>
    <comment ref="D30" authorId="0">
      <text>
        <r>
          <rPr>
            <sz val="8"/>
            <rFont val="Tahoma"/>
            <family val="0"/>
          </rPr>
          <t>George R. Perkins:
Per Ralph Alvarez, main campus projections include the "Off Campus FTE included in the "Other" actual enrollment.</t>
        </r>
      </text>
    </comment>
  </commentList>
</comments>
</file>

<file path=xl/comments17.xml><?xml version="1.0" encoding="utf-8"?>
<comments xmlns="http://schemas.openxmlformats.org/spreadsheetml/2006/main">
  <authors>
    <author>A satisfied Microsoft Office user</author>
  </authors>
  <commentList>
    <comment ref="M1" authorId="0">
      <text>
        <r>
          <rPr>
            <sz val="8"/>
            <rFont val="Tahoma"/>
            <family val="0"/>
          </rPr>
          <t>George R. Perkins:
Based on 2001-02 actual and growth in original plan.</t>
        </r>
      </text>
    </comment>
  </commentList>
</comments>
</file>

<file path=xl/comments18.xml><?xml version="1.0" encoding="utf-8"?>
<comments xmlns="http://schemas.openxmlformats.org/spreadsheetml/2006/main">
  <authors>
    <author>A satisfied Microsoft Office user</author>
  </authors>
  <commentList>
    <comment ref="M1" authorId="0">
      <text>
        <r>
          <rPr>
            <sz val="8"/>
            <rFont val="Tahoma"/>
            <family val="0"/>
          </rPr>
          <t>JC:
Based on 2002-03 actual and growth in original plan.</t>
        </r>
      </text>
    </comment>
  </commentList>
</comments>
</file>

<file path=xl/comments19.xml><?xml version="1.0" encoding="utf-8"?>
<comments xmlns="http://schemas.openxmlformats.org/spreadsheetml/2006/main">
  <authors>
    <author>A satisfied Microsoft Office user</author>
  </authors>
  <commentList>
    <comment ref="M1" authorId="0">
      <text>
        <r>
          <rPr>
            <sz val="8"/>
            <rFont val="Tahoma"/>
            <family val="0"/>
          </rPr>
          <t>George R. Perkins:
Based on 2001 Update with some shifts … see cell notes in columns "B" and "D".</t>
        </r>
      </text>
    </comment>
    <comment ref="B8" authorId="0">
      <text>
        <r>
          <rPr>
            <sz val="8"/>
            <rFont val="Tahoma"/>
            <family val="0"/>
          </rPr>
          <t xml:space="preserve">George R. Perkins:
Shifted 1 year (original 2003-04 planned enrollment now 2002-03)
</t>
        </r>
      </text>
    </comment>
    <comment ref="B9" authorId="0">
      <text>
        <r>
          <rPr>
            <sz val="8"/>
            <rFont val="Tahoma"/>
            <family val="0"/>
          </rPr>
          <t>George R. Perkins:
Shifted 1 year (original 2003-04 planned enrollment now 2002-03)</t>
        </r>
      </text>
    </comment>
    <comment ref="B11" authorId="0">
      <text>
        <r>
          <rPr>
            <sz val="8"/>
            <rFont val="Tahoma"/>
            <family val="0"/>
          </rPr>
          <t>George R. Perkins:
Shifted 2 years (original 2004-05 planned enrollment now 2002-03)</t>
        </r>
      </text>
    </comment>
    <comment ref="B16" authorId="0">
      <text>
        <r>
          <rPr>
            <sz val="8"/>
            <rFont val="Tahoma"/>
            <family val="0"/>
          </rPr>
          <t>George R. Perkins:
Shifted 2 years (original 2004-05 planned enrollment now 2002-03)</t>
        </r>
      </text>
    </comment>
    <comment ref="B22" authorId="0">
      <text>
        <r>
          <rPr>
            <sz val="8"/>
            <rFont val="Tahoma"/>
            <family val="0"/>
          </rPr>
          <t>George R. Perkins:
Shifted 1 year (original 2003-04 planned enrollment now 2002-03)</t>
        </r>
      </text>
    </comment>
    <comment ref="B23" authorId="0">
      <text>
        <r>
          <rPr>
            <sz val="8"/>
            <rFont val="Tahoma"/>
            <family val="0"/>
          </rPr>
          <t>George R. Perkins:
Shifted 2 years (original 2004-05 planned enrollment now 2002-03)</t>
        </r>
      </text>
    </comment>
  </commentList>
</comments>
</file>

<file path=xl/comments20.xml><?xml version="1.0" encoding="utf-8"?>
<comments xmlns="http://schemas.openxmlformats.org/spreadsheetml/2006/main">
  <authors>
    <author>A satisfied Microsoft Office user</author>
  </authors>
  <commentList>
    <comment ref="M1" authorId="0">
      <text>
        <r>
          <rPr>
            <sz val="8"/>
            <rFont val="Tahoma"/>
            <family val="0"/>
          </rPr>
          <t>George R. Perkins:
Based on average of percentage growth in old and 2001 update, except for Upper "Other" which is based on 2001 update.</t>
        </r>
      </text>
    </comment>
  </commentList>
</comments>
</file>

<file path=xl/comments21.xml><?xml version="1.0" encoding="utf-8"?>
<comments xmlns="http://schemas.openxmlformats.org/spreadsheetml/2006/main">
  <authors>
    <author>A satisfied Microsoft Office user</author>
  </authors>
  <commentList>
    <comment ref="M1" authorId="0">
      <text>
        <r>
          <rPr>
            <sz val="8"/>
            <rFont val="Tahoma"/>
            <family val="0"/>
          </rPr>
          <t>George R. Perkins:
Based on 2001 update.</t>
        </r>
      </text>
    </comment>
  </commentList>
</comments>
</file>

<file path=xl/comments24.xml><?xml version="1.0" encoding="utf-8"?>
<comments xmlns="http://schemas.openxmlformats.org/spreadsheetml/2006/main">
  <authors>
    <author>A satisfied Microsoft Office user</author>
  </authors>
  <commentList>
    <comment ref="M1" authorId="0">
      <text>
        <r>
          <rPr>
            <sz val="8"/>
            <rFont val="Tahoma"/>
            <family val="0"/>
          </rPr>
          <t>George R. Perkins:
Based on 2001 update, with Lower level shifted to two years earlier; that is, projection for 2004-05 used for 2002-03.</t>
        </r>
      </text>
    </comment>
  </commentList>
</comments>
</file>

<file path=xl/comments25.xml><?xml version="1.0" encoding="utf-8"?>
<comments xmlns="http://schemas.openxmlformats.org/spreadsheetml/2006/main">
  <authors>
    <author>A satisfied Microsoft Office user</author>
  </authors>
  <commentList>
    <comment ref="M1" authorId="0">
      <text>
        <r>
          <rPr>
            <sz val="8"/>
            <rFont val="Tahoma"/>
            <family val="0"/>
          </rPr>
          <t>George R. Perkins:
Based on 2001 update.</t>
        </r>
      </text>
    </comment>
  </commentList>
</comments>
</file>

<file path=xl/sharedStrings.xml><?xml version="1.0" encoding="utf-8"?>
<sst xmlns="http://schemas.openxmlformats.org/spreadsheetml/2006/main" count="1261" uniqueCount="171">
  <si>
    <t>Actual</t>
  </si>
  <si>
    <t>2000-01</t>
  </si>
  <si>
    <t>2001-02</t>
  </si>
  <si>
    <t>2002-03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</si>
  <si>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</si>
  <si>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</si>
  <si>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</si>
  <si>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</si>
  <si>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</si>
  <si>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</si>
  <si>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</si>
  <si>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</si>
  <si>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</si>
  <si>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Lower FTEs</t>
  </si>
  <si>
    <t>Upper FTEs</t>
  </si>
  <si>
    <t>Law FTEs</t>
  </si>
  <si>
    <t>Grad I FTEs</t>
  </si>
  <si>
    <t>Grad II FTEs</t>
  </si>
  <si>
    <t>Total</t>
  </si>
  <si>
    <t>Med Prof.</t>
  </si>
  <si>
    <t>University of Florida</t>
  </si>
  <si>
    <t>Main-Gainesville</t>
  </si>
  <si>
    <t>EGLIN</t>
  </si>
  <si>
    <t>Lower</t>
  </si>
  <si>
    <t>Upper</t>
  </si>
  <si>
    <t>Grad I</t>
  </si>
  <si>
    <t>Grad II</t>
  </si>
  <si>
    <t>OFF</t>
  </si>
  <si>
    <t>UF - Total</t>
  </si>
  <si>
    <t xml:space="preserve"> Total</t>
  </si>
  <si>
    <t>Tallahassee - Main</t>
  </si>
  <si>
    <t xml:space="preserve">Panama City </t>
  </si>
  <si>
    <t>Off</t>
  </si>
  <si>
    <t>FSU - Total</t>
  </si>
  <si>
    <t>Med Students</t>
  </si>
  <si>
    <t>University of South Florida - Total</t>
  </si>
  <si>
    <t>University of South Florida - E&amp;G</t>
  </si>
  <si>
    <t>Tampa-Main</t>
  </si>
  <si>
    <t>Sarasota</t>
  </si>
  <si>
    <t>Lakeland</t>
  </si>
  <si>
    <t>Med</t>
  </si>
  <si>
    <t>Ctr</t>
  </si>
  <si>
    <t>Main</t>
  </si>
  <si>
    <t>E&amp;G</t>
  </si>
  <si>
    <t>St. Petersburg</t>
  </si>
  <si>
    <t>USF -E&amp;G Total</t>
  </si>
  <si>
    <t>University of South Florida - Health Sciences Center</t>
  </si>
  <si>
    <t>*</t>
  </si>
  <si>
    <t>Sarasota Campus</t>
  </si>
  <si>
    <t>St. Petersburg Campus</t>
  </si>
  <si>
    <t xml:space="preserve">Other </t>
  </si>
  <si>
    <t>**</t>
  </si>
  <si>
    <t>***</t>
  </si>
  <si>
    <t>USF-HSC Total</t>
  </si>
  <si>
    <t>Medical Sciences PhD Program FTE's</t>
  </si>
  <si>
    <t>Nursing Pasco/Hernando enrollment</t>
  </si>
  <si>
    <t>School of Physical Therapy - FTE's</t>
  </si>
  <si>
    <t>Florida Atlantic University</t>
  </si>
  <si>
    <t>Broward (Davie, Downtown)</t>
  </si>
  <si>
    <t xml:space="preserve">Northern Campuses </t>
  </si>
  <si>
    <t xml:space="preserve">  (NPB, Treasure Coast)</t>
  </si>
  <si>
    <t>FAU - E&amp;G Total</t>
  </si>
  <si>
    <t>University of West Florida</t>
  </si>
  <si>
    <t>Pensacola - Main</t>
  </si>
  <si>
    <t>Ft. Walton Beach</t>
  </si>
  <si>
    <t>UWF - Total</t>
  </si>
  <si>
    <t>University of Central Florida</t>
  </si>
  <si>
    <t>Orlando</t>
  </si>
  <si>
    <t>Daytona</t>
  </si>
  <si>
    <t>Brevard</t>
  </si>
  <si>
    <t>S. Orlando</t>
  </si>
  <si>
    <t>UCF Downtown</t>
  </si>
  <si>
    <t>UCF E&amp;G Total</t>
  </si>
  <si>
    <t>Florida International University</t>
  </si>
  <si>
    <t>University Park - Main</t>
  </si>
  <si>
    <t xml:space="preserve">Off </t>
  </si>
  <si>
    <t>FIU - E&amp;G Total</t>
  </si>
  <si>
    <t>Law FTEs1</t>
  </si>
  <si>
    <t>University of North Florida</t>
  </si>
  <si>
    <t>Jacksonville - Main</t>
  </si>
  <si>
    <t>UNF - Total</t>
  </si>
  <si>
    <t>Florida Gulf Coast University</t>
  </si>
  <si>
    <t>Ft. Myers - Main</t>
  </si>
  <si>
    <t>FGCU - Total</t>
  </si>
  <si>
    <t>New College of Florida</t>
  </si>
  <si>
    <t>Port Authority</t>
  </si>
  <si>
    <t>(Tower,</t>
  </si>
  <si>
    <t>Comm Blvd.,</t>
  </si>
  <si>
    <t>Off)</t>
  </si>
  <si>
    <t>(Davie</t>
  </si>
  <si>
    <t>Only)</t>
  </si>
  <si>
    <t>Actual Sum Fall Prel Spr</t>
  </si>
  <si>
    <t>Planned</t>
  </si>
  <si>
    <t>Planned Enrollment Growth</t>
  </si>
  <si>
    <t>2003-04</t>
  </si>
  <si>
    <t>MD</t>
  </si>
  <si>
    <t>DVM</t>
  </si>
  <si>
    <t>DDS</t>
  </si>
  <si>
    <t>Main Campus</t>
  </si>
  <si>
    <t>Medical Center</t>
  </si>
  <si>
    <t>Off Campus</t>
  </si>
  <si>
    <t>Boca Raton-Main</t>
  </si>
  <si>
    <t>Florida A&amp;M University</t>
  </si>
  <si>
    <t xml:space="preserve">Actual </t>
  </si>
  <si>
    <t xml:space="preserve">                                                                         Planned Enrollment</t>
  </si>
  <si>
    <t>Tallahassee – Main</t>
  </si>
  <si>
    <t xml:space="preserve">Grad II </t>
  </si>
  <si>
    <t>Innov.</t>
  </si>
  <si>
    <t xml:space="preserve">  </t>
  </si>
  <si>
    <t>Park</t>
  </si>
  <si>
    <t>Campus</t>
  </si>
  <si>
    <t xml:space="preserve">Lower </t>
  </si>
  <si>
    <t xml:space="preserve">Upper </t>
  </si>
  <si>
    <t xml:space="preserve">Law </t>
  </si>
  <si>
    <t>FAMU – Total</t>
  </si>
  <si>
    <t>Law</t>
  </si>
  <si>
    <t>Source:  Historical data prepared by the Office of Planning and Policy Analysis, DCU, FTE Plans (May 2004)  5/6/2004</t>
  </si>
  <si>
    <t xml:space="preserve">              Projections prepared by Florida A&amp;M University</t>
  </si>
  <si>
    <t>Planned Enrollment Growth  - Florida International University 2005-06 through 2012-13</t>
  </si>
  <si>
    <t xml:space="preserve"> </t>
  </si>
  <si>
    <t>Biscayne Bay</t>
  </si>
  <si>
    <t xml:space="preserve">Broward </t>
  </si>
  <si>
    <t>Florida State University - Submitted to DCU June 14, 2005</t>
  </si>
  <si>
    <t>Estimated</t>
  </si>
  <si>
    <t>2013-14</t>
  </si>
  <si>
    <t>2014-15</t>
  </si>
  <si>
    <t>2015-16</t>
  </si>
  <si>
    <t>2016-17</t>
  </si>
  <si>
    <t>FSU International</t>
  </si>
  <si>
    <t xml:space="preserve">      Undergrad</t>
  </si>
  <si>
    <t xml:space="preserve">      Graduate</t>
  </si>
  <si>
    <t xml:space="preserve"> Total FTE</t>
  </si>
  <si>
    <t xml:space="preserve"> -</t>
  </si>
  <si>
    <t>2009-10*</t>
  </si>
  <si>
    <t>2010-11*</t>
  </si>
  <si>
    <t>2011-12*</t>
  </si>
  <si>
    <t>2012-13*</t>
  </si>
  <si>
    <t>Lake Mary (2008-09)</t>
  </si>
  <si>
    <t>Palm Bay (2008-09)</t>
  </si>
  <si>
    <t xml:space="preserve">South Lake (Clermont) </t>
  </si>
  <si>
    <t>MetroWest (2009-10)</t>
  </si>
  <si>
    <t>Rosen College</t>
  </si>
  <si>
    <t>Budgeted</t>
  </si>
  <si>
    <t>Budgeted v. Actual</t>
  </si>
  <si>
    <t xml:space="preserve">Budgeted </t>
  </si>
  <si>
    <t xml:space="preserve">Note:  Eglin FTE's are combined with Fort Walton Beach FTE's for summary purposes. </t>
  </si>
  <si>
    <t>Medical Professional</t>
  </si>
  <si>
    <t>State University System</t>
  </si>
  <si>
    <t>Baccalaureate</t>
  </si>
  <si>
    <t>Doctorate</t>
  </si>
  <si>
    <t>First Professional</t>
  </si>
  <si>
    <t>Masters</t>
  </si>
  <si>
    <t>Grand Total</t>
  </si>
  <si>
    <t>Bacc. Per Undergrad FTE</t>
  </si>
  <si>
    <t>Florida State University</t>
  </si>
  <si>
    <t>University of South Florida</t>
  </si>
  <si>
    <t>New College</t>
  </si>
  <si>
    <t>Full-Time Equivalent Ennrollment</t>
  </si>
  <si>
    <t>Degrees Granted By Level</t>
  </si>
  <si>
    <t>Degrees Per Full-Time Equivalent</t>
  </si>
  <si>
    <t>Masters, Law and PharmD.</t>
  </si>
  <si>
    <t>Medical</t>
  </si>
  <si>
    <t>Masters and Law</t>
  </si>
  <si>
    <t>Degrees Per Full-Time Equivalent Lagged Four Years</t>
  </si>
  <si>
    <t>of 2012-13</t>
  </si>
  <si>
    <t>Ratio</t>
  </si>
  <si>
    <t>to 2001-02</t>
  </si>
  <si>
    <t>Percent</t>
  </si>
  <si>
    <t>Change</t>
  </si>
  <si>
    <t>1st Prof.</t>
  </si>
  <si>
    <t>Full-Time Equivalent Enrollment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</si>
</sst>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%"/>
    <numFmt numFmtId="165" formatCode="0.000000000000000%"/>
    <numFmt numFmtId="166" formatCode="#,##0.000000_);[Red]\(#,##0.000000\)"/>
    <numFmt numFmtId="167" formatCode="#,##0.0_);[Red]\(#,##0.0\)"/>
    <numFmt numFmtId="168" formatCode="#,##0.000_);[Red]\(#,##0.000\)"/>
    <numFmt numFmtId="169" formatCode="#,##0.0000_);[Red]\(#,##0.0000\)"/>
    <numFmt numFmtId="170" formatCode="#,##0.00000_);[Red]\(#,##0.00000\)"/>
    <numFmt numFmtId="171" formatCode="&quot;$&quot;#,##0.00;\(&quot;$&quot;#,##0.00\)"/>
    <numFmt numFmtId="172" formatCode="_(* #,##0.0_);_(* \(#,##0.0\);_(* &quot;-&quot;??_);_(@_)"/>
    <numFmt numFmtId="173" formatCode="&quot;$&quot;#,##0"/>
    <numFmt numFmtId="174" formatCode="&quot;$&quot;#,##0.00"/>
    <numFmt numFmtId="175" formatCode="_(* #,##0.0_);_(* \(#,##0.0\);_(* &quot;-&quot;?_);_(@_)"/>
    <numFmt numFmtId="176" formatCode="0.000%"/>
    <numFmt numFmtId="177" formatCode="0.0%"/>
    <numFmt numFmtId="178" formatCode="&quot;$&quot;#,##0.0_);[Red]\(&quot;$&quot;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%"/>
    <numFmt numFmtId="183" formatCode="0_);[Red]\(0\)"/>
    <numFmt numFmtId="184" formatCode="0.0"/>
    <numFmt numFmtId="185" formatCode="#,##0.0"/>
    <numFmt numFmtId="186" formatCode="0.0000"/>
    <numFmt numFmtId="187" formatCode="0.000"/>
    <numFmt numFmtId="188" formatCode="_(* #,##0_);_(* \(#,##0\);_(* &quot;-&quot;??_);_(@_)"/>
    <numFmt numFmtId="189" formatCode="_(* #,##0.000_);_(* \(#,##0.000\);_(* &quot;-&quot;??_);_(@_)"/>
    <numFmt numFmtId="190" formatCode="#,##0.0000000_);[Red]\(#,##0.0000000\)"/>
    <numFmt numFmtId="191" formatCode="_(&quot;$&quot;* #,##0.000_);_(&quot;$&quot;* \(#,##0.000\);_(&quot;$&quot;* &quot;-&quot;??_);_(@_)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0_);\(0\)"/>
    <numFmt numFmtId="195" formatCode="0.00000000000000000%"/>
    <numFmt numFmtId="196" formatCode="0.0000000000000000%"/>
    <numFmt numFmtId="197" formatCode="General_)"/>
    <numFmt numFmtId="198" formatCode="mmm\-yyyy"/>
    <numFmt numFmtId="199" formatCode="0.00000"/>
    <numFmt numFmtId="200" formatCode="_(* #,##0.000_);_(* \(#,##0.000\);_(* &quot;-&quot;???_);_(@_)"/>
    <numFmt numFmtId="201" formatCode="_(* #,##0.0000_);_(* \(#,##0.0000\);_(* &quot;-&quot;??_);_(@_)"/>
    <numFmt numFmtId="202" formatCode="_(* #,##0.00000_);_(* \(#,##0.00000\);_(* &quot;-&quot;??_);_(@_)"/>
    <numFmt numFmtId="203" formatCode="[$€-2]\ #,##0.00_);[Red]\([$€-2]\ #,##0.00\)"/>
    <numFmt numFmtId="204" formatCode="_([$€-2]* #,##0.00_);_([$€-2]* \(#,##0.00\);_([$€-2]* &quot;-&quot;??_)"/>
    <numFmt numFmtId="205" formatCode="00.0000"/>
    <numFmt numFmtId="206" formatCode="0.0000000"/>
    <numFmt numFmtId="207" formatCode="0.000000"/>
  </numFmts>
  <fonts count="1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MS Sans Serif"/>
      <family val="0"/>
    </font>
    <font>
      <b/>
      <sz val="12"/>
      <name val="Book Antiqua"/>
      <family val="1"/>
    </font>
    <font>
      <sz val="12"/>
      <name val="Book Antiqua"/>
      <family val="1"/>
    </font>
    <font>
      <b/>
      <sz val="8"/>
      <name val="Tahoma"/>
      <family val="0"/>
    </font>
    <font>
      <b/>
      <sz val="14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1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4" fontId="4" fillId="0" borderId="1" xfId="17" applyFont="1" applyBorder="1" applyAlignment="1" applyProtection="1">
      <alignment horizontal="center"/>
      <protection/>
    </xf>
    <xf numFmtId="44" fontId="4" fillId="0" borderId="2" xfId="17" applyFont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3" fontId="4" fillId="0" borderId="4" xfId="0" applyNumberFormat="1" applyFont="1" applyBorder="1" applyAlignment="1" applyProtection="1">
      <alignment horizontal="center"/>
      <protection/>
    </xf>
    <xf numFmtId="3" fontId="4" fillId="0" borderId="5" xfId="0" applyNumberFormat="1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38" fontId="0" fillId="0" borderId="0" xfId="0" applyNumberFormat="1" applyAlignment="1">
      <alignment/>
    </xf>
    <xf numFmtId="167" fontId="4" fillId="0" borderId="0" xfId="0" applyNumberFormat="1" applyFont="1" applyAlignment="1" applyProtection="1">
      <alignment/>
      <protection locked="0"/>
    </xf>
    <xf numFmtId="38" fontId="0" fillId="0" borderId="8" xfId="0" applyNumberFormat="1" applyBorder="1" applyAlignment="1" applyProtection="1">
      <alignment/>
      <protection/>
    </xf>
    <xf numFmtId="38" fontId="0" fillId="0" borderId="8" xfId="0" applyNumberForma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38" fontId="4" fillId="0" borderId="0" xfId="0" applyNumberFormat="1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 applyProtection="1">
      <alignment horizontal="right"/>
      <protection/>
    </xf>
    <xf numFmtId="38" fontId="4" fillId="0" borderId="0" xfId="0" applyNumberFormat="1" applyFont="1" applyBorder="1" applyAlignment="1" applyProtection="1">
      <alignment/>
      <protection/>
    </xf>
    <xf numFmtId="38" fontId="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38" fontId="0" fillId="0" borderId="0" xfId="0" applyNumberFormat="1" applyAlignment="1" applyProtection="1" quotePrefix="1">
      <alignment/>
      <protection/>
    </xf>
    <xf numFmtId="38" fontId="0" fillId="0" borderId="0" xfId="0" applyNumberFormat="1" applyAlignment="1" quotePrefix="1">
      <alignment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Fill="1" applyAlignment="1" applyProtection="1">
      <alignment/>
      <protection/>
    </xf>
    <xf numFmtId="10" fontId="0" fillId="0" borderId="0" xfId="0" applyNumberForma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Border="1" applyAlignment="1">
      <alignment/>
    </xf>
    <xf numFmtId="38" fontId="0" fillId="0" borderId="0" xfId="0" applyNumberFormat="1" applyFont="1" applyBorder="1" applyAlignment="1" applyProtection="1">
      <alignment/>
      <protection/>
    </xf>
    <xf numFmtId="38" fontId="0" fillId="0" borderId="0" xfId="0" applyNumberFormat="1" applyFont="1" applyAlignment="1" applyProtection="1">
      <alignment/>
      <protection locked="0"/>
    </xf>
    <xf numFmtId="38" fontId="0" fillId="0" borderId="0" xfId="0" applyNumberFormat="1" applyFont="1" applyAlignment="1" applyProtection="1">
      <alignment/>
      <protection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 wrapText="1"/>
      <protection/>
    </xf>
    <xf numFmtId="38" fontId="0" fillId="0" borderId="0" xfId="15" applyNumberFormat="1" applyFont="1" applyBorder="1" applyAlignment="1" applyProtection="1">
      <alignment/>
      <protection/>
    </xf>
    <xf numFmtId="38" fontId="0" fillId="0" borderId="0" xfId="15" applyNumberFormat="1" applyFont="1" applyAlignment="1" applyProtection="1">
      <alignment/>
      <protection locked="0"/>
    </xf>
    <xf numFmtId="38" fontId="0" fillId="0" borderId="0" xfId="15" applyNumberFormat="1" applyFont="1" applyAlignment="1" applyProtection="1">
      <alignment/>
      <protection/>
    </xf>
    <xf numFmtId="38" fontId="0" fillId="0" borderId="8" xfId="15" applyNumberFormat="1" applyFont="1" applyBorder="1" applyAlignment="1" applyProtection="1">
      <alignment/>
      <protection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right" vertical="top" wrapText="1"/>
    </xf>
    <xf numFmtId="3" fontId="8" fillId="0" borderId="14" xfId="0" applyNumberFormat="1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vertical="top" wrapText="1"/>
    </xf>
    <xf numFmtId="0" fontId="8" fillId="0" borderId="14" xfId="0" applyFont="1" applyBorder="1" applyAlignment="1">
      <alignment horizontal="right" vertical="top" wrapText="1"/>
    </xf>
    <xf numFmtId="0" fontId="0" fillId="0" borderId="4" xfId="0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3" fontId="8" fillId="0" borderId="5" xfId="0" applyNumberFormat="1" applyFont="1" applyBorder="1" applyAlignment="1">
      <alignment horizontal="right" vertical="top" wrapText="1"/>
    </xf>
    <xf numFmtId="3" fontId="8" fillId="0" borderId="5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38" fontId="0" fillId="0" borderId="0" xfId="15" applyNumberFormat="1" applyFont="1" applyAlignment="1" applyProtection="1">
      <alignment horizontal="right"/>
      <protection/>
    </xf>
    <xf numFmtId="38" fontId="0" fillId="0" borderId="0" xfId="0" applyNumberFormat="1" applyFill="1" applyAlignment="1" applyProtection="1">
      <alignment/>
      <protection/>
    </xf>
    <xf numFmtId="38" fontId="0" fillId="0" borderId="8" xfId="0" applyNumberFormat="1" applyFill="1" applyBorder="1" applyAlignment="1" applyProtection="1">
      <alignment/>
      <protection/>
    </xf>
    <xf numFmtId="38" fontId="0" fillId="0" borderId="0" xfId="0" applyNumberFormat="1" applyFont="1" applyFill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7" fontId="0" fillId="0" borderId="0" xfId="0" applyNumberFormat="1" applyFill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49" fontId="9" fillId="0" borderId="0" xfId="0" applyNumberFormat="1" applyFont="1" applyAlignment="1">
      <alignment wrapText="1"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4" fontId="12" fillId="0" borderId="1" xfId="17" applyFont="1" applyBorder="1" applyAlignment="1" applyProtection="1">
      <alignment horizontal="center"/>
      <protection/>
    </xf>
    <xf numFmtId="44" fontId="12" fillId="0" borderId="2" xfId="17" applyFont="1" applyBorder="1" applyAlignment="1" applyProtection="1">
      <alignment horizontal="center"/>
      <protection/>
    </xf>
    <xf numFmtId="0" fontId="9" fillId="0" borderId="3" xfId="0" applyFont="1" applyBorder="1" applyAlignment="1">
      <alignment horizontal="centerContinuous"/>
    </xf>
    <xf numFmtId="0" fontId="12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3" fontId="12" fillId="0" borderId="4" xfId="0" applyNumberFormat="1" applyFont="1" applyBorder="1" applyAlignment="1" applyProtection="1">
      <alignment horizontal="center"/>
      <protection/>
    </xf>
    <xf numFmtId="3" fontId="12" fillId="0" borderId="5" xfId="0" applyNumberFormat="1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38" fontId="9" fillId="0" borderId="0" xfId="0" applyNumberFormat="1" applyFont="1" applyBorder="1" applyAlignment="1" applyProtection="1">
      <alignment/>
      <protection/>
    </xf>
    <xf numFmtId="38" fontId="9" fillId="0" borderId="0" xfId="0" applyNumberFormat="1" applyFont="1" applyAlignment="1" applyProtection="1">
      <alignment/>
      <protection/>
    </xf>
    <xf numFmtId="38" fontId="9" fillId="0" borderId="0" xfId="0" applyNumberFormat="1" applyFont="1" applyAlignment="1">
      <alignment/>
    </xf>
    <xf numFmtId="0" fontId="0" fillId="0" borderId="0" xfId="0" applyFont="1" applyAlignment="1">
      <alignment/>
    </xf>
    <xf numFmtId="167" fontId="12" fillId="0" borderId="0" xfId="0" applyNumberFormat="1" applyFont="1" applyAlignment="1" applyProtection="1">
      <alignment/>
      <protection locked="0"/>
    </xf>
    <xf numFmtId="38" fontId="9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 horizontal="left"/>
      <protection/>
    </xf>
    <xf numFmtId="38" fontId="12" fillId="0" borderId="0" xfId="0" applyNumberFormat="1" applyFont="1" applyAlignment="1" applyProtection="1">
      <alignment horizontal="left"/>
      <protection/>
    </xf>
    <xf numFmtId="10" fontId="9" fillId="0" borderId="0" xfId="23" applyNumberFormat="1" applyFont="1" applyAlignment="1">
      <alignment/>
    </xf>
    <xf numFmtId="38" fontId="9" fillId="0" borderId="8" xfId="0" applyNumberFormat="1" applyFont="1" applyBorder="1" applyAlignment="1" applyProtection="1">
      <alignment/>
      <protection/>
    </xf>
    <xf numFmtId="38" fontId="9" fillId="0" borderId="8" xfId="0" applyNumberFormat="1" applyFont="1" applyBorder="1" applyAlignment="1">
      <alignment/>
    </xf>
    <xf numFmtId="0" fontId="12" fillId="0" borderId="0" xfId="0" applyFont="1" applyBorder="1" applyAlignment="1" applyProtection="1" quotePrefix="1">
      <alignment/>
      <protection/>
    </xf>
    <xf numFmtId="38" fontId="9" fillId="0" borderId="0" xfId="0" applyNumberFormat="1" applyFont="1" applyBorder="1" applyAlignment="1">
      <alignment/>
    </xf>
    <xf numFmtId="167" fontId="12" fillId="0" borderId="0" xfId="0" applyNumberFormat="1" applyFont="1" applyAlignment="1" applyProtection="1" quotePrefix="1">
      <alignment/>
      <protection locked="0"/>
    </xf>
    <xf numFmtId="188" fontId="9" fillId="0" borderId="0" xfId="15" applyNumberFormat="1" applyFont="1" applyAlignment="1">
      <alignment/>
    </xf>
    <xf numFmtId="177" fontId="9" fillId="0" borderId="0" xfId="23" applyNumberFormat="1" applyFont="1" applyAlignment="1">
      <alignment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188" fontId="0" fillId="0" borderId="0" xfId="15" applyNumberFormat="1" applyAlignment="1">
      <alignment/>
    </xf>
    <xf numFmtId="188" fontId="0" fillId="0" borderId="0" xfId="15" applyNumberFormat="1" applyFont="1" applyAlignment="1">
      <alignment/>
    </xf>
    <xf numFmtId="40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77" fontId="0" fillId="0" borderId="0" xfId="23" applyNumberFormat="1" applyAlignment="1">
      <alignment/>
    </xf>
    <xf numFmtId="177" fontId="0" fillId="0" borderId="0" xfId="23" applyNumberFormat="1" applyFont="1" applyAlignment="1">
      <alignment/>
    </xf>
    <xf numFmtId="0" fontId="4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15" xfId="0" applyBorder="1" applyAlignment="1" applyProtection="1">
      <alignment/>
      <protection/>
    </xf>
    <xf numFmtId="38" fontId="0" fillId="0" borderId="16" xfId="0" applyNumberFormat="1" applyBorder="1" applyAlignment="1" applyProtection="1">
      <alignment/>
      <protection/>
    </xf>
    <xf numFmtId="38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>
      <alignment/>
    </xf>
    <xf numFmtId="38" fontId="0" fillId="0" borderId="8" xfId="0" applyNumberFormat="1" applyFont="1" applyBorder="1" applyAlignment="1" applyProtection="1">
      <alignment/>
      <protection/>
    </xf>
    <xf numFmtId="38" fontId="0" fillId="0" borderId="7" xfId="0" applyNumberFormat="1" applyBorder="1" applyAlignment="1" applyProtection="1">
      <alignment/>
      <protection/>
    </xf>
    <xf numFmtId="0" fontId="14" fillId="0" borderId="0" xfId="0" applyFont="1" applyFill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4" fillId="0" borderId="1" xfId="17" applyFont="1" applyBorder="1" applyAlignment="1" applyProtection="1">
      <alignment horizontal="center"/>
      <protection/>
    </xf>
    <xf numFmtId="44" fontId="14" fillId="0" borderId="2" xfId="17" applyFont="1" applyBorder="1" applyAlignment="1" applyProtection="1">
      <alignment horizontal="center"/>
      <protection/>
    </xf>
    <xf numFmtId="0" fontId="14" fillId="0" borderId="9" xfId="0" applyFont="1" applyBorder="1" applyAlignment="1" applyProtection="1">
      <alignment horizontal="center" wrapText="1"/>
      <protection/>
    </xf>
    <xf numFmtId="44" fontId="14" fillId="0" borderId="17" xfId="17" applyFont="1" applyBorder="1" applyAlignment="1" applyProtection="1">
      <alignment horizontal="center"/>
      <protection/>
    </xf>
    <xf numFmtId="44" fontId="14" fillId="0" borderId="3" xfId="17" applyFont="1" applyBorder="1" applyAlignment="1" applyProtection="1">
      <alignment horizontal="center"/>
      <protection/>
    </xf>
    <xf numFmtId="44" fontId="14" fillId="0" borderId="3" xfId="17" applyFont="1" applyBorder="1" applyAlignment="1" applyProtection="1">
      <alignment horizontal="center" wrapText="1"/>
      <protection/>
    </xf>
    <xf numFmtId="0" fontId="14" fillId="0" borderId="9" xfId="0" applyFont="1" applyBorder="1" applyAlignment="1">
      <alignment horizontal="center"/>
    </xf>
    <xf numFmtId="0" fontId="14" fillId="0" borderId="3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3" fontId="14" fillId="0" borderId="4" xfId="0" applyNumberFormat="1" applyFont="1" applyBorder="1" applyAlignment="1" applyProtection="1">
      <alignment horizontal="center"/>
      <protection/>
    </xf>
    <xf numFmtId="3" fontId="14" fillId="0" borderId="5" xfId="0" applyNumberFormat="1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6" xfId="0" applyFont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0" xfId="0" applyFont="1" applyAlignment="1" applyProtection="1">
      <alignment horizontal="center"/>
      <protection/>
    </xf>
    <xf numFmtId="3" fontId="14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38" fontId="15" fillId="0" borderId="0" xfId="0" applyNumberFormat="1" applyFont="1" applyBorder="1" applyAlignment="1" applyProtection="1">
      <alignment/>
      <protection/>
    </xf>
    <xf numFmtId="38" fontId="15" fillId="0" borderId="0" xfId="0" applyNumberFormat="1" applyFont="1" applyAlignment="1" applyProtection="1">
      <alignment/>
      <protection/>
    </xf>
    <xf numFmtId="38" fontId="15" fillId="0" borderId="0" xfId="0" applyNumberFormat="1" applyFont="1" applyAlignment="1">
      <alignment/>
    </xf>
    <xf numFmtId="167" fontId="14" fillId="0" borderId="0" xfId="0" applyNumberFormat="1" applyFont="1" applyAlignment="1" applyProtection="1">
      <alignment/>
      <protection locked="0"/>
    </xf>
    <xf numFmtId="38" fontId="15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 horizontal="center" wrapText="1"/>
    </xf>
    <xf numFmtId="38" fontId="15" fillId="0" borderId="8" xfId="0" applyNumberFormat="1" applyFont="1" applyBorder="1" applyAlignment="1" applyProtection="1">
      <alignment/>
      <protection/>
    </xf>
    <xf numFmtId="193" fontId="14" fillId="2" borderId="18" xfId="17" applyNumberFormat="1" applyFont="1" applyFill="1" applyBorder="1" applyAlignment="1">
      <alignment/>
    </xf>
    <xf numFmtId="38" fontId="0" fillId="0" borderId="8" xfId="15" applyNumberFormat="1" applyFont="1" applyBorder="1" applyAlignment="1" applyProtection="1">
      <alignment/>
      <protection locked="0"/>
    </xf>
    <xf numFmtId="38" fontId="0" fillId="0" borderId="0" xfId="15" applyNumberFormat="1" applyFont="1" applyAlignment="1" applyProtection="1">
      <alignment horizontal="center"/>
      <protection/>
    </xf>
    <xf numFmtId="0" fontId="0" fillId="0" borderId="0" xfId="0" applyFill="1" applyBorder="1" applyAlignment="1">
      <alignment/>
    </xf>
    <xf numFmtId="3" fontId="0" fillId="0" borderId="0" xfId="15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8" fontId="0" fillId="0" borderId="0" xfId="0" applyNumberFormat="1" applyFill="1" applyBorder="1" applyAlignment="1">
      <alignment/>
    </xf>
    <xf numFmtId="3" fontId="4" fillId="0" borderId="19" xfId="0" applyNumberFormat="1" applyFont="1" applyBorder="1" applyAlignment="1" applyProtection="1">
      <alignment horizontal="center"/>
      <protection/>
    </xf>
    <xf numFmtId="0" fontId="4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8" fontId="0" fillId="0" borderId="21" xfId="0" applyNumberFormat="1" applyBorder="1" applyAlignment="1" applyProtection="1">
      <alignment/>
      <protection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7" fontId="4" fillId="0" borderId="24" xfId="0" applyNumberFormat="1" applyFont="1" applyFill="1" applyBorder="1" applyAlignment="1">
      <alignment wrapText="1"/>
    </xf>
    <xf numFmtId="38" fontId="0" fillId="0" borderId="18" xfId="0" applyNumberFormat="1" applyFill="1" applyBorder="1" applyAlignment="1">
      <alignment/>
    </xf>
    <xf numFmtId="38" fontId="0" fillId="0" borderId="25" xfId="0" applyNumberFormat="1" applyFill="1" applyBorder="1" applyAlignment="1">
      <alignment/>
    </xf>
    <xf numFmtId="184" fontId="0" fillId="0" borderId="24" xfId="0" applyNumberFormat="1" applyFill="1" applyBorder="1" applyAlignment="1">
      <alignment/>
    </xf>
    <xf numFmtId="0" fontId="4" fillId="0" borderId="24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0" fontId="4" fillId="0" borderId="24" xfId="0" applyFont="1" applyFill="1" applyBorder="1" applyAlignment="1">
      <alignment wrapText="1"/>
    </xf>
    <xf numFmtId="177" fontId="0" fillId="0" borderId="24" xfId="23" applyNumberFormat="1" applyFill="1" applyBorder="1" applyAlignment="1">
      <alignment/>
    </xf>
    <xf numFmtId="0" fontId="3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 applyProtection="1">
      <alignment wrapText="1"/>
      <protection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>
      <alignment wrapText="1"/>
    </xf>
    <xf numFmtId="38" fontId="0" fillId="0" borderId="26" xfId="0" applyNumberFormat="1" applyFill="1" applyBorder="1" applyAlignment="1">
      <alignment/>
    </xf>
    <xf numFmtId="38" fontId="0" fillId="0" borderId="30" xfId="0" applyNumberFormat="1" applyFill="1" applyBorder="1" applyAlignment="1">
      <alignment/>
    </xf>
    <xf numFmtId="0" fontId="4" fillId="0" borderId="31" xfId="0" applyFont="1" applyFill="1" applyBorder="1" applyAlignment="1">
      <alignment wrapText="1"/>
    </xf>
    <xf numFmtId="38" fontId="0" fillId="0" borderId="28" xfId="0" applyNumberFormat="1" applyFill="1" applyBorder="1" applyAlignment="1">
      <alignment/>
    </xf>
    <xf numFmtId="38" fontId="0" fillId="0" borderId="22" xfId="0" applyNumberFormat="1" applyFill="1" applyBorder="1" applyAlignment="1">
      <alignment/>
    </xf>
    <xf numFmtId="177" fontId="0" fillId="0" borderId="31" xfId="23" applyNumberFormat="1" applyFill="1" applyBorder="1" applyAlignment="1">
      <alignment/>
    </xf>
    <xf numFmtId="0" fontId="4" fillId="0" borderId="0" xfId="0" applyFont="1" applyFill="1" applyAlignment="1">
      <alignment wrapText="1"/>
    </xf>
    <xf numFmtId="184" fontId="0" fillId="0" borderId="0" xfId="0" applyNumberFormat="1" applyFill="1" applyAlignment="1">
      <alignment/>
    </xf>
    <xf numFmtId="0" fontId="4" fillId="0" borderId="1" xfId="0" applyFont="1" applyFill="1" applyBorder="1" applyAlignment="1">
      <alignment wrapText="1"/>
    </xf>
    <xf numFmtId="38" fontId="0" fillId="0" borderId="20" xfId="0" applyNumberFormat="1" applyFill="1" applyBorder="1" applyAlignment="1">
      <alignment/>
    </xf>
    <xf numFmtId="38" fontId="0" fillId="0" borderId="17" xfId="0" applyNumberFormat="1" applyFill="1" applyBorder="1" applyAlignment="1">
      <alignment/>
    </xf>
    <xf numFmtId="184" fontId="0" fillId="0" borderId="1" xfId="0" applyNumberFormat="1" applyFill="1" applyBorder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/>
    </xf>
    <xf numFmtId="0" fontId="4" fillId="0" borderId="30" xfId="0" applyFont="1" applyFill="1" applyBorder="1" applyAlignment="1">
      <alignment horizontal="center"/>
    </xf>
    <xf numFmtId="3" fontId="0" fillId="0" borderId="26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184" fontId="0" fillId="0" borderId="29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184" fontId="0" fillId="0" borderId="31" xfId="0" applyNumberForma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0" xfId="0" applyFont="1" applyFill="1" applyAlignment="1">
      <alignment/>
    </xf>
    <xf numFmtId="177" fontId="0" fillId="0" borderId="0" xfId="23" applyNumberFormat="1" applyFill="1" applyAlignment="1">
      <alignment/>
    </xf>
    <xf numFmtId="40" fontId="0" fillId="0" borderId="20" xfId="22" applyNumberFormat="1" applyFill="1" applyBorder="1" applyProtection="1">
      <alignment/>
      <protection/>
    </xf>
    <xf numFmtId="40" fontId="0" fillId="0" borderId="17" xfId="22" applyNumberFormat="1" applyFill="1" applyBorder="1" applyProtection="1">
      <alignment/>
      <protection/>
    </xf>
    <xf numFmtId="40" fontId="0" fillId="0" borderId="0" xfId="22" applyNumberFormat="1" applyFill="1" applyProtection="1">
      <alignment/>
      <protection/>
    </xf>
    <xf numFmtId="0" fontId="4" fillId="0" borderId="3" xfId="0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/>
    </xf>
    <xf numFmtId="3" fontId="0" fillId="0" borderId="0" xfId="0" applyNumberFormat="1" applyFill="1" applyAlignment="1">
      <alignment/>
    </xf>
    <xf numFmtId="167" fontId="4" fillId="0" borderId="0" xfId="0" applyNumberFormat="1" applyFont="1" applyFill="1" applyAlignment="1">
      <alignment/>
    </xf>
    <xf numFmtId="3" fontId="0" fillId="0" borderId="33" xfId="0" applyNumberFormat="1" applyFill="1" applyBorder="1" applyAlignment="1">
      <alignment/>
    </xf>
    <xf numFmtId="177" fontId="0" fillId="0" borderId="34" xfId="23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177" fontId="0" fillId="0" borderId="1" xfId="0" applyNumberFormat="1" applyFill="1" applyBorder="1" applyAlignment="1">
      <alignment/>
    </xf>
    <xf numFmtId="177" fontId="0" fillId="0" borderId="29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177" fontId="0" fillId="0" borderId="31" xfId="0" applyNumberForma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>
      <alignment horizontal="center"/>
    </xf>
    <xf numFmtId="177" fontId="0" fillId="0" borderId="40" xfId="0" applyNumberFormat="1" applyFill="1" applyBorder="1" applyAlignment="1">
      <alignment/>
    </xf>
    <xf numFmtId="177" fontId="0" fillId="0" borderId="41" xfId="0" applyNumberFormat="1" applyFill="1" applyBorder="1" applyAlignment="1">
      <alignment/>
    </xf>
    <xf numFmtId="177" fontId="0" fillId="0" borderId="42" xfId="0" applyNumberFormat="1" applyFill="1" applyBorder="1" applyAlignment="1">
      <alignment/>
    </xf>
    <xf numFmtId="177" fontId="0" fillId="0" borderId="0" xfId="23" applyNumberFormat="1" applyFill="1" applyBorder="1" applyAlignment="1">
      <alignment/>
    </xf>
    <xf numFmtId="0" fontId="0" fillId="0" borderId="8" xfId="0" applyFill="1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8" xfId="0" applyBorder="1" applyAlignment="1">
      <alignment/>
    </xf>
    <xf numFmtId="0" fontId="4" fillId="0" borderId="43" xfId="0" applyFont="1" applyFill="1" applyBorder="1" applyAlignment="1">
      <alignment horizontal="center"/>
    </xf>
    <xf numFmtId="177" fontId="0" fillId="0" borderId="44" xfId="23" applyNumberFormat="1" applyFill="1" applyBorder="1" applyAlignment="1">
      <alignment/>
    </xf>
    <xf numFmtId="177" fontId="0" fillId="0" borderId="41" xfId="23" applyNumberFormat="1" applyFill="1" applyBorder="1" applyAlignment="1">
      <alignment/>
    </xf>
    <xf numFmtId="177" fontId="0" fillId="0" borderId="42" xfId="23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0" fontId="4" fillId="0" borderId="45" xfId="0" applyFont="1" applyFill="1" applyBorder="1" applyAlignment="1">
      <alignment wrapText="1"/>
    </xf>
    <xf numFmtId="0" fontId="4" fillId="0" borderId="46" xfId="0" applyFont="1" applyFill="1" applyBorder="1" applyAlignment="1">
      <alignment wrapText="1"/>
    </xf>
    <xf numFmtId="167" fontId="4" fillId="0" borderId="46" xfId="0" applyNumberFormat="1" applyFont="1" applyFill="1" applyBorder="1" applyAlignment="1">
      <alignment wrapText="1"/>
    </xf>
    <xf numFmtId="0" fontId="4" fillId="0" borderId="47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17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FAMU Enrollment Projection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12</xdr:row>
      <xdr:rowOff>123825</xdr:rowOff>
    </xdr:from>
    <xdr:to>
      <xdr:col>12</xdr:col>
      <xdr:colOff>190500</xdr:colOff>
      <xdr:row>15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609850" y="2714625"/>
          <a:ext cx="53054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Projections for enrollment growth beyond 2008-09 have not been reviewed and approved by the NCF Board of Trustees.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zoomScale="75" zoomScaleNormal="75" workbookViewId="0" topLeftCell="A1">
      <selection activeCell="M136" sqref="M136"/>
    </sheetView>
  </sheetViews>
  <sheetFormatPr defaultColWidth="9.140625" defaultRowHeight="12.75"/>
  <cols>
    <col min="1" max="1" width="15.57421875" style="0" customWidth="1"/>
    <col min="2" max="2" width="9.28125" style="0" bestFit="1" customWidth="1"/>
    <col min="3" max="3" width="9.421875" style="0" bestFit="1" customWidth="1"/>
    <col min="4" max="4" width="13.7109375" style="0" customWidth="1"/>
    <col min="5" max="5" width="4.421875" style="0" customWidth="1"/>
    <col min="6" max="6" width="16.7109375" style="0" customWidth="1"/>
    <col min="7" max="7" width="9.421875" style="0" bestFit="1" customWidth="1"/>
    <col min="8" max="8" width="9.57421875" style="0" bestFit="1" customWidth="1"/>
    <col min="9" max="9" width="9.421875" style="0" bestFit="1" customWidth="1"/>
  </cols>
  <sheetData>
    <row r="1" spans="1:9" ht="18.75" thickBot="1">
      <c r="A1" s="282" t="s">
        <v>147</v>
      </c>
      <c r="B1" s="283"/>
      <c r="C1" s="284"/>
      <c r="D1" s="284"/>
      <c r="E1" s="285"/>
      <c r="F1" s="282" t="s">
        <v>20</v>
      </c>
      <c r="G1" s="283"/>
      <c r="H1" s="284"/>
      <c r="I1" s="284"/>
    </row>
    <row r="2" spans="1:9" ht="15.75">
      <c r="A2" s="198"/>
      <c r="B2" s="44"/>
      <c r="C2" s="80"/>
      <c r="D2" s="80"/>
      <c r="E2" s="278"/>
      <c r="F2" s="198"/>
      <c r="G2" s="44"/>
      <c r="H2" s="80"/>
      <c r="I2" s="80"/>
    </row>
    <row r="3" spans="1:9" ht="15.75">
      <c r="A3" s="198" t="s">
        <v>170</v>
      </c>
      <c r="B3" s="44"/>
      <c r="C3" s="80"/>
      <c r="D3" s="177"/>
      <c r="E3" s="278"/>
      <c r="F3" s="198" t="s">
        <v>170</v>
      </c>
      <c r="G3" s="44"/>
      <c r="H3" s="80"/>
      <c r="I3" s="177"/>
    </row>
    <row r="4" spans="2:9" ht="13.5" thickBot="1">
      <c r="B4" s="44"/>
      <c r="C4" s="80"/>
      <c r="D4" s="241"/>
      <c r="E4" s="278"/>
      <c r="G4" s="44"/>
      <c r="H4" s="80"/>
      <c r="I4" s="241"/>
    </row>
    <row r="5" spans="1:9" ht="12.75">
      <c r="A5" s="200"/>
      <c r="B5" s="255" t="s">
        <v>0</v>
      </c>
      <c r="C5" s="253" t="s">
        <v>92</v>
      </c>
      <c r="D5" s="265" t="s">
        <v>167</v>
      </c>
      <c r="E5" s="278"/>
      <c r="F5" s="200"/>
      <c r="G5" s="255" t="s">
        <v>0</v>
      </c>
      <c r="H5" s="253" t="s">
        <v>92</v>
      </c>
      <c r="I5" s="199" t="s">
        <v>167</v>
      </c>
    </row>
    <row r="6" spans="1:9" ht="13.5" thickBot="1">
      <c r="A6" s="200"/>
      <c r="B6" s="256" t="s">
        <v>4</v>
      </c>
      <c r="C6" s="254" t="s">
        <v>12</v>
      </c>
      <c r="D6" s="257" t="s">
        <v>168</v>
      </c>
      <c r="E6" s="278"/>
      <c r="F6" s="200"/>
      <c r="G6" s="256" t="s">
        <v>4</v>
      </c>
      <c r="H6" s="254" t="s">
        <v>12</v>
      </c>
      <c r="I6" s="188" t="s">
        <v>168</v>
      </c>
    </row>
    <row r="7" spans="1:9" ht="12.75">
      <c r="A7" s="204" t="s">
        <v>13</v>
      </c>
      <c r="B7" s="205">
        <v>65084.4</v>
      </c>
      <c r="C7" s="206">
        <v>87439.15670590132</v>
      </c>
      <c r="D7" s="266">
        <f>+C7/B7-1</f>
        <v>0.3434733470063689</v>
      </c>
      <c r="E7" s="278"/>
      <c r="F7" s="270" t="s">
        <v>13</v>
      </c>
      <c r="G7" s="205">
        <v>11384</v>
      </c>
      <c r="H7" s="206">
        <v>11400</v>
      </c>
      <c r="I7" s="240">
        <f>+H7/G7-1</f>
        <v>0.0014054813773718422</v>
      </c>
    </row>
    <row r="8" spans="1:9" ht="12.75">
      <c r="A8" s="196" t="s">
        <v>14</v>
      </c>
      <c r="B8" s="190">
        <v>81947.5</v>
      </c>
      <c r="C8" s="191">
        <v>111093.31917850247</v>
      </c>
      <c r="D8" s="267">
        <f>+C8/B8-1</f>
        <v>0.3556645312975071</v>
      </c>
      <c r="E8" s="278"/>
      <c r="F8" s="271" t="s">
        <v>14</v>
      </c>
      <c r="G8" s="190">
        <v>13160</v>
      </c>
      <c r="H8" s="191">
        <v>13465</v>
      </c>
      <c r="I8" s="197">
        <f>+H8/G8-1</f>
        <v>0.023176291793313153</v>
      </c>
    </row>
    <row r="9" spans="1:9" ht="12.75">
      <c r="A9" s="189" t="s">
        <v>16</v>
      </c>
      <c r="B9" s="190">
        <v>23852.5</v>
      </c>
      <c r="C9" s="191">
        <v>34635.62072617652</v>
      </c>
      <c r="D9" s="267">
        <f>+C9/B9-1</f>
        <v>0.45207507498905874</v>
      </c>
      <c r="E9" s="278"/>
      <c r="F9" s="272" t="s">
        <v>16</v>
      </c>
      <c r="G9" s="190">
        <v>6165</v>
      </c>
      <c r="H9" s="191">
        <v>7751</v>
      </c>
      <c r="I9" s="197">
        <f>+H9/G9-1</f>
        <v>0.2572587185725872</v>
      </c>
    </row>
    <row r="10" spans="1:9" ht="12.75">
      <c r="A10" s="189" t="s">
        <v>17</v>
      </c>
      <c r="B10" s="190">
        <v>6329.4</v>
      </c>
      <c r="C10" s="191">
        <v>9744.664492609394</v>
      </c>
      <c r="D10" s="267">
        <f>+C10/B10-1</f>
        <v>0.5395874004817827</v>
      </c>
      <c r="E10" s="278"/>
      <c r="F10" s="272" t="s">
        <v>17</v>
      </c>
      <c r="G10" s="190">
        <v>2356</v>
      </c>
      <c r="H10" s="191">
        <v>3361</v>
      </c>
      <c r="I10" s="197">
        <f>+H10/G10-1</f>
        <v>0.4265704584040746</v>
      </c>
    </row>
    <row r="11" spans="1:9" ht="13.5" thickBot="1">
      <c r="A11" s="207" t="s">
        <v>18</v>
      </c>
      <c r="B11" s="208">
        <v>177213.8</v>
      </c>
      <c r="C11" s="209">
        <v>242912.7611031897</v>
      </c>
      <c r="D11" s="268">
        <f>+C11/B11-1</f>
        <v>0.37073275954349905</v>
      </c>
      <c r="E11" s="278"/>
      <c r="F11" s="273" t="s">
        <v>29</v>
      </c>
      <c r="G11" s="208">
        <v>33065</v>
      </c>
      <c r="H11" s="209">
        <v>35977</v>
      </c>
      <c r="I11" s="210">
        <f>+H11/G11-1</f>
        <v>0.08806895508846213</v>
      </c>
    </row>
    <row r="12" spans="1:9" ht="9.75" customHeight="1" thickBot="1">
      <c r="A12" s="211"/>
      <c r="B12" s="80"/>
      <c r="C12" s="80"/>
      <c r="D12" s="212"/>
      <c r="E12" s="278"/>
      <c r="F12" s="211"/>
      <c r="G12" s="80"/>
      <c r="H12" s="80"/>
      <c r="I12" s="212"/>
    </row>
    <row r="13" spans="1:9" ht="26.25" thickBot="1">
      <c r="A13" s="213" t="s">
        <v>146</v>
      </c>
      <c r="B13" s="214">
        <v>1721</v>
      </c>
      <c r="C13" s="215">
        <v>2523</v>
      </c>
      <c r="D13" s="269">
        <f>+C13/B13-1</f>
        <v>0.46600813480534575</v>
      </c>
      <c r="E13" s="278"/>
      <c r="F13" s="274" t="s">
        <v>19</v>
      </c>
      <c r="G13" s="214">
        <v>1103</v>
      </c>
      <c r="H13" s="215">
        <v>1244</v>
      </c>
      <c r="I13" s="249">
        <f>+H13/G13-1</f>
        <v>0.12783318223028095</v>
      </c>
    </row>
    <row r="14" spans="1:9" ht="12.75">
      <c r="A14" s="217"/>
      <c r="B14" s="80"/>
      <c r="C14" s="80"/>
      <c r="D14" s="80"/>
      <c r="E14" s="278"/>
      <c r="F14" s="80"/>
      <c r="G14" s="80"/>
      <c r="H14" s="80"/>
      <c r="I14" s="80"/>
    </row>
    <row r="15" spans="1:9" ht="12.75">
      <c r="A15" s="217"/>
      <c r="B15" s="80"/>
      <c r="C15" s="80"/>
      <c r="D15" s="80"/>
      <c r="E15" s="278"/>
      <c r="F15" s="80"/>
      <c r="G15" s="80"/>
      <c r="H15" s="80"/>
      <c r="I15" s="80"/>
    </row>
    <row r="16" spans="1:9" ht="15.75">
      <c r="A16" s="218" t="s">
        <v>158</v>
      </c>
      <c r="B16" s="80"/>
      <c r="C16" s="80"/>
      <c r="D16" s="80"/>
      <c r="E16" s="278"/>
      <c r="F16" s="218" t="s">
        <v>158</v>
      </c>
      <c r="G16" s="80"/>
      <c r="H16" s="80"/>
      <c r="I16" s="80"/>
    </row>
    <row r="17" spans="1:9" ht="16.5" thickBot="1">
      <c r="A17" s="218"/>
      <c r="B17" s="80"/>
      <c r="C17" s="80"/>
      <c r="D17" s="80"/>
      <c r="E17" s="278"/>
      <c r="F17" s="218"/>
      <c r="G17" s="80"/>
      <c r="H17" s="80"/>
      <c r="I17" s="80"/>
    </row>
    <row r="18" spans="1:13" ht="12.75">
      <c r="A18" s="217"/>
      <c r="B18" s="255" t="s">
        <v>0</v>
      </c>
      <c r="C18" s="253" t="s">
        <v>92</v>
      </c>
      <c r="D18" s="265" t="s">
        <v>167</v>
      </c>
      <c r="E18" s="278"/>
      <c r="F18" s="217"/>
      <c r="G18" s="255" t="s">
        <v>0</v>
      </c>
      <c r="H18" s="253" t="s">
        <v>92</v>
      </c>
      <c r="I18" s="199" t="s">
        <v>167</v>
      </c>
      <c r="L18" s="81"/>
      <c r="M18" s="81"/>
    </row>
    <row r="19" spans="1:9" ht="13.5" thickBot="1">
      <c r="A19" s="217"/>
      <c r="B19" s="256" t="s">
        <v>4</v>
      </c>
      <c r="C19" s="254" t="s">
        <v>12</v>
      </c>
      <c r="D19" s="257" t="s">
        <v>168</v>
      </c>
      <c r="E19" s="278"/>
      <c r="F19" s="217"/>
      <c r="G19" s="256" t="s">
        <v>4</v>
      </c>
      <c r="H19" s="254" t="s">
        <v>12</v>
      </c>
      <c r="I19" s="188" t="s">
        <v>168</v>
      </c>
    </row>
    <row r="20" spans="1:13" ht="12.75">
      <c r="A20" s="204" t="s">
        <v>148</v>
      </c>
      <c r="B20" s="220">
        <v>43144</v>
      </c>
      <c r="C20" s="221">
        <v>56089.715490791044</v>
      </c>
      <c r="D20" s="258">
        <f>+C20/B20-1</f>
        <v>0.30005830453344706</v>
      </c>
      <c r="E20" s="278"/>
      <c r="F20" s="270" t="s">
        <v>148</v>
      </c>
      <c r="G20" s="220">
        <v>8416</v>
      </c>
      <c r="H20" s="221">
        <v>8350</v>
      </c>
      <c r="I20" s="250">
        <f>+H20/G20-1</f>
        <v>-0.007842205323193907</v>
      </c>
      <c r="L20" s="81"/>
      <c r="M20" s="81"/>
    </row>
    <row r="21" spans="1:13" ht="12.75">
      <c r="A21" s="196" t="s">
        <v>151</v>
      </c>
      <c r="B21" s="194">
        <v>13268.333333333327</v>
      </c>
      <c r="C21" s="195">
        <v>18519.133138514993</v>
      </c>
      <c r="D21" s="259">
        <f>+C21/B21-1</f>
        <v>0.39573921405715384</v>
      </c>
      <c r="E21" s="278"/>
      <c r="F21" s="271" t="s">
        <v>151</v>
      </c>
      <c r="G21" s="194">
        <v>2958</v>
      </c>
      <c r="H21" s="239">
        <v>4202</v>
      </c>
      <c r="I21" s="251">
        <f>+H21/G21-1</f>
        <v>0.42055442866801895</v>
      </c>
      <c r="L21" s="81"/>
      <c r="M21" s="81"/>
    </row>
    <row r="22" spans="1:13" ht="12.75">
      <c r="A22" s="196" t="s">
        <v>149</v>
      </c>
      <c r="B22" s="194">
        <v>1507.5</v>
      </c>
      <c r="C22" s="195">
        <v>2694.8792098908334</v>
      </c>
      <c r="D22" s="259">
        <f>+C22/B22-1</f>
        <v>0.7876479004250967</v>
      </c>
      <c r="E22" s="278"/>
      <c r="F22" s="271" t="s">
        <v>149</v>
      </c>
      <c r="G22" s="194">
        <v>702</v>
      </c>
      <c r="H22" s="195">
        <v>1050</v>
      </c>
      <c r="I22" s="251">
        <f>+H22/G22-1</f>
        <v>0.49572649572649574</v>
      </c>
      <c r="L22" s="81"/>
      <c r="M22" s="81"/>
    </row>
    <row r="23" spans="1:13" ht="12.75">
      <c r="A23" s="196" t="s">
        <v>169</v>
      </c>
      <c r="B23" s="194">
        <v>1539</v>
      </c>
      <c r="C23" s="195">
        <v>2251</v>
      </c>
      <c r="D23" s="259">
        <f>+C23/B23-1</f>
        <v>0.46263807667316437</v>
      </c>
      <c r="E23" s="278"/>
      <c r="F23" s="271" t="s">
        <v>169</v>
      </c>
      <c r="G23" s="194">
        <v>964</v>
      </c>
      <c r="H23" s="239">
        <v>1175</v>
      </c>
      <c r="I23" s="251">
        <f>+H23/G23-1</f>
        <v>0.21887966804979264</v>
      </c>
      <c r="L23" s="81"/>
      <c r="M23" s="81"/>
    </row>
    <row r="24" spans="1:13" ht="13.5" thickBot="1">
      <c r="A24" s="207" t="s">
        <v>152</v>
      </c>
      <c r="B24" s="223">
        <v>59458.83333333333</v>
      </c>
      <c r="C24" s="224">
        <v>79554.72783919684</v>
      </c>
      <c r="D24" s="260">
        <f>+C24/B24-1</f>
        <v>0.33797996663008045</v>
      </c>
      <c r="E24" s="278"/>
      <c r="F24" s="273" t="s">
        <v>152</v>
      </c>
      <c r="G24" s="223">
        <v>13040</v>
      </c>
      <c r="H24" s="224">
        <v>14777</v>
      </c>
      <c r="I24" s="252">
        <f>+H24/G24-1</f>
        <v>0.13320552147239262</v>
      </c>
      <c r="L24" s="81"/>
      <c r="M24" s="81"/>
    </row>
    <row r="25" spans="1:13" ht="12.75">
      <c r="A25" s="226"/>
      <c r="B25" s="179"/>
      <c r="C25" s="179"/>
      <c r="D25" s="80"/>
      <c r="E25" s="278"/>
      <c r="F25" s="80"/>
      <c r="G25" s="80"/>
      <c r="H25" s="80"/>
      <c r="L25" s="81"/>
      <c r="M25" s="81"/>
    </row>
    <row r="26" spans="1:9" ht="13.5" thickBot="1">
      <c r="A26" s="262"/>
      <c r="B26" s="263"/>
      <c r="C26" s="263"/>
      <c r="D26" s="262"/>
      <c r="E26" s="279"/>
      <c r="F26" s="262"/>
      <c r="G26" s="262"/>
      <c r="H26" s="262"/>
      <c r="I26" s="264"/>
    </row>
    <row r="27" spans="1:9" ht="18.75" thickBot="1">
      <c r="A27" s="282" t="s">
        <v>154</v>
      </c>
      <c r="B27" s="283"/>
      <c r="C27" s="284"/>
      <c r="D27" s="284"/>
      <c r="E27" s="285"/>
      <c r="F27" s="282" t="s">
        <v>102</v>
      </c>
      <c r="G27" s="283"/>
      <c r="H27" s="284"/>
      <c r="I27" s="284"/>
    </row>
    <row r="28" spans="1:9" ht="15.75">
      <c r="A28" s="198"/>
      <c r="B28" s="44"/>
      <c r="C28" s="80"/>
      <c r="D28" s="80"/>
      <c r="E28" s="278"/>
      <c r="F28" s="198"/>
      <c r="G28" s="44"/>
      <c r="H28" s="80"/>
      <c r="I28" s="80"/>
    </row>
    <row r="29" spans="1:9" ht="15.75">
      <c r="A29" s="198" t="s">
        <v>170</v>
      </c>
      <c r="B29" s="44"/>
      <c r="C29" s="80"/>
      <c r="D29" s="177"/>
      <c r="E29" s="278"/>
      <c r="F29" s="198" t="s">
        <v>170</v>
      </c>
      <c r="G29" s="44"/>
      <c r="H29" s="80"/>
      <c r="I29" s="177"/>
    </row>
    <row r="30" spans="2:9" ht="13.5" thickBot="1">
      <c r="B30" s="44"/>
      <c r="C30" s="80"/>
      <c r="D30" s="241"/>
      <c r="E30" s="278"/>
      <c r="G30" s="44"/>
      <c r="H30" s="80"/>
      <c r="I30" s="241"/>
    </row>
    <row r="31" spans="1:9" ht="12.75">
      <c r="A31" s="200"/>
      <c r="B31" s="255" t="s">
        <v>0</v>
      </c>
      <c r="C31" s="253" t="s">
        <v>92</v>
      </c>
      <c r="D31" s="265" t="s">
        <v>167</v>
      </c>
      <c r="E31" s="278"/>
      <c r="F31" s="200"/>
      <c r="G31" s="255" t="s">
        <v>0</v>
      </c>
      <c r="H31" s="253" t="s">
        <v>92</v>
      </c>
      <c r="I31" s="199" t="s">
        <v>167</v>
      </c>
    </row>
    <row r="32" spans="1:9" ht="13.5" thickBot="1">
      <c r="A32" s="200"/>
      <c r="B32" s="256" t="s">
        <v>4</v>
      </c>
      <c r="C32" s="254" t="s">
        <v>12</v>
      </c>
      <c r="D32" s="257" t="s">
        <v>168</v>
      </c>
      <c r="E32" s="278"/>
      <c r="F32" s="200"/>
      <c r="G32" s="256" t="s">
        <v>4</v>
      </c>
      <c r="H32" s="254" t="s">
        <v>12</v>
      </c>
      <c r="I32" s="188" t="s">
        <v>168</v>
      </c>
    </row>
    <row r="33" spans="1:9" ht="12.75">
      <c r="A33" s="204" t="s">
        <v>13</v>
      </c>
      <c r="B33" s="205">
        <v>10254</v>
      </c>
      <c r="C33" s="206">
        <v>10557.879417877548</v>
      </c>
      <c r="D33" s="266">
        <f>+C33/B33-1</f>
        <v>0.029635207516827355</v>
      </c>
      <c r="E33" s="278"/>
      <c r="F33" s="270" t="s">
        <v>13</v>
      </c>
      <c r="G33" s="205">
        <v>4505.1</v>
      </c>
      <c r="H33" s="206">
        <v>4935</v>
      </c>
      <c r="I33" s="240">
        <f>+H33/G33-1</f>
        <v>0.0954251847905705</v>
      </c>
    </row>
    <row r="34" spans="1:9" ht="12.75">
      <c r="A34" s="196" t="s">
        <v>14</v>
      </c>
      <c r="B34" s="190">
        <v>10987</v>
      </c>
      <c r="C34" s="191">
        <v>12442.077685194323</v>
      </c>
      <c r="D34" s="267">
        <f>+C34/B34-1</f>
        <v>0.13243630519653427</v>
      </c>
      <c r="E34" s="278"/>
      <c r="F34" s="271" t="s">
        <v>14</v>
      </c>
      <c r="G34" s="190">
        <v>3434.3</v>
      </c>
      <c r="H34" s="191">
        <v>3935</v>
      </c>
      <c r="I34" s="197">
        <f>+H34/G34-1</f>
        <v>0.14579390268759274</v>
      </c>
    </row>
    <row r="35" spans="1:9" ht="12.75">
      <c r="A35" s="189" t="s">
        <v>16</v>
      </c>
      <c r="B35" s="190">
        <v>3670</v>
      </c>
      <c r="C35" s="191">
        <v>4260.114769337016</v>
      </c>
      <c r="D35" s="267">
        <f>+C35/B35-1</f>
        <v>0.16079421507820602</v>
      </c>
      <c r="E35" s="278"/>
      <c r="F35" s="272" t="s">
        <v>16</v>
      </c>
      <c r="G35" s="190">
        <v>1110.5</v>
      </c>
      <c r="H35" s="191">
        <v>1814</v>
      </c>
      <c r="I35" s="197">
        <f>+H35/G35-1</f>
        <v>0.6334984241332733</v>
      </c>
    </row>
    <row r="36" spans="1:9" ht="12.75">
      <c r="A36" s="189" t="s">
        <v>17</v>
      </c>
      <c r="B36" s="190">
        <v>1416.1</v>
      </c>
      <c r="C36" s="191">
        <v>1699.26647442745</v>
      </c>
      <c r="D36" s="267">
        <f>+C36/B36-1</f>
        <v>0.19996220212375548</v>
      </c>
      <c r="E36" s="278"/>
      <c r="F36" s="272" t="s">
        <v>17</v>
      </c>
      <c r="G36" s="190">
        <v>27.3</v>
      </c>
      <c r="H36" s="191">
        <v>85</v>
      </c>
      <c r="I36" s="197">
        <f>+H36/G36-1</f>
        <v>2.1135531135531136</v>
      </c>
    </row>
    <row r="37" spans="1:9" ht="13.5" thickBot="1">
      <c r="A37" s="207" t="s">
        <v>29</v>
      </c>
      <c r="B37" s="208">
        <v>26327.1</v>
      </c>
      <c r="C37" s="209">
        <v>28959.33834683634</v>
      </c>
      <c r="D37" s="268">
        <f>+C37/B37-1</f>
        <v>0.09998208487969973</v>
      </c>
      <c r="E37" s="278"/>
      <c r="F37" s="273" t="s">
        <v>29</v>
      </c>
      <c r="G37" s="208">
        <v>9077.2</v>
      </c>
      <c r="H37" s="209">
        <v>10769</v>
      </c>
      <c r="I37" s="210">
        <f>+H37/G37-1</f>
        <v>0.1863790596219097</v>
      </c>
    </row>
    <row r="38" spans="1:9" ht="13.5" thickBot="1">
      <c r="A38" s="211"/>
      <c r="B38" s="80"/>
      <c r="C38" s="80"/>
      <c r="D38" s="212"/>
      <c r="E38" s="278"/>
      <c r="F38" s="230"/>
      <c r="G38" s="80"/>
      <c r="H38" s="80"/>
      <c r="I38" s="212"/>
    </row>
    <row r="39" spans="1:9" ht="13.5" thickBot="1">
      <c r="A39" s="213" t="s">
        <v>34</v>
      </c>
      <c r="B39" s="214">
        <v>172</v>
      </c>
      <c r="C39" s="215">
        <v>480</v>
      </c>
      <c r="D39" s="269">
        <f>+C39/B39-1</f>
        <v>1.7906976744186047</v>
      </c>
      <c r="E39" s="278"/>
      <c r="F39" s="80"/>
      <c r="G39" s="80"/>
      <c r="H39" s="80"/>
      <c r="I39" s="80"/>
    </row>
    <row r="40" spans="1:5" ht="12.75">
      <c r="A40" s="80"/>
      <c r="B40" s="80"/>
      <c r="C40" s="80"/>
      <c r="D40" s="80"/>
      <c r="E40" s="278"/>
    </row>
    <row r="41" spans="1:5" ht="12.75">
      <c r="A41" s="80"/>
      <c r="B41" s="80"/>
      <c r="C41" s="80"/>
      <c r="D41" s="80"/>
      <c r="E41" s="278"/>
    </row>
    <row r="42" spans="1:9" ht="15.75">
      <c r="A42" s="218" t="s">
        <v>158</v>
      </c>
      <c r="B42" s="80"/>
      <c r="C42" s="80"/>
      <c r="D42" s="80"/>
      <c r="E42" s="278"/>
      <c r="F42" s="218" t="s">
        <v>158</v>
      </c>
      <c r="G42" s="80"/>
      <c r="H42" s="80"/>
      <c r="I42" s="80"/>
    </row>
    <row r="43" spans="1:9" ht="16.5" thickBot="1">
      <c r="A43" s="218"/>
      <c r="B43" s="80"/>
      <c r="C43" s="80"/>
      <c r="D43" s="80"/>
      <c r="E43" s="278"/>
      <c r="F43" s="217"/>
      <c r="I43" s="212"/>
    </row>
    <row r="44" spans="1:9" ht="12.75">
      <c r="A44" s="217"/>
      <c r="B44" s="255" t="s">
        <v>0</v>
      </c>
      <c r="C44" s="253" t="s">
        <v>92</v>
      </c>
      <c r="D44" s="265" t="s">
        <v>167</v>
      </c>
      <c r="E44" s="278"/>
      <c r="F44" s="217"/>
      <c r="G44" s="255" t="s">
        <v>0</v>
      </c>
      <c r="H44" s="253" t="s">
        <v>92</v>
      </c>
      <c r="I44" s="199" t="s">
        <v>167</v>
      </c>
    </row>
    <row r="45" spans="1:12" ht="13.5" thickBot="1">
      <c r="A45" s="217"/>
      <c r="B45" s="256" t="s">
        <v>4</v>
      </c>
      <c r="C45" s="254" t="s">
        <v>12</v>
      </c>
      <c r="D45" s="257" t="s">
        <v>168</v>
      </c>
      <c r="E45" s="278"/>
      <c r="F45" s="217"/>
      <c r="G45" s="256" t="s">
        <v>4</v>
      </c>
      <c r="H45" s="254" t="s">
        <v>12</v>
      </c>
      <c r="I45" s="188" t="s">
        <v>168</v>
      </c>
      <c r="K45" s="81"/>
      <c r="L45" s="81"/>
    </row>
    <row r="46" spans="1:12" ht="12.75">
      <c r="A46" s="204" t="s">
        <v>148</v>
      </c>
      <c r="B46" s="220">
        <v>6839</v>
      </c>
      <c r="C46" s="221">
        <v>8868</v>
      </c>
      <c r="D46" s="258">
        <f>+C46/B46-1</f>
        <v>0.2966808012867379</v>
      </c>
      <c r="E46" s="278"/>
      <c r="F46" s="270" t="s">
        <v>148</v>
      </c>
      <c r="G46" s="220">
        <v>1334</v>
      </c>
      <c r="H46" s="221">
        <v>1940</v>
      </c>
      <c r="I46" s="250">
        <f>+H46/G46-1</f>
        <v>0.45427286356821583</v>
      </c>
      <c r="K46" s="81"/>
      <c r="L46" s="81"/>
    </row>
    <row r="47" spans="1:12" ht="12.75">
      <c r="A47" s="196" t="s">
        <v>151</v>
      </c>
      <c r="B47" s="194">
        <v>1717</v>
      </c>
      <c r="C47" s="195">
        <v>2371</v>
      </c>
      <c r="D47" s="259">
        <f>+C47/B47-1</f>
        <v>0.3808969132207338</v>
      </c>
      <c r="E47" s="280"/>
      <c r="F47" s="271" t="s">
        <v>151</v>
      </c>
      <c r="G47" s="194">
        <v>293</v>
      </c>
      <c r="H47" s="195">
        <v>499.88</v>
      </c>
      <c r="I47" s="251">
        <f>+H47/G47-1</f>
        <v>0.7060750853242321</v>
      </c>
      <c r="K47" s="81"/>
      <c r="L47" s="81"/>
    </row>
    <row r="48" spans="1:12" ht="12.75">
      <c r="A48" s="196" t="s">
        <v>149</v>
      </c>
      <c r="B48" s="194">
        <v>275</v>
      </c>
      <c r="C48" s="195">
        <v>375</v>
      </c>
      <c r="D48" s="259">
        <f>+C48/B48-1</f>
        <v>0.36363636363636354</v>
      </c>
      <c r="E48" s="280"/>
      <c r="F48" s="271" t="s">
        <v>149</v>
      </c>
      <c r="G48" s="194">
        <v>21</v>
      </c>
      <c r="H48" s="195">
        <v>78</v>
      </c>
      <c r="I48" s="251">
        <f>+H48/G48-1</f>
        <v>2.7142857142857144</v>
      </c>
      <c r="K48" s="81"/>
      <c r="L48" s="81"/>
    </row>
    <row r="49" spans="1:12" ht="12.75">
      <c r="A49" s="196" t="s">
        <v>169</v>
      </c>
      <c r="B49" s="194">
        <v>302</v>
      </c>
      <c r="C49" s="195">
        <v>361</v>
      </c>
      <c r="D49" s="259">
        <f>+C49/B49-1</f>
        <v>0.19536423841059603</v>
      </c>
      <c r="E49" s="280"/>
      <c r="F49" s="271" t="s">
        <v>169</v>
      </c>
      <c r="G49" s="194">
        <v>169</v>
      </c>
      <c r="H49" s="195">
        <v>375</v>
      </c>
      <c r="I49" s="251">
        <f>+H49/G49-1</f>
        <v>1.2189349112426036</v>
      </c>
      <c r="K49" s="81"/>
      <c r="L49" s="81"/>
    </row>
    <row r="50" spans="1:9" ht="13.5" thickBot="1">
      <c r="A50" s="207" t="s">
        <v>152</v>
      </c>
      <c r="B50" s="223">
        <v>9133</v>
      </c>
      <c r="C50" s="224">
        <v>11975</v>
      </c>
      <c r="D50" s="260">
        <f>+C50/B50-1</f>
        <v>0.3111792401182525</v>
      </c>
      <c r="E50" s="280"/>
      <c r="F50" s="273" t="s">
        <v>152</v>
      </c>
      <c r="G50" s="223">
        <v>1817</v>
      </c>
      <c r="H50" s="224">
        <v>2892.88</v>
      </c>
      <c r="I50" s="252">
        <f>+H50/G50-1</f>
        <v>0.5921188772702257</v>
      </c>
    </row>
    <row r="51" spans="2:5" ht="12.75">
      <c r="B51" s="18"/>
      <c r="C51" s="18"/>
      <c r="D51" s="18"/>
      <c r="E51" s="280"/>
    </row>
    <row r="52" spans="2:5" ht="13.5" thickBot="1">
      <c r="B52" s="18"/>
      <c r="C52" s="18"/>
      <c r="D52" s="18"/>
      <c r="E52" s="280"/>
    </row>
    <row r="53" spans="1:9" ht="18.75" thickBot="1">
      <c r="A53" s="282" t="s">
        <v>155</v>
      </c>
      <c r="B53" s="283"/>
      <c r="C53" s="284"/>
      <c r="D53" s="284"/>
      <c r="E53" s="286"/>
      <c r="F53" s="282" t="s">
        <v>57</v>
      </c>
      <c r="G53" s="283"/>
      <c r="H53" s="284"/>
      <c r="I53" s="284"/>
    </row>
    <row r="54" spans="1:9" ht="15.75">
      <c r="A54" s="198"/>
      <c r="B54" s="44"/>
      <c r="C54" s="80"/>
      <c r="D54" s="80"/>
      <c r="E54" s="280"/>
      <c r="F54" s="198"/>
      <c r="G54" s="44"/>
      <c r="H54" s="80"/>
      <c r="I54" s="80"/>
    </row>
    <row r="55" spans="1:9" ht="15.75">
      <c r="A55" s="198" t="s">
        <v>170</v>
      </c>
      <c r="B55" s="44"/>
      <c r="C55" s="80"/>
      <c r="D55" s="177"/>
      <c r="E55" s="280"/>
      <c r="F55" s="198" t="s">
        <v>170</v>
      </c>
      <c r="G55" s="44"/>
      <c r="H55" s="80"/>
      <c r="I55" s="177"/>
    </row>
    <row r="56" spans="2:9" ht="13.5" thickBot="1">
      <c r="B56" s="44"/>
      <c r="C56" s="80"/>
      <c r="D56" s="241"/>
      <c r="E56" s="280"/>
      <c r="G56" s="44"/>
      <c r="H56" s="80"/>
      <c r="I56" s="241"/>
    </row>
    <row r="57" spans="1:9" ht="12.75">
      <c r="A57" s="200"/>
      <c r="B57" s="255" t="s">
        <v>0</v>
      </c>
      <c r="C57" s="253" t="s">
        <v>92</v>
      </c>
      <c r="D57" s="265" t="s">
        <v>167</v>
      </c>
      <c r="E57" s="280"/>
      <c r="F57" s="200"/>
      <c r="G57" s="255" t="s">
        <v>0</v>
      </c>
      <c r="H57" s="253" t="s">
        <v>92</v>
      </c>
      <c r="I57" s="199" t="s">
        <v>167</v>
      </c>
    </row>
    <row r="58" spans="1:9" ht="13.5" thickBot="1">
      <c r="A58" s="200"/>
      <c r="B58" s="256" t="s">
        <v>4</v>
      </c>
      <c r="C58" s="254" t="s">
        <v>12</v>
      </c>
      <c r="D58" s="257" t="s">
        <v>168</v>
      </c>
      <c r="E58" s="280"/>
      <c r="F58" s="200"/>
      <c r="G58" s="256" t="s">
        <v>4</v>
      </c>
      <c r="H58" s="254" t="s">
        <v>12</v>
      </c>
      <c r="I58" s="188" t="s">
        <v>168</v>
      </c>
    </row>
    <row r="59" spans="1:9" ht="12.75">
      <c r="A59" s="204" t="s">
        <v>13</v>
      </c>
      <c r="B59" s="205">
        <v>9154</v>
      </c>
      <c r="C59" s="206">
        <v>15135</v>
      </c>
      <c r="D59" s="266">
        <f>+C59/B59-1</f>
        <v>0.6533755735197728</v>
      </c>
      <c r="E59" s="280"/>
      <c r="F59" s="270" t="s">
        <v>13</v>
      </c>
      <c r="G59" s="205">
        <v>4706.7</v>
      </c>
      <c r="H59" s="206">
        <v>6073.7</v>
      </c>
      <c r="I59" s="240">
        <f>+H59/G59-1</f>
        <v>0.29043703656489694</v>
      </c>
    </row>
    <row r="60" spans="1:9" ht="12.75">
      <c r="A60" s="196" t="s">
        <v>14</v>
      </c>
      <c r="B60" s="190">
        <v>12150</v>
      </c>
      <c r="C60" s="191">
        <v>21412</v>
      </c>
      <c r="D60" s="267">
        <f>+C60/B60-1</f>
        <v>0.7623045267489712</v>
      </c>
      <c r="E60" s="280"/>
      <c r="F60" s="271" t="s">
        <v>14</v>
      </c>
      <c r="G60" s="190">
        <v>7746.5</v>
      </c>
      <c r="H60" s="191">
        <v>9621.5</v>
      </c>
      <c r="I60" s="197">
        <f>+H60/G60-1</f>
        <v>0.24204479442328797</v>
      </c>
    </row>
    <row r="61" spans="1:9" ht="12.75">
      <c r="A61" s="189" t="s">
        <v>16</v>
      </c>
      <c r="B61" s="190">
        <v>3687</v>
      </c>
      <c r="C61" s="191">
        <v>8061</v>
      </c>
      <c r="D61" s="267">
        <f>+C61/B61-1</f>
        <v>1.1863303498779496</v>
      </c>
      <c r="E61" s="280"/>
      <c r="F61" s="272" t="s">
        <v>16</v>
      </c>
      <c r="G61" s="190">
        <v>1786.9</v>
      </c>
      <c r="H61" s="191">
        <v>2253</v>
      </c>
      <c r="I61" s="197">
        <f>+H61/G61-1</f>
        <v>0.2608428003805472</v>
      </c>
    </row>
    <row r="62" spans="1:9" ht="12.75">
      <c r="A62" s="189" t="s">
        <v>17</v>
      </c>
      <c r="B62" s="190">
        <v>874</v>
      </c>
      <c r="C62" s="191">
        <v>2194</v>
      </c>
      <c r="D62" s="267">
        <f>+C62/B62-1</f>
        <v>1.5102974828375286</v>
      </c>
      <c r="E62" s="280"/>
      <c r="F62" s="272" t="s">
        <v>17</v>
      </c>
      <c r="G62" s="190">
        <v>283.6</v>
      </c>
      <c r="H62" s="191">
        <v>354.645</v>
      </c>
      <c r="I62" s="197">
        <f>+H62/G62-1</f>
        <v>0.2505112834978842</v>
      </c>
    </row>
    <row r="63" spans="1:9" ht="13.5" thickBot="1">
      <c r="A63" s="207" t="s">
        <v>18</v>
      </c>
      <c r="B63" s="208">
        <v>25865</v>
      </c>
      <c r="C63" s="209">
        <v>46802</v>
      </c>
      <c r="D63" s="268">
        <f>+C63/B63-1</f>
        <v>0.8094722598105548</v>
      </c>
      <c r="E63" s="280"/>
      <c r="F63" s="273" t="s">
        <v>29</v>
      </c>
      <c r="G63" s="208">
        <v>14523.7</v>
      </c>
      <c r="H63" s="209">
        <v>18302.845</v>
      </c>
      <c r="I63" s="210">
        <f>+H63/G63-1</f>
        <v>0.2602053884340767</v>
      </c>
    </row>
    <row r="64" spans="1:9" ht="13.5" thickBot="1">
      <c r="A64" s="211"/>
      <c r="B64" s="80"/>
      <c r="C64" s="80"/>
      <c r="D64" s="212"/>
      <c r="E64" s="280"/>
      <c r="F64" s="230"/>
      <c r="G64" s="80"/>
      <c r="H64" s="80"/>
      <c r="I64" s="212"/>
    </row>
    <row r="65" spans="1:9" ht="13.5" thickBot="1">
      <c r="A65" s="213" t="s">
        <v>19</v>
      </c>
      <c r="B65" s="214">
        <v>446</v>
      </c>
      <c r="C65" s="215">
        <v>799</v>
      </c>
      <c r="D65" s="269">
        <f>+C65/B65-1</f>
        <v>0.7914798206278026</v>
      </c>
      <c r="E65" s="280"/>
      <c r="F65" s="80"/>
      <c r="G65" s="80"/>
      <c r="H65" s="80"/>
      <c r="I65" s="80"/>
    </row>
    <row r="66" spans="1:5" ht="12.75">
      <c r="A66" s="80"/>
      <c r="B66" s="80"/>
      <c r="C66" s="80"/>
      <c r="D66" s="80"/>
      <c r="E66" s="280"/>
    </row>
    <row r="67" spans="1:5" ht="12.75">
      <c r="A67" s="80"/>
      <c r="B67" s="80"/>
      <c r="C67" s="80"/>
      <c r="D67" s="80"/>
      <c r="E67" s="280"/>
    </row>
    <row r="68" spans="1:9" ht="15.75">
      <c r="A68" s="218" t="s">
        <v>158</v>
      </c>
      <c r="B68" s="80"/>
      <c r="C68" s="80"/>
      <c r="D68" s="80"/>
      <c r="E68" s="280"/>
      <c r="F68" s="218" t="s">
        <v>158</v>
      </c>
      <c r="G68" s="80"/>
      <c r="H68" s="80"/>
      <c r="I68" s="80"/>
    </row>
    <row r="69" spans="1:12" ht="16.5" thickBot="1">
      <c r="A69" s="218"/>
      <c r="B69" s="80"/>
      <c r="C69" s="80"/>
      <c r="D69" s="80"/>
      <c r="E69" s="280"/>
      <c r="L69" s="81"/>
    </row>
    <row r="70" spans="1:9" ht="12.75">
      <c r="A70" s="217"/>
      <c r="B70" s="255" t="s">
        <v>0</v>
      </c>
      <c r="C70" s="253" t="s">
        <v>92</v>
      </c>
      <c r="D70" s="265" t="s">
        <v>167</v>
      </c>
      <c r="E70" s="280"/>
      <c r="F70" s="80"/>
      <c r="G70" s="255" t="s">
        <v>0</v>
      </c>
      <c r="H70" s="253" t="s">
        <v>92</v>
      </c>
      <c r="I70" s="199" t="s">
        <v>167</v>
      </c>
    </row>
    <row r="71" spans="1:13" ht="13.5" thickBot="1">
      <c r="A71" s="217"/>
      <c r="B71" s="256" t="s">
        <v>4</v>
      </c>
      <c r="C71" s="254" t="s">
        <v>12</v>
      </c>
      <c r="D71" s="257" t="s">
        <v>168</v>
      </c>
      <c r="E71" s="280"/>
      <c r="F71" s="80"/>
      <c r="G71" s="256" t="s">
        <v>4</v>
      </c>
      <c r="H71" s="254" t="s">
        <v>12</v>
      </c>
      <c r="I71" s="188" t="s">
        <v>168</v>
      </c>
      <c r="L71" s="81"/>
      <c r="M71" s="81"/>
    </row>
    <row r="72" spans="1:13" ht="12.75">
      <c r="A72" s="204" t="s">
        <v>148</v>
      </c>
      <c r="B72" s="220">
        <v>5634</v>
      </c>
      <c r="C72" s="221">
        <v>7416.830601000552</v>
      </c>
      <c r="D72" s="258">
        <f>+C72/B72-1</f>
        <v>0.3164413562301298</v>
      </c>
      <c r="E72" s="280"/>
      <c r="F72" s="275" t="s">
        <v>148</v>
      </c>
      <c r="G72" s="220">
        <v>3982</v>
      </c>
      <c r="H72" s="221">
        <v>4945</v>
      </c>
      <c r="I72" s="250">
        <f>+H72/G72-1</f>
        <v>0.24183827222501253</v>
      </c>
      <c r="L72" s="81"/>
      <c r="M72" s="81"/>
    </row>
    <row r="73" spans="1:13" ht="12.75">
      <c r="A73" s="196" t="s">
        <v>151</v>
      </c>
      <c r="B73" s="194">
        <v>2125.333333333333</v>
      </c>
      <c r="C73" s="195">
        <v>2299.253138514994</v>
      </c>
      <c r="D73" s="259">
        <f>+C73/B73-1</f>
        <v>0.08183177784582552</v>
      </c>
      <c r="E73" s="280"/>
      <c r="F73" s="276" t="s">
        <v>151</v>
      </c>
      <c r="G73" s="194">
        <v>1137</v>
      </c>
      <c r="H73" s="195">
        <v>1307</v>
      </c>
      <c r="I73" s="251">
        <f>+H73/G73-1</f>
        <v>0.14951627088830266</v>
      </c>
      <c r="L73" s="81"/>
      <c r="M73" s="81"/>
    </row>
    <row r="74" spans="1:13" ht="12.75">
      <c r="A74" s="196" t="s">
        <v>149</v>
      </c>
      <c r="B74" s="194">
        <v>185.5</v>
      </c>
      <c r="C74" s="195">
        <v>277.8792098908322</v>
      </c>
      <c r="D74" s="259">
        <f>+C74/B74-1</f>
        <v>0.4980011314869661</v>
      </c>
      <c r="E74" s="280"/>
      <c r="F74" s="276" t="s">
        <v>149</v>
      </c>
      <c r="G74" s="194">
        <v>57</v>
      </c>
      <c r="H74" s="195">
        <v>142</v>
      </c>
      <c r="I74" s="251">
        <f>+H74/G74-1</f>
        <v>1.4912280701754388</v>
      </c>
      <c r="L74" s="81"/>
      <c r="M74" s="81"/>
    </row>
    <row r="75" spans="1:13" ht="26.25" thickBot="1">
      <c r="A75" s="196" t="s">
        <v>150</v>
      </c>
      <c r="B75" s="194">
        <v>104</v>
      </c>
      <c r="C75" s="195">
        <v>120</v>
      </c>
      <c r="D75" s="259">
        <f>+C75/B75-1</f>
        <v>0.15384615384615374</v>
      </c>
      <c r="E75" s="280"/>
      <c r="F75" s="277" t="s">
        <v>152</v>
      </c>
      <c r="G75" s="223">
        <v>5176</v>
      </c>
      <c r="H75" s="224">
        <v>6394</v>
      </c>
      <c r="I75" s="252">
        <f>+H75/G75-1</f>
        <v>0.23531684698608957</v>
      </c>
      <c r="L75" s="81"/>
      <c r="M75" s="81"/>
    </row>
    <row r="76" spans="1:5" ht="13.5" thickBot="1">
      <c r="A76" s="207" t="s">
        <v>152</v>
      </c>
      <c r="B76" s="223">
        <v>8048.833333333334</v>
      </c>
      <c r="C76" s="224">
        <v>10113.962949406377</v>
      </c>
      <c r="D76" s="260">
        <f>+C76/B76-1</f>
        <v>0.2565750252922423</v>
      </c>
      <c r="E76" s="280"/>
    </row>
    <row r="77" ht="12.75">
      <c r="E77" s="280"/>
    </row>
    <row r="78" spans="1:9" ht="13.5" thickBot="1">
      <c r="A78" s="264"/>
      <c r="B78" s="264"/>
      <c r="C78" s="264"/>
      <c r="D78" s="264"/>
      <c r="E78" s="281"/>
      <c r="F78" s="264"/>
      <c r="G78" s="264"/>
      <c r="H78" s="264"/>
      <c r="I78" s="264"/>
    </row>
    <row r="79" spans="1:9" ht="18.75" thickBot="1">
      <c r="A79" s="282" t="s">
        <v>62</v>
      </c>
      <c r="B79" s="283"/>
      <c r="C79" s="284"/>
      <c r="D79" s="284"/>
      <c r="E79" s="286"/>
      <c r="F79" s="282" t="s">
        <v>73</v>
      </c>
      <c r="G79" s="283"/>
      <c r="H79" s="284"/>
      <c r="I79" s="284"/>
    </row>
    <row r="80" spans="1:9" ht="15.75">
      <c r="A80" s="198"/>
      <c r="B80" s="44"/>
      <c r="C80" s="80"/>
      <c r="D80" s="80"/>
      <c r="E80" s="280"/>
      <c r="F80" s="198"/>
      <c r="G80" s="44"/>
      <c r="H80" s="80"/>
      <c r="I80" s="80"/>
    </row>
    <row r="81" spans="1:9" ht="15.75">
      <c r="A81" s="198" t="s">
        <v>170</v>
      </c>
      <c r="B81" s="44"/>
      <c r="C81" s="80"/>
      <c r="D81" s="177"/>
      <c r="E81" s="280"/>
      <c r="F81" s="198" t="s">
        <v>170</v>
      </c>
      <c r="G81" s="44"/>
      <c r="H81" s="80"/>
      <c r="I81" s="177"/>
    </row>
    <row r="82" spans="2:9" ht="13.5" thickBot="1">
      <c r="B82" s="44"/>
      <c r="C82" s="80"/>
      <c r="D82" s="241"/>
      <c r="E82" s="280"/>
      <c r="G82" s="44"/>
      <c r="H82" s="80"/>
      <c r="I82" s="241"/>
    </row>
    <row r="83" spans="1:9" ht="12.75">
      <c r="A83" s="200"/>
      <c r="B83" s="255" t="s">
        <v>0</v>
      </c>
      <c r="C83" s="253" t="s">
        <v>92</v>
      </c>
      <c r="D83" s="265" t="s">
        <v>167</v>
      </c>
      <c r="E83" s="280"/>
      <c r="F83" s="200"/>
      <c r="G83" s="255" t="s">
        <v>0</v>
      </c>
      <c r="H83" s="253" t="s">
        <v>92</v>
      </c>
      <c r="I83" s="199" t="s">
        <v>167</v>
      </c>
    </row>
    <row r="84" spans="1:9" ht="13.5" thickBot="1">
      <c r="A84" s="200"/>
      <c r="B84" s="256" t="s">
        <v>4</v>
      </c>
      <c r="C84" s="254" t="s">
        <v>12</v>
      </c>
      <c r="D84" s="257" t="s">
        <v>168</v>
      </c>
      <c r="E84" s="280"/>
      <c r="F84" s="200"/>
      <c r="G84" s="256" t="s">
        <v>4</v>
      </c>
      <c r="H84" s="254" t="s">
        <v>12</v>
      </c>
      <c r="I84" s="188" t="s">
        <v>168</v>
      </c>
    </row>
    <row r="85" spans="1:9" ht="12.75">
      <c r="A85" s="204" t="s">
        <v>13</v>
      </c>
      <c r="B85" s="205">
        <v>1938</v>
      </c>
      <c r="C85" s="206">
        <v>2802</v>
      </c>
      <c r="D85" s="266">
        <f>+C85/B85-1</f>
        <v>0.44582043343653255</v>
      </c>
      <c r="E85" s="280"/>
      <c r="F85" s="270" t="s">
        <v>13</v>
      </c>
      <c r="G85" s="205">
        <v>7826.3</v>
      </c>
      <c r="H85" s="206">
        <v>12097.130989319172</v>
      </c>
      <c r="I85" s="240">
        <f>+H85/G85-1</f>
        <v>0.5457024378466417</v>
      </c>
    </row>
    <row r="86" spans="1:9" ht="12.75">
      <c r="A86" s="196" t="s">
        <v>14</v>
      </c>
      <c r="B86" s="190">
        <v>3153</v>
      </c>
      <c r="C86" s="191">
        <v>4576</v>
      </c>
      <c r="D86" s="267">
        <f>+C86/B86-1</f>
        <v>0.45131620678718676</v>
      </c>
      <c r="E86" s="280"/>
      <c r="F86" s="271" t="s">
        <v>14</v>
      </c>
      <c r="G86" s="190">
        <v>10794.2</v>
      </c>
      <c r="H86" s="191">
        <v>17189.728083847196</v>
      </c>
      <c r="I86" s="197">
        <f>+H86/G86-1</f>
        <v>0.5924967189645545</v>
      </c>
    </row>
    <row r="87" spans="1:9" ht="12.75">
      <c r="A87" s="189" t="s">
        <v>16</v>
      </c>
      <c r="B87" s="190">
        <v>531</v>
      </c>
      <c r="C87" s="191">
        <v>857</v>
      </c>
      <c r="D87" s="267">
        <f>+C87/B87-1</f>
        <v>0.6139359698681732</v>
      </c>
      <c r="E87" s="280"/>
      <c r="F87" s="272" t="s">
        <v>16</v>
      </c>
      <c r="G87" s="190">
        <v>2694.4</v>
      </c>
      <c r="H87" s="191">
        <v>4461.185867280631</v>
      </c>
      <c r="I87" s="197">
        <f>+H87/G87-1</f>
        <v>0.6557251585809942</v>
      </c>
    </row>
    <row r="88" spans="1:9" ht="12.75">
      <c r="A88" s="189" t="s">
        <v>17</v>
      </c>
      <c r="B88" s="190">
        <v>71</v>
      </c>
      <c r="C88" s="191">
        <v>141</v>
      </c>
      <c r="D88" s="267">
        <f>+C88/B88-1</f>
        <v>0.9859154929577465</v>
      </c>
      <c r="E88" s="280"/>
      <c r="F88" s="272" t="s">
        <v>17</v>
      </c>
      <c r="G88" s="190">
        <v>493.9</v>
      </c>
      <c r="H88" s="191">
        <v>759.758836524314</v>
      </c>
      <c r="I88" s="197">
        <f>+H88/G88-1</f>
        <v>0.538284746961559</v>
      </c>
    </row>
    <row r="89" spans="1:9" ht="13.5" thickBot="1">
      <c r="A89" s="207" t="s">
        <v>29</v>
      </c>
      <c r="B89" s="208">
        <v>5693</v>
      </c>
      <c r="C89" s="209">
        <v>8376</v>
      </c>
      <c r="D89" s="268">
        <f>+C89/B89-1</f>
        <v>0.47128051993676445</v>
      </c>
      <c r="E89" s="280"/>
      <c r="F89" s="273" t="s">
        <v>18</v>
      </c>
      <c r="G89" s="208">
        <v>21808.8</v>
      </c>
      <c r="H89" s="209">
        <v>34507.80377697131</v>
      </c>
      <c r="I89" s="210">
        <f>+H89/G89-1</f>
        <v>0.5822880569756848</v>
      </c>
    </row>
    <row r="90" spans="1:9" ht="12.75">
      <c r="A90" s="230"/>
      <c r="B90" s="80"/>
      <c r="C90" s="80"/>
      <c r="D90" s="212"/>
      <c r="E90" s="280"/>
      <c r="F90" s="230"/>
      <c r="G90" s="80"/>
      <c r="H90" s="80"/>
      <c r="I90" s="212"/>
    </row>
    <row r="91" spans="1:12" ht="15.75">
      <c r="A91" s="80"/>
      <c r="B91" s="80"/>
      <c r="C91" s="80"/>
      <c r="D91" s="80"/>
      <c r="E91" s="280"/>
      <c r="F91" s="218" t="s">
        <v>158</v>
      </c>
      <c r="G91" s="80"/>
      <c r="H91" s="80"/>
      <c r="I91" s="80"/>
      <c r="K91" s="81"/>
      <c r="L91" s="81"/>
    </row>
    <row r="92" spans="1:6" ht="16.5" thickBot="1">
      <c r="A92" s="218" t="s">
        <v>158</v>
      </c>
      <c r="B92" s="80"/>
      <c r="C92" s="80"/>
      <c r="D92" s="80"/>
      <c r="E92" s="280"/>
      <c r="F92" s="217"/>
    </row>
    <row r="93" spans="1:12" ht="13.5" thickBot="1">
      <c r="A93" s="80"/>
      <c r="E93" s="280"/>
      <c r="F93" s="217"/>
      <c r="G93" s="255" t="s">
        <v>0</v>
      </c>
      <c r="H93" s="253" t="s">
        <v>92</v>
      </c>
      <c r="I93" s="199" t="s">
        <v>167</v>
      </c>
      <c r="K93" s="81"/>
      <c r="L93" s="81"/>
    </row>
    <row r="94" spans="1:12" ht="13.5" thickBot="1">
      <c r="A94" s="80"/>
      <c r="B94" s="255" t="s">
        <v>0</v>
      </c>
      <c r="C94" s="253" t="s">
        <v>92</v>
      </c>
      <c r="D94" s="265" t="s">
        <v>167</v>
      </c>
      <c r="E94" s="280"/>
      <c r="F94" s="217"/>
      <c r="G94" s="256" t="s">
        <v>4</v>
      </c>
      <c r="H94" s="254" t="s">
        <v>12</v>
      </c>
      <c r="I94" s="188" t="s">
        <v>168</v>
      </c>
      <c r="K94" s="81"/>
      <c r="L94" s="81"/>
    </row>
    <row r="95" spans="1:12" ht="13.5" thickBot="1">
      <c r="A95" s="80"/>
      <c r="B95" s="256" t="s">
        <v>4</v>
      </c>
      <c r="C95" s="254" t="s">
        <v>12</v>
      </c>
      <c r="D95" s="257" t="s">
        <v>168</v>
      </c>
      <c r="E95" s="280"/>
      <c r="F95" s="270" t="s">
        <v>148</v>
      </c>
      <c r="G95" s="220">
        <v>4767</v>
      </c>
      <c r="H95" s="221">
        <v>6195.333333333334</v>
      </c>
      <c r="I95" s="250">
        <f>+H95/G95-1</f>
        <v>0.2996293965456962</v>
      </c>
      <c r="K95" s="81"/>
      <c r="L95" s="81"/>
    </row>
    <row r="96" spans="1:12" ht="12.75">
      <c r="A96" s="228" t="s">
        <v>148</v>
      </c>
      <c r="B96" s="220">
        <v>1636</v>
      </c>
      <c r="C96" s="221">
        <v>2668</v>
      </c>
      <c r="D96" s="258">
        <f>+C96/B96-1</f>
        <v>0.6308068459657701</v>
      </c>
      <c r="E96" s="280"/>
      <c r="F96" s="271" t="s">
        <v>151</v>
      </c>
      <c r="G96" s="194">
        <v>1792</v>
      </c>
      <c r="H96" s="195">
        <v>3057</v>
      </c>
      <c r="I96" s="251">
        <f>+H96/G96-1</f>
        <v>0.7059151785714286</v>
      </c>
      <c r="K96" s="81"/>
      <c r="L96" s="81"/>
    </row>
    <row r="97" spans="1:12" ht="12.75">
      <c r="A97" s="193" t="s">
        <v>151</v>
      </c>
      <c r="B97" s="194">
        <v>446</v>
      </c>
      <c r="C97" s="195">
        <v>694</v>
      </c>
      <c r="D97" s="259">
        <f>+C97/B97-1</f>
        <v>0.5560538116591929</v>
      </c>
      <c r="E97" s="280"/>
      <c r="F97" s="271" t="s">
        <v>149</v>
      </c>
      <c r="G97" s="194">
        <v>78</v>
      </c>
      <c r="H97" s="195">
        <v>280</v>
      </c>
      <c r="I97" s="251">
        <f>+H97/G97-1</f>
        <v>2.58974358974359</v>
      </c>
      <c r="K97" s="81"/>
      <c r="L97" s="81"/>
    </row>
    <row r="98" spans="1:12" ht="12.75">
      <c r="A98" s="193" t="s">
        <v>149</v>
      </c>
      <c r="B98" s="194">
        <v>22</v>
      </c>
      <c r="C98" s="195">
        <v>41</v>
      </c>
      <c r="D98" s="259">
        <f>+C98/B98-1</f>
        <v>0.8636363636363635</v>
      </c>
      <c r="E98" s="280"/>
      <c r="F98" s="271" t="s">
        <v>150</v>
      </c>
      <c r="G98" s="194">
        <v>0</v>
      </c>
      <c r="H98" s="195">
        <v>180</v>
      </c>
      <c r="I98" s="251"/>
      <c r="K98" s="81"/>
      <c r="L98" s="81"/>
    </row>
    <row r="99" spans="1:9" ht="13.5" thickBot="1">
      <c r="A99" s="229" t="s">
        <v>152</v>
      </c>
      <c r="B99" s="223">
        <v>2104</v>
      </c>
      <c r="C99" s="224">
        <v>3403</v>
      </c>
      <c r="D99" s="260">
        <f>+C99/B99-1</f>
        <v>0.6173954372623573</v>
      </c>
      <c r="E99" s="280"/>
      <c r="F99" s="273" t="s">
        <v>152</v>
      </c>
      <c r="G99" s="223">
        <v>6637</v>
      </c>
      <c r="H99" s="224">
        <v>9712.333333333334</v>
      </c>
      <c r="I99" s="252">
        <f>+H99/G99-1</f>
        <v>0.4633619607252273</v>
      </c>
    </row>
    <row r="100" ht="12.75">
      <c r="E100" s="280"/>
    </row>
    <row r="101" ht="13.5" thickBot="1">
      <c r="E101" s="280"/>
    </row>
    <row r="102" spans="1:9" ht="18.75" thickBot="1">
      <c r="A102" s="282" t="s">
        <v>66</v>
      </c>
      <c r="B102" s="283"/>
      <c r="C102" s="284"/>
      <c r="D102" s="284"/>
      <c r="E102" s="286"/>
      <c r="F102" s="282" t="s">
        <v>78</v>
      </c>
      <c r="G102" s="283"/>
      <c r="H102" s="284"/>
      <c r="I102" s="284"/>
    </row>
    <row r="103" spans="1:9" ht="15.75">
      <c r="A103" s="198"/>
      <c r="B103" s="44"/>
      <c r="C103" s="80"/>
      <c r="D103" s="80"/>
      <c r="E103" s="280"/>
      <c r="F103" s="198"/>
      <c r="G103" s="44"/>
      <c r="H103" s="80"/>
      <c r="I103" s="80"/>
    </row>
    <row r="104" spans="1:9" ht="15.75">
      <c r="A104" s="198" t="s">
        <v>170</v>
      </c>
      <c r="B104" s="44"/>
      <c r="C104" s="80"/>
      <c r="D104" s="177"/>
      <c r="E104" s="280"/>
      <c r="F104" s="198" t="s">
        <v>170</v>
      </c>
      <c r="G104" s="44"/>
      <c r="H104" s="80"/>
      <c r="I104" s="177"/>
    </row>
    <row r="105" spans="2:9" ht="13.5" thickBot="1">
      <c r="B105" s="44"/>
      <c r="C105" s="80"/>
      <c r="D105" s="241"/>
      <c r="E105" s="280"/>
      <c r="G105" s="44"/>
      <c r="H105" s="80"/>
      <c r="I105" s="241"/>
    </row>
    <row r="106" spans="1:9" ht="12.75">
      <c r="A106" s="200"/>
      <c r="B106" s="255" t="s">
        <v>0</v>
      </c>
      <c r="C106" s="253" t="s">
        <v>92</v>
      </c>
      <c r="D106" s="265" t="s">
        <v>167</v>
      </c>
      <c r="E106" s="280"/>
      <c r="F106" s="200"/>
      <c r="G106" s="255" t="s">
        <v>0</v>
      </c>
      <c r="H106" s="253" t="s">
        <v>92</v>
      </c>
      <c r="I106" s="199" t="s">
        <v>167</v>
      </c>
    </row>
    <row r="107" spans="1:9" ht="13.5" thickBot="1">
      <c r="A107" s="200"/>
      <c r="B107" s="256" t="s">
        <v>4</v>
      </c>
      <c r="C107" s="254" t="s">
        <v>12</v>
      </c>
      <c r="D107" s="257" t="s">
        <v>168</v>
      </c>
      <c r="E107" s="280"/>
      <c r="F107" s="200"/>
      <c r="G107" s="256" t="s">
        <v>4</v>
      </c>
      <c r="H107" s="254" t="s">
        <v>12</v>
      </c>
      <c r="I107" s="188" t="s">
        <v>168</v>
      </c>
    </row>
    <row r="108" spans="1:9" ht="12.75">
      <c r="A108" s="204" t="s">
        <v>13</v>
      </c>
      <c r="B108" s="205">
        <v>9819.5</v>
      </c>
      <c r="C108" s="206">
        <v>15256.873498704595</v>
      </c>
      <c r="D108" s="266">
        <f>+C108/B108-1</f>
        <v>0.5537322163760472</v>
      </c>
      <c r="E108" s="280"/>
      <c r="F108" s="270" t="s">
        <v>13</v>
      </c>
      <c r="G108" s="205">
        <v>3743</v>
      </c>
      <c r="H108" s="206">
        <v>5247</v>
      </c>
      <c r="I108" s="240">
        <f>+H108/G108-1</f>
        <v>0.40181672455249795</v>
      </c>
    </row>
    <row r="109" spans="1:9" ht="12.75">
      <c r="A109" s="196" t="s">
        <v>14</v>
      </c>
      <c r="B109" s="190">
        <v>13962.4</v>
      </c>
      <c r="C109" s="191">
        <v>17998.42620946096</v>
      </c>
      <c r="D109" s="267">
        <f>+C109/B109-1</f>
        <v>0.2890639295150519</v>
      </c>
      <c r="E109" s="280"/>
      <c r="F109" s="271" t="s">
        <v>14</v>
      </c>
      <c r="G109" s="190">
        <v>4492.1</v>
      </c>
      <c r="H109" s="191">
        <v>6282</v>
      </c>
      <c r="I109" s="197">
        <f>+H109/G109-1</f>
        <v>0.3984550655595378</v>
      </c>
    </row>
    <row r="110" spans="1:9" ht="12.75">
      <c r="A110" s="189" t="s">
        <v>16</v>
      </c>
      <c r="B110" s="190">
        <v>2878.6</v>
      </c>
      <c r="C110" s="191">
        <v>3337.3200895588725</v>
      </c>
      <c r="D110" s="267">
        <f>+C110/B110-1</f>
        <v>0.15935527324354637</v>
      </c>
      <c r="E110" s="280"/>
      <c r="F110" s="272" t="s">
        <v>16</v>
      </c>
      <c r="G110" s="190">
        <v>869.9</v>
      </c>
      <c r="H110" s="191">
        <v>1104</v>
      </c>
      <c r="I110" s="197">
        <f>+H110/G110-1</f>
        <v>0.26911139211403623</v>
      </c>
    </row>
    <row r="111" spans="1:9" ht="12.75">
      <c r="A111" s="189" t="s">
        <v>17</v>
      </c>
      <c r="B111" s="190">
        <v>769.1</v>
      </c>
      <c r="C111" s="191">
        <v>991.9941816576296</v>
      </c>
      <c r="D111" s="267">
        <f>+C111/B111-1</f>
        <v>0.2898117041446231</v>
      </c>
      <c r="E111" s="280"/>
      <c r="F111" s="272" t="s">
        <v>17</v>
      </c>
      <c r="G111" s="190">
        <v>38.4</v>
      </c>
      <c r="H111" s="191">
        <v>83</v>
      </c>
      <c r="I111" s="197">
        <f>+H111/G111-1</f>
        <v>1.1614583333333335</v>
      </c>
    </row>
    <row r="112" spans="1:9" ht="13.5" thickBot="1">
      <c r="A112" s="207" t="s">
        <v>18</v>
      </c>
      <c r="B112" s="208">
        <v>27429.6</v>
      </c>
      <c r="C112" s="209">
        <v>37584.61397938206</v>
      </c>
      <c r="D112" s="268">
        <f>+C112/B112-1</f>
        <v>0.3702210013774194</v>
      </c>
      <c r="E112" s="280"/>
      <c r="F112" s="273" t="s">
        <v>29</v>
      </c>
      <c r="G112" s="208">
        <v>9143.4</v>
      </c>
      <c r="H112" s="209">
        <v>12716</v>
      </c>
      <c r="I112" s="210">
        <f>+H112/G112-1</f>
        <v>0.39072992541067886</v>
      </c>
    </row>
    <row r="113" spans="1:9" ht="12.75">
      <c r="A113" s="230"/>
      <c r="B113" s="80"/>
      <c r="C113" s="80"/>
      <c r="D113" s="212"/>
      <c r="E113" s="280"/>
      <c r="F113" s="230"/>
      <c r="G113" s="80"/>
      <c r="H113" s="80"/>
      <c r="I113" s="212"/>
    </row>
    <row r="114" spans="1:9" ht="12.75">
      <c r="A114" s="80"/>
      <c r="B114" s="80"/>
      <c r="C114" s="80"/>
      <c r="D114" s="80"/>
      <c r="E114" s="280"/>
      <c r="F114" s="80"/>
      <c r="G114" s="80"/>
      <c r="H114" s="80"/>
      <c r="I114" s="80"/>
    </row>
    <row r="115" spans="1:6" ht="15.75">
      <c r="A115" s="218" t="s">
        <v>158</v>
      </c>
      <c r="B115" s="80"/>
      <c r="C115" s="80"/>
      <c r="D115" s="80"/>
      <c r="E115" s="280"/>
      <c r="F115" s="218" t="s">
        <v>158</v>
      </c>
    </row>
    <row r="116" spans="1:9" ht="13.5" thickBot="1">
      <c r="A116" s="217"/>
      <c r="E116" s="280"/>
      <c r="G116" s="80"/>
      <c r="H116" s="80"/>
      <c r="I116" s="80"/>
    </row>
    <row r="117" spans="1:6" ht="13.5" thickBot="1">
      <c r="A117" s="217"/>
      <c r="B117" s="255" t="s">
        <v>0</v>
      </c>
      <c r="C117" s="253" t="s">
        <v>92</v>
      </c>
      <c r="D117" s="265" t="s">
        <v>167</v>
      </c>
      <c r="E117" s="280"/>
      <c r="F117" s="80"/>
    </row>
    <row r="118" spans="1:9" ht="13.5" thickBot="1">
      <c r="A118" s="217"/>
      <c r="B118" s="256" t="s">
        <v>4</v>
      </c>
      <c r="C118" s="254" t="s">
        <v>12</v>
      </c>
      <c r="D118" s="257" t="s">
        <v>168</v>
      </c>
      <c r="E118" s="280"/>
      <c r="F118" s="80"/>
      <c r="G118" s="255" t="s">
        <v>0</v>
      </c>
      <c r="H118" s="253" t="s">
        <v>92</v>
      </c>
      <c r="I118" s="199" t="s">
        <v>167</v>
      </c>
    </row>
    <row r="119" spans="1:13" ht="13.5" thickBot="1">
      <c r="A119" s="204" t="s">
        <v>148</v>
      </c>
      <c r="B119" s="220">
        <v>7323</v>
      </c>
      <c r="C119" s="221">
        <v>10472</v>
      </c>
      <c r="D119" s="258">
        <f>+C119/B119-1</f>
        <v>0.4300150211661886</v>
      </c>
      <c r="E119" s="280"/>
      <c r="F119" s="80"/>
      <c r="G119" s="256" t="s">
        <v>4</v>
      </c>
      <c r="H119" s="254" t="s">
        <v>12</v>
      </c>
      <c r="I119" s="188" t="s">
        <v>168</v>
      </c>
      <c r="J119" s="141"/>
      <c r="K119" s="248"/>
      <c r="L119" s="248"/>
      <c r="M119" s="141"/>
    </row>
    <row r="120" spans="1:13" ht="12.75">
      <c r="A120" s="196" t="s">
        <v>151</v>
      </c>
      <c r="B120" s="194">
        <v>1936</v>
      </c>
      <c r="C120" s="195">
        <v>2520</v>
      </c>
      <c r="D120" s="259">
        <f>+C120/B120-1</f>
        <v>0.30165289256198347</v>
      </c>
      <c r="E120" s="280"/>
      <c r="F120" s="275" t="s">
        <v>148</v>
      </c>
      <c r="G120" s="220">
        <v>2256</v>
      </c>
      <c r="H120" s="221">
        <v>3187</v>
      </c>
      <c r="I120" s="250">
        <f>+H120/G120-1</f>
        <v>0.4126773049645389</v>
      </c>
      <c r="J120" s="141"/>
      <c r="K120" s="248"/>
      <c r="L120" s="248"/>
      <c r="M120" s="141"/>
    </row>
    <row r="121" spans="1:13" ht="12.75">
      <c r="A121" s="196" t="s">
        <v>149</v>
      </c>
      <c r="B121" s="194">
        <v>155</v>
      </c>
      <c r="C121" s="195">
        <v>385</v>
      </c>
      <c r="D121" s="259">
        <f>+C121/B121-1</f>
        <v>1.4838709677419355</v>
      </c>
      <c r="E121" s="280"/>
      <c r="F121" s="276" t="s">
        <v>151</v>
      </c>
      <c r="G121" s="194">
        <v>618</v>
      </c>
      <c r="H121" s="195">
        <v>866</v>
      </c>
      <c r="I121" s="251">
        <f>+H121/G121-1</f>
        <v>0.4012944983818769</v>
      </c>
      <c r="J121" s="141"/>
      <c r="K121" s="248"/>
      <c r="L121" s="248"/>
      <c r="M121" s="141"/>
    </row>
    <row r="122" spans="1:13" ht="25.5">
      <c r="A122" s="196" t="s">
        <v>150</v>
      </c>
      <c r="B122" s="194">
        <v>0</v>
      </c>
      <c r="C122" s="195">
        <v>40</v>
      </c>
      <c r="D122" s="259"/>
      <c r="E122" s="280"/>
      <c r="F122" s="276" t="s">
        <v>149</v>
      </c>
      <c r="G122" s="194">
        <v>12</v>
      </c>
      <c r="H122" s="195">
        <v>51</v>
      </c>
      <c r="I122" s="251">
        <f>+H122/G122-1</f>
        <v>3.25</v>
      </c>
      <c r="J122" s="141"/>
      <c r="K122" s="248"/>
      <c r="L122" s="248"/>
      <c r="M122" s="141"/>
    </row>
    <row r="123" spans="1:13" ht="13.5" thickBot="1">
      <c r="A123" s="207" t="s">
        <v>152</v>
      </c>
      <c r="B123" s="223">
        <v>9414</v>
      </c>
      <c r="C123" s="224">
        <v>13417</v>
      </c>
      <c r="D123" s="260">
        <f>+C123/B123-1</f>
        <v>0.4252177607818144</v>
      </c>
      <c r="E123" s="280"/>
      <c r="F123" s="277" t="s">
        <v>152</v>
      </c>
      <c r="G123" s="223">
        <v>2886</v>
      </c>
      <c r="H123" s="224">
        <v>4104</v>
      </c>
      <c r="I123" s="252">
        <f>+H123/G123-1</f>
        <v>0.4220374220374221</v>
      </c>
      <c r="J123" s="141"/>
      <c r="K123" s="141"/>
      <c r="L123" s="141"/>
      <c r="M123" s="141"/>
    </row>
    <row r="124" spans="5:9" ht="12.75">
      <c r="E124" s="280"/>
      <c r="I124" s="261"/>
    </row>
    <row r="125" spans="1:9" ht="13.5" thickBot="1">
      <c r="A125" s="264"/>
      <c r="B125" s="264"/>
      <c r="C125" s="264"/>
      <c r="D125" s="264"/>
      <c r="E125" s="281"/>
      <c r="F125" s="264"/>
      <c r="G125" s="264"/>
      <c r="H125" s="264"/>
      <c r="I125" s="264"/>
    </row>
    <row r="126" spans="1:9" ht="18.75" thickBot="1">
      <c r="A126" s="282" t="s">
        <v>81</v>
      </c>
      <c r="B126" s="283"/>
      <c r="C126" s="284"/>
      <c r="D126" s="284"/>
      <c r="E126" s="286"/>
      <c r="F126" s="282" t="s">
        <v>156</v>
      </c>
      <c r="G126" s="283"/>
      <c r="H126" s="284"/>
      <c r="I126" s="284"/>
    </row>
    <row r="127" spans="1:9" ht="15.75">
      <c r="A127" s="198"/>
      <c r="B127" s="44"/>
      <c r="C127" s="80"/>
      <c r="D127" s="80"/>
      <c r="E127" s="280"/>
      <c r="F127" s="198"/>
      <c r="G127" s="44"/>
      <c r="H127" s="80"/>
      <c r="I127" s="80"/>
    </row>
    <row r="128" spans="1:9" ht="15.75">
      <c r="A128" s="198" t="s">
        <v>170</v>
      </c>
      <c r="B128" s="44"/>
      <c r="C128" s="80"/>
      <c r="D128" s="177"/>
      <c r="E128" s="280"/>
      <c r="F128" s="198" t="s">
        <v>170</v>
      </c>
      <c r="G128" s="44"/>
      <c r="H128" s="80"/>
      <c r="I128" s="177"/>
    </row>
    <row r="129" spans="2:9" ht="13.5" thickBot="1">
      <c r="B129" s="44"/>
      <c r="C129" s="80"/>
      <c r="D129" s="241"/>
      <c r="E129" s="280"/>
      <c r="G129" s="44"/>
      <c r="H129" s="80"/>
      <c r="I129" s="241"/>
    </row>
    <row r="130" spans="1:9" ht="12.75">
      <c r="A130" s="200"/>
      <c r="B130" s="255" t="s">
        <v>0</v>
      </c>
      <c r="C130" s="253" t="s">
        <v>92</v>
      </c>
      <c r="D130" s="265" t="s">
        <v>167</v>
      </c>
      <c r="E130" s="280"/>
      <c r="F130" s="44"/>
      <c r="G130" s="255" t="s">
        <v>0</v>
      </c>
      <c r="H130" s="253" t="s">
        <v>92</v>
      </c>
      <c r="I130" s="199" t="s">
        <v>167</v>
      </c>
    </row>
    <row r="131" spans="1:9" ht="13.5" thickBot="1">
      <c r="A131" s="200"/>
      <c r="B131" s="256" t="s">
        <v>4</v>
      </c>
      <c r="C131" s="254" t="s">
        <v>12</v>
      </c>
      <c r="D131" s="257" t="s">
        <v>168</v>
      </c>
      <c r="E131" s="280"/>
      <c r="F131" s="44"/>
      <c r="G131" s="256" t="s">
        <v>4</v>
      </c>
      <c r="H131" s="254" t="s">
        <v>12</v>
      </c>
      <c r="I131" s="188" t="s">
        <v>168</v>
      </c>
    </row>
    <row r="132" spans="1:9" ht="12.75">
      <c r="A132" s="204" t="s">
        <v>13</v>
      </c>
      <c r="B132" s="205">
        <v>1577.4</v>
      </c>
      <c r="C132" s="206">
        <v>3680.4</v>
      </c>
      <c r="D132" s="266">
        <f>+C132/B132-1</f>
        <v>1.3332065424115633</v>
      </c>
      <c r="E132" s="280"/>
      <c r="F132" s="275" t="s">
        <v>13</v>
      </c>
      <c r="G132" s="205">
        <v>176.4</v>
      </c>
      <c r="H132" s="206">
        <v>254.17280000000002</v>
      </c>
      <c r="I132" s="240">
        <f>+H132/G132-1</f>
        <v>0.4408888888888889</v>
      </c>
    </row>
    <row r="133" spans="1:9" ht="12.75">
      <c r="A133" s="196" t="s">
        <v>14</v>
      </c>
      <c r="B133" s="190">
        <v>1647.2</v>
      </c>
      <c r="C133" s="191">
        <v>3518</v>
      </c>
      <c r="D133" s="267">
        <f>+C133/B133-1</f>
        <v>1.135745507527926</v>
      </c>
      <c r="E133" s="280"/>
      <c r="F133" s="276" t="s">
        <v>14</v>
      </c>
      <c r="G133" s="190">
        <v>420.8</v>
      </c>
      <c r="H133" s="191">
        <v>653.5871999999999</v>
      </c>
      <c r="I133" s="197">
        <f>+H133/G133-1</f>
        <v>0.5532015209125474</v>
      </c>
    </row>
    <row r="134" spans="1:9" ht="13.5" thickBot="1">
      <c r="A134" s="189" t="s">
        <v>16</v>
      </c>
      <c r="B134" s="190">
        <v>459.2</v>
      </c>
      <c r="C134" s="191">
        <v>737</v>
      </c>
      <c r="D134" s="267">
        <f>+C134/B134-1</f>
        <v>0.6049651567944252</v>
      </c>
      <c r="E134" s="280"/>
      <c r="F134" s="277" t="s">
        <v>29</v>
      </c>
      <c r="G134" s="208">
        <v>597.2</v>
      </c>
      <c r="H134" s="209">
        <v>907.76</v>
      </c>
      <c r="I134" s="210">
        <f>+H134/G134-1</f>
        <v>0.5200267916945744</v>
      </c>
    </row>
    <row r="135" spans="1:9" ht="12.75">
      <c r="A135" s="189" t="s">
        <v>17</v>
      </c>
      <c r="B135" s="190">
        <v>0</v>
      </c>
      <c r="C135" s="191">
        <v>75</v>
      </c>
      <c r="D135" s="267"/>
      <c r="E135" s="280"/>
      <c r="F135" s="230"/>
      <c r="G135" s="80"/>
      <c r="H135" s="80"/>
      <c r="I135" s="231"/>
    </row>
    <row r="136" spans="1:9" ht="13.5" thickBot="1">
      <c r="A136" s="207" t="s">
        <v>29</v>
      </c>
      <c r="B136" s="208">
        <v>3683.8</v>
      </c>
      <c r="C136" s="209">
        <v>8010.4</v>
      </c>
      <c r="D136" s="268">
        <f>+C136/B136-1</f>
        <v>1.1744937293012647</v>
      </c>
      <c r="E136" s="280"/>
      <c r="F136" s="80"/>
      <c r="G136" s="80"/>
      <c r="H136" s="80"/>
      <c r="I136" s="231"/>
    </row>
    <row r="137" spans="1:9" ht="12.75">
      <c r="A137" s="230"/>
      <c r="B137" s="80"/>
      <c r="C137" s="80"/>
      <c r="D137" s="212"/>
      <c r="E137" s="280"/>
      <c r="G137" s="80"/>
      <c r="H137" s="80"/>
      <c r="I137" s="241"/>
    </row>
    <row r="138" spans="1:5" ht="12.75">
      <c r="A138" s="80"/>
      <c r="B138" s="80"/>
      <c r="C138" s="80"/>
      <c r="D138" s="80"/>
      <c r="E138" s="280"/>
    </row>
    <row r="139" spans="1:6" ht="15.75">
      <c r="A139" s="218" t="s">
        <v>158</v>
      </c>
      <c r="B139" s="80"/>
      <c r="C139" s="80"/>
      <c r="D139" s="80"/>
      <c r="E139" s="280"/>
      <c r="F139" s="218" t="s">
        <v>158</v>
      </c>
    </row>
    <row r="140" spans="1:5" ht="13.5" thickBot="1">
      <c r="A140" s="80"/>
      <c r="E140" s="280"/>
    </row>
    <row r="141" spans="1:9" ht="12.75">
      <c r="A141" s="80"/>
      <c r="B141" s="255" t="s">
        <v>0</v>
      </c>
      <c r="C141" s="253" t="s">
        <v>92</v>
      </c>
      <c r="D141" s="265" t="s">
        <v>167</v>
      </c>
      <c r="E141" s="280"/>
      <c r="F141" s="80"/>
      <c r="G141" s="255" t="s">
        <v>0</v>
      </c>
      <c r="H141" s="253" t="s">
        <v>92</v>
      </c>
      <c r="I141" s="199" t="s">
        <v>167</v>
      </c>
    </row>
    <row r="142" spans="1:9" ht="13.5" thickBot="1">
      <c r="A142" s="80"/>
      <c r="B142" s="256" t="s">
        <v>4</v>
      </c>
      <c r="C142" s="254" t="s">
        <v>12</v>
      </c>
      <c r="D142" s="257" t="s">
        <v>168</v>
      </c>
      <c r="E142" s="280"/>
      <c r="F142" s="80"/>
      <c r="G142" s="256" t="s">
        <v>4</v>
      </c>
      <c r="H142" s="254" t="s">
        <v>12</v>
      </c>
      <c r="I142" s="188" t="s">
        <v>168</v>
      </c>
    </row>
    <row r="143" spans="1:9" ht="12.75">
      <c r="A143" s="228" t="s">
        <v>148</v>
      </c>
      <c r="B143" s="220">
        <v>832</v>
      </c>
      <c r="C143" s="221">
        <v>1832.5515564571429</v>
      </c>
      <c r="D143" s="258">
        <f>+C143/B143-1</f>
        <v>1.2025860053571429</v>
      </c>
      <c r="E143" s="280"/>
      <c r="F143" s="275" t="s">
        <v>148</v>
      </c>
      <c r="G143" s="220">
        <v>125</v>
      </c>
      <c r="H143" s="221">
        <v>215</v>
      </c>
      <c r="I143" s="250">
        <f>+H143/G143-1</f>
        <v>0.72</v>
      </c>
    </row>
    <row r="144" spans="1:9" ht="13.5" thickBot="1">
      <c r="A144" s="193" t="s">
        <v>151</v>
      </c>
      <c r="B144" s="194">
        <v>246</v>
      </c>
      <c r="C144" s="195">
        <v>703</v>
      </c>
      <c r="D144" s="259">
        <f>+C144/B144-1</f>
        <v>1.8577235772357725</v>
      </c>
      <c r="E144" s="280"/>
      <c r="F144" s="277" t="s">
        <v>152</v>
      </c>
      <c r="G144" s="223">
        <v>125</v>
      </c>
      <c r="H144" s="224">
        <v>215</v>
      </c>
      <c r="I144" s="252">
        <f>+H144/G144-1</f>
        <v>0.72</v>
      </c>
    </row>
    <row r="145" spans="1:7" ht="12.75">
      <c r="A145" s="193" t="s">
        <v>149</v>
      </c>
      <c r="B145" s="194">
        <v>0</v>
      </c>
      <c r="C145" s="195">
        <v>15</v>
      </c>
      <c r="D145" s="259"/>
      <c r="E145" s="280"/>
      <c r="F145" s="81"/>
      <c r="G145" s="81"/>
    </row>
    <row r="146" spans="1:7" ht="13.5" thickBot="1">
      <c r="A146" s="229" t="s">
        <v>152</v>
      </c>
      <c r="B146" s="223">
        <v>1078</v>
      </c>
      <c r="C146" s="224">
        <v>2550.551556457143</v>
      </c>
      <c r="D146" s="260">
        <f>+C146/B146-1</f>
        <v>1.3660032991253646</v>
      </c>
      <c r="E146" s="280"/>
      <c r="F146" s="81"/>
      <c r="G146" s="81"/>
    </row>
  </sheetData>
  <printOptions horizontalCentered="1"/>
  <pageMargins left="0.25" right="0.25" top="0.91" bottom="0.31" header="0.17" footer="0.18"/>
  <pageSetup firstPageNumber="8" useFirstPageNumber="1" horizontalDpi="600" verticalDpi="600" orientation="portrait" r:id="rId2"/>
  <headerFooter alignWithMargins="0">
    <oddHeader>&amp;C&amp;"Arial,Bold"&amp;14Degree and FTE Plans
Comparison of Actual 2004-05
To Planned 2012-13</oddHeader>
    <oddFooter>&amp;C&amp;P</oddFooter>
  </headerFooter>
  <rowBreaks count="2" manualBreakCount="2">
    <brk id="52" max="8" man="1"/>
    <brk id="101" max="8" man="1"/>
  </rowBreak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75" zoomScaleNormal="75" workbookViewId="0" topLeftCell="A1">
      <selection activeCell="A1" sqref="A1:D21"/>
    </sheetView>
  </sheetViews>
  <sheetFormatPr defaultColWidth="9.140625" defaultRowHeight="12.75"/>
  <cols>
    <col min="1" max="1" width="14.421875" style="0" customWidth="1"/>
    <col min="4" max="4" width="11.57421875" style="0" bestFit="1" customWidth="1"/>
  </cols>
  <sheetData>
    <row r="1" spans="1:8" ht="15.75">
      <c r="A1" s="198" t="s">
        <v>78</v>
      </c>
      <c r="B1" s="44"/>
      <c r="C1" s="80"/>
      <c r="D1" s="80"/>
      <c r="E1" s="80"/>
      <c r="F1" s="80"/>
      <c r="G1" s="80"/>
      <c r="H1" s="80"/>
    </row>
    <row r="2" spans="1:8" ht="15.75">
      <c r="A2" s="198"/>
      <c r="B2" s="44"/>
      <c r="C2" s="80"/>
      <c r="D2" s="80"/>
      <c r="E2" s="80"/>
      <c r="F2" s="80"/>
      <c r="G2" s="80"/>
      <c r="H2" s="80"/>
    </row>
    <row r="3" spans="1:8" ht="15.75">
      <c r="A3" s="198" t="s">
        <v>157</v>
      </c>
      <c r="B3" s="44"/>
      <c r="C3" s="80"/>
      <c r="D3" s="177"/>
      <c r="E3" s="80"/>
      <c r="F3" s="80"/>
      <c r="G3" s="80"/>
      <c r="H3" s="80"/>
    </row>
    <row r="4" spans="2:8" ht="13.5" thickBot="1">
      <c r="B4" s="44"/>
      <c r="C4" s="80"/>
      <c r="D4" s="241"/>
      <c r="E4" s="80"/>
      <c r="F4" s="80"/>
      <c r="G4" s="80"/>
      <c r="H4" s="80"/>
    </row>
    <row r="5" spans="1:8" ht="12.75">
      <c r="A5" s="200"/>
      <c r="B5" s="201" t="s">
        <v>0</v>
      </c>
      <c r="C5" s="202" t="s">
        <v>92</v>
      </c>
      <c r="D5" s="199" t="s">
        <v>167</v>
      </c>
      <c r="E5" s="80"/>
      <c r="F5" s="80"/>
      <c r="G5" s="80"/>
      <c r="H5" s="80"/>
    </row>
    <row r="6" spans="1:8" ht="13.5" thickBot="1">
      <c r="A6" s="200"/>
      <c r="B6" s="203" t="s">
        <v>4</v>
      </c>
      <c r="C6" s="186" t="s">
        <v>12</v>
      </c>
      <c r="D6" s="188" t="s">
        <v>168</v>
      </c>
      <c r="E6" s="80"/>
      <c r="F6" s="80"/>
      <c r="G6" s="80"/>
      <c r="H6" s="80"/>
    </row>
    <row r="7" spans="1:8" ht="12.75">
      <c r="A7" s="204" t="s">
        <v>13</v>
      </c>
      <c r="B7" s="205">
        <v>3743</v>
      </c>
      <c r="C7" s="206">
        <v>5247</v>
      </c>
      <c r="D7" s="240">
        <f>+C7/B7-1</f>
        <v>0.40181672455249795</v>
      </c>
      <c r="E7" s="80"/>
      <c r="F7" s="80"/>
      <c r="G7" s="80"/>
      <c r="H7" s="80"/>
    </row>
    <row r="8" spans="1:8" ht="12.75">
      <c r="A8" s="196" t="s">
        <v>14</v>
      </c>
      <c r="B8" s="190">
        <v>4492.1</v>
      </c>
      <c r="C8" s="191">
        <v>6282</v>
      </c>
      <c r="D8" s="197">
        <f>+C8/B8-1</f>
        <v>0.3984550655595378</v>
      </c>
      <c r="E8" s="80"/>
      <c r="F8" s="80"/>
      <c r="G8" s="80"/>
      <c r="H8" s="80"/>
    </row>
    <row r="9" spans="1:8" ht="12.75">
      <c r="A9" s="189" t="s">
        <v>16</v>
      </c>
      <c r="B9" s="190">
        <v>869.9</v>
      </c>
      <c r="C9" s="191">
        <v>1104</v>
      </c>
      <c r="D9" s="197">
        <f>+C9/B9-1</f>
        <v>0.26911139211403623</v>
      </c>
      <c r="E9" s="80"/>
      <c r="F9" s="80"/>
      <c r="G9" s="80"/>
      <c r="H9" s="80"/>
    </row>
    <row r="10" spans="1:8" ht="12.75">
      <c r="A10" s="189" t="s">
        <v>17</v>
      </c>
      <c r="B10" s="190">
        <v>38.4</v>
      </c>
      <c r="C10" s="191">
        <v>83</v>
      </c>
      <c r="D10" s="197">
        <f>+C10/B10-1</f>
        <v>1.1614583333333335</v>
      </c>
      <c r="E10" s="80"/>
      <c r="F10" s="80"/>
      <c r="G10" s="80"/>
      <c r="H10" s="80"/>
    </row>
    <row r="11" spans="1:8" ht="13.5" thickBot="1">
      <c r="A11" s="207" t="s">
        <v>29</v>
      </c>
      <c r="B11" s="208">
        <v>9143.4</v>
      </c>
      <c r="C11" s="209">
        <v>12716</v>
      </c>
      <c r="D11" s="210">
        <f>+C11/B11-1</f>
        <v>0.39072992541067886</v>
      </c>
      <c r="E11" s="80"/>
      <c r="F11" s="80"/>
      <c r="G11" s="80"/>
      <c r="H11" s="80"/>
    </row>
    <row r="12" spans="1:8" ht="12.75">
      <c r="A12" s="230"/>
      <c r="B12" s="80"/>
      <c r="C12" s="80"/>
      <c r="D12" s="212"/>
      <c r="E12" s="80"/>
      <c r="F12" s="80"/>
      <c r="G12" s="80"/>
      <c r="H12" s="80"/>
    </row>
    <row r="13" spans="1:8" ht="12.75">
      <c r="A13" s="80"/>
      <c r="B13" s="80"/>
      <c r="C13" s="80"/>
      <c r="D13" s="80"/>
      <c r="E13" s="80"/>
      <c r="F13" s="80"/>
      <c r="G13" s="80"/>
      <c r="H13" s="80"/>
    </row>
    <row r="14" spans="1:8" ht="16.5" thickBot="1">
      <c r="A14" s="218" t="s">
        <v>158</v>
      </c>
      <c r="B14" s="80"/>
      <c r="C14" s="80"/>
      <c r="D14" s="80"/>
      <c r="E14" s="80"/>
      <c r="F14" s="80"/>
      <c r="G14" s="80"/>
      <c r="H14" s="80"/>
    </row>
    <row r="15" spans="1:8" ht="13.5" thickBot="1">
      <c r="A15" s="80"/>
      <c r="B15" s="235" t="s">
        <v>0</v>
      </c>
      <c r="C15" s="235" t="s">
        <v>92</v>
      </c>
      <c r="D15" s="212"/>
      <c r="E15" s="80"/>
      <c r="F15" s="80"/>
      <c r="G15" s="80"/>
      <c r="H15" s="80"/>
    </row>
    <row r="16" spans="1:8" ht="13.5" thickBot="1">
      <c r="A16" s="80"/>
      <c r="B16" s="236" t="s">
        <v>4</v>
      </c>
      <c r="C16" s="15" t="s">
        <v>12</v>
      </c>
      <c r="D16" s="80"/>
      <c r="E16" s="80"/>
      <c r="F16" s="80"/>
      <c r="G16" s="80"/>
      <c r="H16" s="80"/>
    </row>
    <row r="17" spans="1:8" ht="13.5" thickBot="1">
      <c r="A17" s="80"/>
      <c r="B17" s="244"/>
      <c r="C17" s="245"/>
      <c r="D17" s="80"/>
      <c r="E17" s="80"/>
      <c r="F17" s="80"/>
      <c r="G17" s="80"/>
      <c r="H17" s="80"/>
    </row>
    <row r="18" spans="1:8" ht="12.75">
      <c r="A18" s="228" t="s">
        <v>148</v>
      </c>
      <c r="B18" s="220">
        <v>2256</v>
      </c>
      <c r="C18" s="221">
        <v>3187</v>
      </c>
      <c r="D18" s="222" t="e">
        <f>+C18/#REF!</f>
        <v>#REF!</v>
      </c>
      <c r="E18" s="80"/>
      <c r="F18" s="80"/>
      <c r="G18" s="80"/>
      <c r="H18" s="80"/>
    </row>
    <row r="19" spans="1:8" ht="12.75">
      <c r="A19" s="193" t="s">
        <v>151</v>
      </c>
      <c r="B19" s="194">
        <v>618</v>
      </c>
      <c r="C19" s="195">
        <v>866</v>
      </c>
      <c r="D19" s="192" t="e">
        <f>+C19/#REF!</f>
        <v>#REF!</v>
      </c>
      <c r="E19" s="80"/>
      <c r="F19" s="80"/>
      <c r="G19" s="80"/>
      <c r="H19" s="80"/>
    </row>
    <row r="20" spans="1:8" ht="12.75">
      <c r="A20" s="193" t="s">
        <v>149</v>
      </c>
      <c r="B20" s="194">
        <v>12</v>
      </c>
      <c r="C20" s="195">
        <v>51</v>
      </c>
      <c r="D20" s="192" t="e">
        <f>+C20/#REF!</f>
        <v>#REF!</v>
      </c>
      <c r="E20" s="80"/>
      <c r="F20" s="80"/>
      <c r="G20" s="80"/>
      <c r="H20" s="80"/>
    </row>
    <row r="21" spans="1:8" ht="13.5" thickBot="1">
      <c r="A21" s="229" t="s">
        <v>152</v>
      </c>
      <c r="B21" s="223">
        <v>2886</v>
      </c>
      <c r="C21" s="224">
        <v>4104</v>
      </c>
      <c r="D21" s="225" t="e">
        <f>+C21/#REF!</f>
        <v>#REF!</v>
      </c>
      <c r="E21" s="80"/>
      <c r="F21" s="80"/>
      <c r="G21" s="80"/>
      <c r="H21" s="80"/>
    </row>
    <row r="22" spans="1:8" ht="12.75">
      <c r="A22" s="230"/>
      <c r="B22" s="80"/>
      <c r="C22" s="80"/>
      <c r="D22" s="80"/>
      <c r="E22" s="80"/>
      <c r="F22" s="80"/>
      <c r="G22" s="80"/>
      <c r="H22" s="80"/>
    </row>
    <row r="23" spans="1:8" ht="12.75">
      <c r="A23" s="230"/>
      <c r="B23" s="80"/>
      <c r="C23" s="80"/>
      <c r="D23" s="80"/>
      <c r="E23" s="80"/>
      <c r="F23" s="80"/>
      <c r="G23" s="80"/>
      <c r="H23" s="80"/>
    </row>
    <row r="24" spans="1:8" ht="15.75">
      <c r="A24" s="218" t="s">
        <v>159</v>
      </c>
      <c r="B24" s="80"/>
      <c r="C24" s="80"/>
      <c r="D24" s="80"/>
      <c r="E24" s="80"/>
      <c r="F24" s="80"/>
      <c r="G24" s="80"/>
      <c r="H24" s="80"/>
    </row>
    <row r="25" spans="1:8" ht="12.75">
      <c r="A25" s="80"/>
      <c r="B25" s="80"/>
      <c r="C25" s="80"/>
      <c r="D25" s="80"/>
      <c r="E25" s="80"/>
      <c r="F25" s="80"/>
      <c r="G25" s="80"/>
      <c r="H25" s="80"/>
    </row>
    <row r="26" spans="1:8" ht="12.75">
      <c r="A26" s="80"/>
      <c r="B26" s="80"/>
      <c r="C26" s="80"/>
      <c r="D26" s="80"/>
      <c r="E26" s="80"/>
      <c r="F26" s="80"/>
      <c r="G26" s="80"/>
      <c r="H26" s="80"/>
    </row>
    <row r="27" spans="1:8" ht="12.75">
      <c r="A27" s="80"/>
      <c r="B27" s="80"/>
      <c r="C27" s="80"/>
      <c r="D27" s="80"/>
      <c r="E27" s="80"/>
      <c r="F27" s="80"/>
      <c r="G27" s="80"/>
      <c r="H27" s="80"/>
    </row>
    <row r="28" spans="1:8" ht="12.75">
      <c r="A28" s="80"/>
      <c r="B28" s="80"/>
      <c r="C28" s="80"/>
      <c r="D28" s="80"/>
      <c r="E28" s="80"/>
      <c r="F28" s="80"/>
      <c r="G28" s="80"/>
      <c r="H28" s="80"/>
    </row>
    <row r="29" spans="1:8" ht="12.75">
      <c r="A29" s="80"/>
      <c r="B29" s="80"/>
      <c r="C29" s="80"/>
      <c r="D29" s="80"/>
      <c r="E29" s="80"/>
      <c r="F29" s="80"/>
      <c r="G29" s="80"/>
      <c r="H29" s="80"/>
    </row>
    <row r="30" spans="1:8" ht="12.75">
      <c r="A30" s="80"/>
      <c r="B30" s="80"/>
      <c r="C30" s="80"/>
      <c r="D30" s="80"/>
      <c r="E30" s="80"/>
      <c r="F30" s="80"/>
      <c r="G30" s="80"/>
      <c r="H30" s="80"/>
    </row>
    <row r="31" spans="1:8" ht="12.75">
      <c r="A31" s="80"/>
      <c r="B31" s="80"/>
      <c r="C31" s="80"/>
      <c r="D31" s="80"/>
      <c r="E31" s="80"/>
      <c r="F31" s="80"/>
      <c r="G31" s="80"/>
      <c r="H31" s="80"/>
    </row>
    <row r="32" spans="1:8" ht="12.75">
      <c r="A32" s="80"/>
      <c r="B32" s="80"/>
      <c r="C32" s="80"/>
      <c r="D32" s="80"/>
      <c r="E32" s="80"/>
      <c r="F32" s="80"/>
      <c r="G32" s="80"/>
      <c r="H32" s="80"/>
    </row>
    <row r="33" spans="1:8" ht="12.75">
      <c r="A33" s="80"/>
      <c r="B33" s="80"/>
      <c r="C33" s="80"/>
      <c r="D33" s="80"/>
      <c r="E33" s="80"/>
      <c r="F33" s="80"/>
      <c r="G33" s="80"/>
      <c r="H33" s="80"/>
    </row>
    <row r="34" spans="1:8" ht="12.75">
      <c r="A34" s="80"/>
      <c r="B34" s="80"/>
      <c r="C34" s="80"/>
      <c r="D34" s="80"/>
      <c r="E34" s="80"/>
      <c r="F34" s="80"/>
      <c r="G34" s="80"/>
      <c r="H34" s="80"/>
    </row>
    <row r="35" spans="1:8" ht="12.75">
      <c r="A35" s="80"/>
      <c r="B35" s="80"/>
      <c r="C35" s="80"/>
      <c r="D35" s="80"/>
      <c r="E35" s="80"/>
      <c r="F35" s="80"/>
      <c r="G35" s="80"/>
      <c r="H35" s="80"/>
    </row>
    <row r="36" spans="1:8" ht="12.75">
      <c r="A36" s="80"/>
      <c r="B36" s="80"/>
      <c r="C36" s="80"/>
      <c r="D36" s="80"/>
      <c r="E36" s="80"/>
      <c r="F36" s="80"/>
      <c r="G36" s="80"/>
      <c r="H36" s="80"/>
    </row>
    <row r="37" spans="1:8" ht="12.75">
      <c r="A37" s="80"/>
      <c r="B37" s="80"/>
      <c r="C37" s="80"/>
      <c r="D37" s="80"/>
      <c r="E37" s="80"/>
      <c r="F37" s="80"/>
      <c r="G37" s="80"/>
      <c r="H37" s="80"/>
    </row>
    <row r="38" spans="1:8" ht="12.75">
      <c r="A38" s="80"/>
      <c r="B38" s="80"/>
      <c r="C38" s="80"/>
      <c r="D38" s="80"/>
      <c r="E38" s="80"/>
      <c r="F38" s="80"/>
      <c r="G38" s="80"/>
      <c r="H38" s="80"/>
    </row>
    <row r="39" spans="1:8" ht="12.75">
      <c r="A39" s="80"/>
      <c r="B39" s="80"/>
      <c r="C39" s="80"/>
      <c r="D39" s="80"/>
      <c r="E39" s="80"/>
      <c r="F39" s="80"/>
      <c r="G39" s="80"/>
      <c r="H39" s="80"/>
    </row>
    <row r="40" spans="1:8" ht="12.75">
      <c r="A40" s="80"/>
      <c r="B40" s="80"/>
      <c r="C40" s="80"/>
      <c r="D40" s="80"/>
      <c r="E40" s="80"/>
      <c r="F40" s="80"/>
      <c r="G40" s="80"/>
      <c r="H40" s="80"/>
    </row>
    <row r="41" spans="1:8" ht="12.75">
      <c r="A41" s="80"/>
      <c r="B41" s="80"/>
      <c r="C41" s="80"/>
      <c r="D41" s="80"/>
      <c r="E41" s="80"/>
      <c r="F41" s="80"/>
      <c r="G41" s="80"/>
      <c r="H41" s="80"/>
    </row>
    <row r="42" spans="1:8" ht="12.75">
      <c r="A42" s="80"/>
      <c r="B42" s="80"/>
      <c r="C42" s="80"/>
      <c r="D42" s="80"/>
      <c r="E42" s="80"/>
      <c r="F42" s="80"/>
      <c r="G42" s="80"/>
      <c r="H42" s="80"/>
    </row>
    <row r="43" spans="1:8" ht="12.75">
      <c r="A43" s="80"/>
      <c r="B43" s="80"/>
      <c r="C43" s="80"/>
      <c r="D43" s="80"/>
      <c r="E43" s="80"/>
      <c r="F43" s="80"/>
      <c r="G43" s="80"/>
      <c r="H43" s="80"/>
    </row>
    <row r="44" spans="1:8" ht="12.75">
      <c r="A44" s="80"/>
      <c r="B44" s="80"/>
      <c r="C44" s="80"/>
      <c r="D44" s="80"/>
      <c r="E44" s="80"/>
      <c r="F44" s="80"/>
      <c r="G44" s="80"/>
      <c r="H44" s="80"/>
    </row>
    <row r="45" spans="1:8" ht="12.75">
      <c r="A45" s="80"/>
      <c r="B45" s="80"/>
      <c r="C45" s="80"/>
      <c r="D45" s="80"/>
      <c r="E45" s="80"/>
      <c r="F45" s="80"/>
      <c r="G45" s="80"/>
      <c r="H45" s="80"/>
    </row>
    <row r="46" spans="1:8" ht="12.75">
      <c r="A46" s="80"/>
      <c r="B46" s="80"/>
      <c r="C46" s="80"/>
      <c r="D46" s="80"/>
      <c r="E46" s="80"/>
      <c r="F46" s="80"/>
      <c r="G46" s="80"/>
      <c r="H46" s="80"/>
    </row>
  </sheetData>
  <printOptions horizontalCentered="1"/>
  <pageMargins left="0.2" right="0.2" top="0.23" bottom="0.46" header="0.17" footer="0.17"/>
  <pageSetup fitToHeight="1" fitToWidth="1"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75" zoomScaleNormal="75" workbookViewId="0" topLeftCell="A1">
      <selection activeCell="A1" sqref="A1:D21"/>
    </sheetView>
  </sheetViews>
  <sheetFormatPr defaultColWidth="9.140625" defaultRowHeight="12.75"/>
  <cols>
    <col min="1" max="1" width="14.421875" style="0" customWidth="1"/>
    <col min="4" max="4" width="11.57421875" style="0" bestFit="1" customWidth="1"/>
  </cols>
  <sheetData>
    <row r="1" spans="1:8" ht="15.75">
      <c r="A1" s="198" t="s">
        <v>81</v>
      </c>
      <c r="B1" s="44"/>
      <c r="C1" s="80"/>
      <c r="D1" s="80"/>
      <c r="E1" s="80"/>
      <c r="F1" s="80"/>
      <c r="G1" s="80"/>
      <c r="H1" s="80"/>
    </row>
    <row r="2" spans="1:8" ht="15.75">
      <c r="A2" s="198"/>
      <c r="B2" s="44"/>
      <c r="C2" s="80"/>
      <c r="D2" s="80"/>
      <c r="E2" s="80"/>
      <c r="F2" s="80"/>
      <c r="G2" s="80"/>
      <c r="H2" s="80"/>
    </row>
    <row r="3" spans="1:8" ht="15.75">
      <c r="A3" s="198" t="s">
        <v>157</v>
      </c>
      <c r="B3" s="44"/>
      <c r="C3" s="80"/>
      <c r="D3" s="177"/>
      <c r="E3" s="80"/>
      <c r="F3" s="80"/>
      <c r="G3" s="80"/>
      <c r="H3" s="80"/>
    </row>
    <row r="4" spans="2:8" ht="13.5" thickBot="1">
      <c r="B4" s="44"/>
      <c r="C4" s="80"/>
      <c r="D4" s="241"/>
      <c r="E4" s="80"/>
      <c r="F4" s="80"/>
      <c r="G4" s="80"/>
      <c r="H4" s="80"/>
    </row>
    <row r="5" spans="1:8" ht="12.75">
      <c r="A5" s="200"/>
      <c r="B5" s="201" t="s">
        <v>0</v>
      </c>
      <c r="C5" s="202" t="s">
        <v>92</v>
      </c>
      <c r="D5" s="199" t="s">
        <v>167</v>
      </c>
      <c r="E5" s="80"/>
      <c r="F5" s="80"/>
      <c r="G5" s="80"/>
      <c r="H5" s="80"/>
    </row>
    <row r="6" spans="1:8" ht="13.5" thickBot="1">
      <c r="A6" s="200"/>
      <c r="B6" s="203" t="s">
        <v>4</v>
      </c>
      <c r="C6" s="186" t="s">
        <v>12</v>
      </c>
      <c r="D6" s="188" t="s">
        <v>168</v>
      </c>
      <c r="E6" s="80"/>
      <c r="F6" s="80"/>
      <c r="G6" s="80"/>
      <c r="H6" s="80"/>
    </row>
    <row r="7" spans="1:8" ht="12.75">
      <c r="A7" s="204" t="s">
        <v>13</v>
      </c>
      <c r="B7" s="205">
        <v>1577.4</v>
      </c>
      <c r="C7" s="206">
        <v>3680.4</v>
      </c>
      <c r="D7" s="240">
        <f>+C7/B7-1</f>
        <v>1.3332065424115633</v>
      </c>
      <c r="E7" s="80"/>
      <c r="F7" s="80"/>
      <c r="G7" s="80"/>
      <c r="H7" s="80"/>
    </row>
    <row r="8" spans="1:8" ht="12.75">
      <c r="A8" s="196" t="s">
        <v>14</v>
      </c>
      <c r="B8" s="190">
        <v>1647.2</v>
      </c>
      <c r="C8" s="191">
        <v>3518</v>
      </c>
      <c r="D8" s="197">
        <f>+C8/B8-1</f>
        <v>1.135745507527926</v>
      </c>
      <c r="E8" s="80"/>
      <c r="F8" s="80"/>
      <c r="G8" s="80"/>
      <c r="H8" s="80"/>
    </row>
    <row r="9" spans="1:8" ht="12.75">
      <c r="A9" s="189" t="s">
        <v>16</v>
      </c>
      <c r="B9" s="190">
        <v>459.2</v>
      </c>
      <c r="C9" s="191">
        <v>737</v>
      </c>
      <c r="D9" s="197">
        <f>+C9/B9-1</f>
        <v>0.6049651567944252</v>
      </c>
      <c r="E9" s="80"/>
      <c r="F9" s="80"/>
      <c r="G9" s="80"/>
      <c r="H9" s="80"/>
    </row>
    <row r="10" spans="1:8" ht="12.75">
      <c r="A10" s="189" t="s">
        <v>17</v>
      </c>
      <c r="B10" s="190">
        <v>0</v>
      </c>
      <c r="C10" s="191">
        <v>75</v>
      </c>
      <c r="D10" s="197" t="e">
        <f>+C10/B10-1</f>
        <v>#DIV/0!</v>
      </c>
      <c r="E10" s="80"/>
      <c r="F10" s="80"/>
      <c r="G10" s="80"/>
      <c r="H10" s="80"/>
    </row>
    <row r="11" spans="1:8" ht="13.5" thickBot="1">
      <c r="A11" s="207" t="s">
        <v>29</v>
      </c>
      <c r="B11" s="208">
        <v>3683.8</v>
      </c>
      <c r="C11" s="209">
        <v>8010.4</v>
      </c>
      <c r="D11" s="210">
        <f>+C11/B11-1</f>
        <v>1.1744937293012647</v>
      </c>
      <c r="E11" s="80"/>
      <c r="F11" s="80"/>
      <c r="G11" s="80"/>
      <c r="H11" s="80"/>
    </row>
    <row r="12" spans="1:8" ht="12.75">
      <c r="A12" s="230"/>
      <c r="B12" s="80"/>
      <c r="C12" s="80"/>
      <c r="D12" s="212"/>
      <c r="E12" s="80"/>
      <c r="F12" s="80"/>
      <c r="G12" s="80"/>
      <c r="H12" s="80"/>
    </row>
    <row r="13" spans="1:8" ht="12.75">
      <c r="A13" s="80"/>
      <c r="B13" s="80"/>
      <c r="C13" s="80"/>
      <c r="D13" s="80"/>
      <c r="E13" s="80"/>
      <c r="F13" s="80"/>
      <c r="G13" s="80"/>
      <c r="H13" s="80"/>
    </row>
    <row r="14" spans="1:8" ht="16.5" thickBot="1">
      <c r="A14" s="218" t="s">
        <v>158</v>
      </c>
      <c r="B14" s="80"/>
      <c r="C14" s="80"/>
      <c r="D14" s="80"/>
      <c r="E14" s="80"/>
      <c r="F14" s="80"/>
      <c r="G14" s="80"/>
      <c r="H14" s="80"/>
    </row>
    <row r="15" spans="1:8" ht="13.5" thickBot="1">
      <c r="A15" s="80"/>
      <c r="B15" s="235" t="s">
        <v>0</v>
      </c>
      <c r="C15" s="235" t="s">
        <v>92</v>
      </c>
      <c r="D15" s="212"/>
      <c r="E15" s="80"/>
      <c r="F15" s="80"/>
      <c r="G15" s="80"/>
      <c r="H15" s="80"/>
    </row>
    <row r="16" spans="1:8" ht="13.5" thickBot="1">
      <c r="A16" s="80"/>
      <c r="B16" s="236" t="s">
        <v>4</v>
      </c>
      <c r="C16" s="15" t="s">
        <v>12</v>
      </c>
      <c r="D16" s="80"/>
      <c r="E16" s="80"/>
      <c r="F16" s="80"/>
      <c r="G16" s="80"/>
      <c r="H16" s="80"/>
    </row>
    <row r="17" spans="1:8" ht="13.5" thickBot="1">
      <c r="A17" s="80"/>
      <c r="B17" s="244"/>
      <c r="C17" s="245"/>
      <c r="D17" s="80"/>
      <c r="E17" s="80"/>
      <c r="F17" s="80"/>
      <c r="G17" s="80"/>
      <c r="H17" s="80"/>
    </row>
    <row r="18" spans="1:8" ht="12.75">
      <c r="A18" s="228" t="s">
        <v>148</v>
      </c>
      <c r="B18" s="220">
        <v>832</v>
      </c>
      <c r="C18" s="221">
        <v>1832.5515564571429</v>
      </c>
      <c r="D18" s="222" t="e">
        <f>+C18/#REF!</f>
        <v>#REF!</v>
      </c>
      <c r="E18" s="80"/>
      <c r="F18" s="80"/>
      <c r="G18" s="80"/>
      <c r="H18" s="80"/>
    </row>
    <row r="19" spans="1:8" ht="12.75">
      <c r="A19" s="193" t="s">
        <v>151</v>
      </c>
      <c r="B19" s="194">
        <v>246</v>
      </c>
      <c r="C19" s="195">
        <v>703</v>
      </c>
      <c r="D19" s="192" t="e">
        <f>+C19/#REF!</f>
        <v>#REF!</v>
      </c>
      <c r="E19" s="80"/>
      <c r="F19" s="80"/>
      <c r="G19" s="80"/>
      <c r="H19" s="80"/>
    </row>
    <row r="20" spans="1:8" ht="12.75">
      <c r="A20" s="193" t="s">
        <v>149</v>
      </c>
      <c r="B20" s="194">
        <v>0</v>
      </c>
      <c r="C20" s="195">
        <v>15</v>
      </c>
      <c r="D20" s="192" t="e">
        <f>+C20/#REF!</f>
        <v>#REF!</v>
      </c>
      <c r="E20" s="80"/>
      <c r="F20" s="80"/>
      <c r="G20" s="80"/>
      <c r="H20" s="80"/>
    </row>
    <row r="21" spans="1:8" ht="13.5" thickBot="1">
      <c r="A21" s="229" t="s">
        <v>152</v>
      </c>
      <c r="B21" s="223">
        <v>1078</v>
      </c>
      <c r="C21" s="224">
        <v>2550.551556457143</v>
      </c>
      <c r="D21" s="225" t="e">
        <f>+C21/#REF!</f>
        <v>#REF!</v>
      </c>
      <c r="E21" s="80"/>
      <c r="F21" s="80"/>
      <c r="G21" s="80"/>
      <c r="H21" s="80"/>
    </row>
    <row r="22" spans="1:8" ht="12.75">
      <c r="A22" s="230"/>
      <c r="B22" s="80"/>
      <c r="C22" s="80"/>
      <c r="D22" s="80"/>
      <c r="E22" s="80"/>
      <c r="F22" s="80"/>
      <c r="G22" s="80"/>
      <c r="H22" s="80"/>
    </row>
    <row r="23" spans="1:8" ht="12.75">
      <c r="A23" s="230"/>
      <c r="B23" s="80"/>
      <c r="C23" s="80"/>
      <c r="D23" s="80"/>
      <c r="E23" s="80"/>
      <c r="F23" s="80"/>
      <c r="G23" s="80"/>
      <c r="H23" s="80"/>
    </row>
    <row r="24" spans="1:8" ht="15.75">
      <c r="A24" s="218" t="s">
        <v>159</v>
      </c>
      <c r="B24" s="80"/>
      <c r="C24" s="80"/>
      <c r="D24" s="80"/>
      <c r="E24" s="80"/>
      <c r="F24" s="80"/>
      <c r="G24" s="80"/>
      <c r="H24" s="80"/>
    </row>
    <row r="25" spans="1:8" ht="12.75">
      <c r="A25" s="80"/>
      <c r="B25" s="80"/>
      <c r="C25" s="80"/>
      <c r="D25" s="80"/>
      <c r="E25" s="80"/>
      <c r="F25" s="80"/>
      <c r="G25" s="80"/>
      <c r="H25" s="80"/>
    </row>
    <row r="26" spans="1:8" ht="12.75">
      <c r="A26" s="80"/>
      <c r="B26" s="80"/>
      <c r="C26" s="80"/>
      <c r="D26" s="80"/>
      <c r="E26" s="80"/>
      <c r="F26" s="80"/>
      <c r="G26" s="80"/>
      <c r="H26" s="80"/>
    </row>
    <row r="27" spans="1:8" ht="12.75">
      <c r="A27" s="80"/>
      <c r="B27" s="80"/>
      <c r="C27" s="80"/>
      <c r="D27" s="80"/>
      <c r="E27" s="80"/>
      <c r="F27" s="80"/>
      <c r="G27" s="80"/>
      <c r="H27" s="80"/>
    </row>
    <row r="28" spans="1:8" ht="12.75">
      <c r="A28" s="80"/>
      <c r="B28" s="80"/>
      <c r="C28" s="80"/>
      <c r="D28" s="80"/>
      <c r="E28" s="80"/>
      <c r="F28" s="80"/>
      <c r="G28" s="80"/>
      <c r="H28" s="80"/>
    </row>
    <row r="29" spans="1:8" ht="12.75">
      <c r="A29" s="80"/>
      <c r="B29" s="80"/>
      <c r="C29" s="80"/>
      <c r="D29" s="80"/>
      <c r="E29" s="80"/>
      <c r="F29" s="80"/>
      <c r="G29" s="80"/>
      <c r="H29" s="80"/>
    </row>
    <row r="30" spans="1:8" ht="12.75">
      <c r="A30" s="80"/>
      <c r="B30" s="80"/>
      <c r="C30" s="80"/>
      <c r="D30" s="80"/>
      <c r="E30" s="80"/>
      <c r="F30" s="80"/>
      <c r="G30" s="80"/>
      <c r="H30" s="80"/>
    </row>
    <row r="31" spans="1:8" ht="12.75">
      <c r="A31" s="80"/>
      <c r="B31" s="80"/>
      <c r="C31" s="80"/>
      <c r="D31" s="80"/>
      <c r="E31" s="80"/>
      <c r="F31" s="80"/>
      <c r="G31" s="80"/>
      <c r="H31" s="80"/>
    </row>
    <row r="32" spans="1:8" ht="12.75">
      <c r="A32" s="80"/>
      <c r="B32" s="80"/>
      <c r="C32" s="80"/>
      <c r="D32" s="80"/>
      <c r="E32" s="80"/>
      <c r="F32" s="80"/>
      <c r="G32" s="80"/>
      <c r="H32" s="80"/>
    </row>
    <row r="33" spans="1:8" ht="12.75">
      <c r="A33" s="80"/>
      <c r="B33" s="80"/>
      <c r="C33" s="80"/>
      <c r="D33" s="80"/>
      <c r="E33" s="80"/>
      <c r="F33" s="80"/>
      <c r="G33" s="80"/>
      <c r="H33" s="80"/>
    </row>
    <row r="34" spans="1:8" ht="12.75">
      <c r="A34" s="80"/>
      <c r="B34" s="80"/>
      <c r="C34" s="80"/>
      <c r="D34" s="80"/>
      <c r="E34" s="80"/>
      <c r="F34" s="80"/>
      <c r="G34" s="80"/>
      <c r="H34" s="80"/>
    </row>
    <row r="35" spans="1:8" ht="12.75">
      <c r="A35" s="80"/>
      <c r="B35" s="80"/>
      <c r="C35" s="80"/>
      <c r="D35" s="80"/>
      <c r="E35" s="80"/>
      <c r="F35" s="80"/>
      <c r="G35" s="80"/>
      <c r="H35" s="80"/>
    </row>
    <row r="36" spans="1:8" ht="12.75">
      <c r="A36" s="80"/>
      <c r="B36" s="80"/>
      <c r="C36" s="80"/>
      <c r="D36" s="80"/>
      <c r="E36" s="80"/>
      <c r="F36" s="80"/>
      <c r="G36" s="80"/>
      <c r="H36" s="80"/>
    </row>
    <row r="37" spans="1:8" ht="12.75">
      <c r="A37" s="80"/>
      <c r="B37" s="80"/>
      <c r="C37" s="80"/>
      <c r="D37" s="80"/>
      <c r="E37" s="80"/>
      <c r="F37" s="80"/>
      <c r="G37" s="80"/>
      <c r="H37" s="80"/>
    </row>
    <row r="38" spans="1:8" ht="12.75">
      <c r="A38" s="80"/>
      <c r="B38" s="80"/>
      <c r="C38" s="80"/>
      <c r="D38" s="80"/>
      <c r="E38" s="80"/>
      <c r="F38" s="80"/>
      <c r="G38" s="80"/>
      <c r="H38" s="80"/>
    </row>
    <row r="39" spans="1:8" ht="12.75">
      <c r="A39" s="80"/>
      <c r="B39" s="80"/>
      <c r="C39" s="80"/>
      <c r="D39" s="80"/>
      <c r="E39" s="80"/>
      <c r="F39" s="80"/>
      <c r="G39" s="80"/>
      <c r="H39" s="80"/>
    </row>
    <row r="40" spans="1:8" ht="12.75">
      <c r="A40" s="80"/>
      <c r="B40" s="80"/>
      <c r="C40" s="80"/>
      <c r="D40" s="80"/>
      <c r="E40" s="80"/>
      <c r="F40" s="80"/>
      <c r="G40" s="80"/>
      <c r="H40" s="80"/>
    </row>
    <row r="41" spans="1:8" ht="12.75">
      <c r="A41" s="80"/>
      <c r="B41" s="80"/>
      <c r="C41" s="80"/>
      <c r="D41" s="80"/>
      <c r="E41" s="80"/>
      <c r="F41" s="80"/>
      <c r="G41" s="80"/>
      <c r="H41" s="80"/>
    </row>
    <row r="42" spans="1:8" ht="12.75">
      <c r="A42" s="80"/>
      <c r="B42" s="80"/>
      <c r="C42" s="80"/>
      <c r="D42" s="80"/>
      <c r="E42" s="80"/>
      <c r="F42" s="80"/>
      <c r="G42" s="80"/>
      <c r="H42" s="80"/>
    </row>
    <row r="43" spans="1:8" ht="12.75">
      <c r="A43" s="80"/>
      <c r="B43" s="80"/>
      <c r="C43" s="80"/>
      <c r="D43" s="80"/>
      <c r="E43" s="80"/>
      <c r="F43" s="80"/>
      <c r="G43" s="80"/>
      <c r="H43" s="80"/>
    </row>
    <row r="44" spans="1:8" ht="12.75">
      <c r="A44" s="80"/>
      <c r="B44" s="80"/>
      <c r="C44" s="80"/>
      <c r="D44" s="80"/>
      <c r="E44" s="80"/>
      <c r="F44" s="80"/>
      <c r="G44" s="80"/>
      <c r="H44" s="80"/>
    </row>
    <row r="45" spans="1:8" ht="12.75">
      <c r="A45" s="80"/>
      <c r="B45" s="80"/>
      <c r="C45" s="80"/>
      <c r="D45" s="80"/>
      <c r="E45" s="80"/>
      <c r="F45" s="80"/>
      <c r="G45" s="80"/>
      <c r="H45" s="80"/>
    </row>
    <row r="46" spans="1:8" ht="12.75">
      <c r="A46" s="80"/>
      <c r="B46" s="80"/>
      <c r="C46" s="80"/>
      <c r="D46" s="80"/>
      <c r="E46" s="80"/>
      <c r="F46" s="80"/>
      <c r="G46" s="80"/>
      <c r="H46" s="80"/>
    </row>
  </sheetData>
  <printOptions horizontalCentered="1"/>
  <pageMargins left="0.2" right="0.2" top="0.41" bottom="0.33" header="0.25" footer="0.21"/>
  <pageSetup fitToHeight="1" fitToWidth="1" horizontalDpi="600" verticalDpi="600" orientation="landscape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75" zoomScaleNormal="75" workbookViewId="0" topLeftCell="A1">
      <selection activeCell="A1" sqref="A1:D16"/>
    </sheetView>
  </sheetViews>
  <sheetFormatPr defaultColWidth="9.140625" defaultRowHeight="12.75"/>
  <cols>
    <col min="1" max="1" width="14.421875" style="0" customWidth="1"/>
    <col min="4" max="4" width="11.57421875" style="0" bestFit="1" customWidth="1"/>
  </cols>
  <sheetData>
    <row r="1" spans="1:8" ht="15.75">
      <c r="A1" s="198" t="s">
        <v>156</v>
      </c>
      <c r="B1" s="44"/>
      <c r="C1" s="80"/>
      <c r="D1" s="80"/>
      <c r="E1" s="80"/>
      <c r="F1" s="80"/>
      <c r="G1" s="80"/>
      <c r="H1" s="80"/>
    </row>
    <row r="2" spans="1:8" ht="15.75">
      <c r="A2" s="198"/>
      <c r="B2" s="44"/>
      <c r="C2" s="80"/>
      <c r="D2" s="80"/>
      <c r="E2" s="80"/>
      <c r="F2" s="80"/>
      <c r="G2" s="80"/>
      <c r="H2" s="80"/>
    </row>
    <row r="3" spans="1:8" ht="15.75">
      <c r="A3" s="198" t="s">
        <v>157</v>
      </c>
      <c r="B3" s="44"/>
      <c r="C3" s="80"/>
      <c r="D3" s="177"/>
      <c r="E3" s="80"/>
      <c r="F3" s="80"/>
      <c r="G3" s="80"/>
      <c r="H3" s="80"/>
    </row>
    <row r="4" spans="2:8" ht="13.5" thickBot="1">
      <c r="B4" s="44"/>
      <c r="C4" s="80"/>
      <c r="D4" s="241"/>
      <c r="E4" s="80"/>
      <c r="F4" s="80"/>
      <c r="G4" s="80"/>
      <c r="H4" s="80"/>
    </row>
    <row r="5" spans="1:8" ht="12.75">
      <c r="A5" s="44"/>
      <c r="B5" s="201" t="s">
        <v>0</v>
      </c>
      <c r="C5" s="202" t="s">
        <v>92</v>
      </c>
      <c r="D5" s="199" t="s">
        <v>167</v>
      </c>
      <c r="E5" s="80"/>
      <c r="F5" s="80"/>
      <c r="G5" s="80"/>
      <c r="H5" s="80"/>
    </row>
    <row r="6" spans="1:8" ht="13.5" thickBot="1">
      <c r="A6" s="44"/>
      <c r="B6" s="203" t="s">
        <v>4</v>
      </c>
      <c r="C6" s="186" t="s">
        <v>12</v>
      </c>
      <c r="D6" s="188" t="s">
        <v>168</v>
      </c>
      <c r="E6" s="80"/>
      <c r="F6" s="80"/>
      <c r="G6" s="80"/>
      <c r="H6" s="80"/>
    </row>
    <row r="7" spans="1:8" ht="12.75">
      <c r="A7" s="228" t="s">
        <v>13</v>
      </c>
      <c r="B7" s="205">
        <v>176.4</v>
      </c>
      <c r="C7" s="206">
        <v>254.17280000000002</v>
      </c>
      <c r="D7" s="240">
        <f>+C7/B7-1</f>
        <v>0.4408888888888889</v>
      </c>
      <c r="E7" s="80"/>
      <c r="F7" s="80"/>
      <c r="G7" s="80"/>
      <c r="H7" s="80"/>
    </row>
    <row r="8" spans="1:8" ht="12.75">
      <c r="A8" s="193" t="s">
        <v>14</v>
      </c>
      <c r="B8" s="190">
        <v>420.8</v>
      </c>
      <c r="C8" s="191">
        <v>653.5871999999999</v>
      </c>
      <c r="D8" s="197">
        <f>+C8/B8-1</f>
        <v>0.5532015209125474</v>
      </c>
      <c r="E8" s="80"/>
      <c r="F8" s="80"/>
      <c r="G8" s="80"/>
      <c r="H8" s="80"/>
    </row>
    <row r="9" spans="1:8" ht="13.5" thickBot="1">
      <c r="A9" s="229" t="s">
        <v>29</v>
      </c>
      <c r="B9" s="208">
        <v>597.2</v>
      </c>
      <c r="C9" s="209">
        <v>907.76</v>
      </c>
      <c r="D9" s="210">
        <f>+C9/B9-1</f>
        <v>0.5200267916945744</v>
      </c>
      <c r="E9" s="80"/>
      <c r="F9" s="80"/>
      <c r="G9" s="80"/>
      <c r="H9" s="80"/>
    </row>
    <row r="10" spans="1:8" ht="12.75">
      <c r="A10" s="230"/>
      <c r="B10" s="80"/>
      <c r="C10" s="80"/>
      <c r="D10" s="231"/>
      <c r="E10" s="80"/>
      <c r="F10" s="80"/>
      <c r="G10" s="80"/>
      <c r="H10" s="80"/>
    </row>
    <row r="11" spans="1:8" ht="13.5" thickBot="1">
      <c r="A11" s="80"/>
      <c r="B11" s="80"/>
      <c r="C11" s="80"/>
      <c r="D11" s="231"/>
      <c r="E11" s="80"/>
      <c r="F11" s="80"/>
      <c r="G11" s="80"/>
      <c r="H11" s="80"/>
    </row>
    <row r="12" spans="1:8" ht="16.5" thickBot="1">
      <c r="A12" s="218" t="s">
        <v>158</v>
      </c>
      <c r="B12" s="80"/>
      <c r="C12" s="80"/>
      <c r="D12" s="199" t="s">
        <v>165</v>
      </c>
      <c r="E12" s="80"/>
      <c r="F12" s="80"/>
      <c r="G12" s="80"/>
      <c r="H12" s="80"/>
    </row>
    <row r="13" spans="1:8" ht="12.75">
      <c r="A13" s="80"/>
      <c r="B13" s="201" t="s">
        <v>0</v>
      </c>
      <c r="C13" s="219" t="s">
        <v>92</v>
      </c>
      <c r="D13" s="187" t="s">
        <v>164</v>
      </c>
      <c r="E13" s="80"/>
      <c r="F13" s="80"/>
      <c r="G13" s="80"/>
      <c r="H13" s="80"/>
    </row>
    <row r="14" spans="1:8" ht="13.5" thickBot="1">
      <c r="A14" s="80"/>
      <c r="B14" s="203" t="s">
        <v>4</v>
      </c>
      <c r="C14" s="185" t="s">
        <v>12</v>
      </c>
      <c r="D14" s="188" t="s">
        <v>166</v>
      </c>
      <c r="E14" s="80"/>
      <c r="F14" s="80"/>
      <c r="G14" s="80"/>
      <c r="H14" s="80"/>
    </row>
    <row r="15" spans="1:8" ht="12.75">
      <c r="A15" s="228" t="s">
        <v>148</v>
      </c>
      <c r="B15" s="220">
        <v>125</v>
      </c>
      <c r="C15" s="221">
        <v>215</v>
      </c>
      <c r="D15" s="222" t="e">
        <f>+C15/#REF!</f>
        <v>#REF!</v>
      </c>
      <c r="E15" s="80"/>
      <c r="F15" s="80"/>
      <c r="G15" s="80"/>
      <c r="H15" s="80"/>
    </row>
    <row r="16" spans="1:8" ht="13.5" thickBot="1">
      <c r="A16" s="229" t="s">
        <v>152</v>
      </c>
      <c r="B16" s="223">
        <v>125</v>
      </c>
      <c r="C16" s="224">
        <v>215</v>
      </c>
      <c r="D16" s="225" t="e">
        <f>+C16/#REF!</f>
        <v>#REF!</v>
      </c>
      <c r="E16" s="80"/>
      <c r="F16" s="80"/>
      <c r="G16" s="80"/>
      <c r="H16" s="80"/>
    </row>
    <row r="17" spans="1:8" ht="12.75">
      <c r="A17" s="242"/>
      <c r="B17" s="179"/>
      <c r="C17" s="179"/>
      <c r="D17" s="243"/>
      <c r="E17" s="80"/>
      <c r="F17" s="80"/>
      <c r="G17" s="80"/>
      <c r="H17" s="80"/>
    </row>
    <row r="18" spans="1:8" ht="12.75">
      <c r="A18" s="230"/>
      <c r="B18" s="80"/>
      <c r="C18" s="80"/>
      <c r="D18" s="212"/>
      <c r="E18" s="80"/>
      <c r="F18" s="80"/>
      <c r="G18" s="80"/>
      <c r="H18" s="80"/>
    </row>
    <row r="19" spans="1:8" ht="12.75">
      <c r="A19" s="230"/>
      <c r="B19" s="80"/>
      <c r="C19" s="80"/>
      <c r="D19" s="212"/>
      <c r="E19" s="80"/>
      <c r="F19" s="80"/>
      <c r="G19" s="80"/>
      <c r="H19" s="80"/>
    </row>
    <row r="20" spans="1:8" ht="16.5" thickBot="1">
      <c r="A20" s="218" t="s">
        <v>159</v>
      </c>
      <c r="B20" s="80"/>
      <c r="C20" s="80"/>
      <c r="D20" s="212"/>
      <c r="E20" s="80"/>
      <c r="F20" s="80"/>
      <c r="G20" s="80"/>
      <c r="H20" s="80"/>
    </row>
    <row r="21" spans="1:8" ht="39" thickBot="1">
      <c r="A21" s="204" t="s">
        <v>153</v>
      </c>
      <c r="B21" s="232">
        <f>+B15/(B7+B8)</f>
        <v>0.2093101138647019</v>
      </c>
      <c r="C21" s="233">
        <f>+C15/(C7+C8)</f>
        <v>0.23684674363267824</v>
      </c>
      <c r="D21" s="212"/>
      <c r="E21" s="80"/>
      <c r="F21" s="80"/>
      <c r="G21" s="80"/>
      <c r="H21" s="80"/>
    </row>
    <row r="22" spans="1:8" ht="12.75">
      <c r="A22" s="230"/>
      <c r="B22" s="234"/>
      <c r="C22" s="234"/>
      <c r="D22" s="80"/>
      <c r="E22" s="80"/>
      <c r="F22" s="80"/>
      <c r="G22" s="80"/>
      <c r="H22" s="80"/>
    </row>
    <row r="23" spans="1:8" ht="12.75">
      <c r="A23" s="227"/>
      <c r="B23" s="80"/>
      <c r="C23" s="80"/>
      <c r="D23" s="80"/>
      <c r="E23" s="80"/>
      <c r="F23" s="80"/>
      <c r="G23" s="80"/>
      <c r="H23" s="80"/>
    </row>
    <row r="24" spans="1:8" ht="15.75">
      <c r="A24" s="218" t="s">
        <v>163</v>
      </c>
      <c r="B24" s="80"/>
      <c r="C24" s="80"/>
      <c r="D24" s="80"/>
      <c r="E24" s="80"/>
      <c r="F24" s="80"/>
      <c r="G24" s="80"/>
      <c r="H24" s="80"/>
    </row>
    <row r="25" spans="1:8" ht="12.75">
      <c r="A25" s="80"/>
      <c r="B25" s="80"/>
      <c r="C25" s="80"/>
      <c r="D25" s="80"/>
      <c r="E25" s="80"/>
      <c r="F25" s="80"/>
      <c r="G25" s="80"/>
      <c r="H25" s="80"/>
    </row>
    <row r="26" spans="1:8" ht="12.75">
      <c r="A26" s="80"/>
      <c r="B26" s="80"/>
      <c r="C26" s="80"/>
      <c r="D26" s="80"/>
      <c r="E26" s="80"/>
      <c r="F26" s="80"/>
      <c r="G26" s="80"/>
      <c r="H26" s="80"/>
    </row>
    <row r="27" spans="1:8" ht="12.75">
      <c r="A27" s="80"/>
      <c r="B27" s="80"/>
      <c r="C27" s="80"/>
      <c r="D27" s="80"/>
      <c r="E27" s="80"/>
      <c r="F27" s="80"/>
      <c r="G27" s="80"/>
      <c r="H27" s="80"/>
    </row>
    <row r="28" spans="1:8" ht="12.75">
      <c r="A28" s="80"/>
      <c r="B28" s="80"/>
      <c r="C28" s="80"/>
      <c r="D28" s="80"/>
      <c r="E28" s="80"/>
      <c r="F28" s="80"/>
      <c r="G28" s="80"/>
      <c r="H28" s="80"/>
    </row>
    <row r="29" spans="1:8" ht="12.75">
      <c r="A29" s="80"/>
      <c r="B29" s="80"/>
      <c r="C29" s="80"/>
      <c r="D29" s="80"/>
      <c r="E29" s="80"/>
      <c r="F29" s="80"/>
      <c r="G29" s="80"/>
      <c r="H29" s="80"/>
    </row>
    <row r="30" spans="1:8" ht="12.75">
      <c r="A30" s="80"/>
      <c r="B30" s="80"/>
      <c r="C30" s="80"/>
      <c r="D30" s="80"/>
      <c r="E30" s="80"/>
      <c r="F30" s="80"/>
      <c r="G30" s="80"/>
      <c r="H30" s="80"/>
    </row>
    <row r="31" spans="1:8" ht="12.75">
      <c r="A31" s="80"/>
      <c r="B31" s="80"/>
      <c r="C31" s="80"/>
      <c r="D31" s="80"/>
      <c r="E31" s="80"/>
      <c r="F31" s="80"/>
      <c r="G31" s="80"/>
      <c r="H31" s="80"/>
    </row>
    <row r="32" spans="1:8" ht="12.75">
      <c r="A32" s="80"/>
      <c r="B32" s="80"/>
      <c r="C32" s="80"/>
      <c r="D32" s="80"/>
      <c r="E32" s="80"/>
      <c r="F32" s="80"/>
      <c r="G32" s="80"/>
      <c r="H32" s="80"/>
    </row>
    <row r="33" spans="1:8" ht="12.75">
      <c r="A33" s="80"/>
      <c r="B33" s="80"/>
      <c r="C33" s="80"/>
      <c r="D33" s="80"/>
      <c r="E33" s="80"/>
      <c r="F33" s="80"/>
      <c r="G33" s="80"/>
      <c r="H33" s="80"/>
    </row>
    <row r="34" spans="1:8" ht="12.75">
      <c r="A34" s="80"/>
      <c r="B34" s="80"/>
      <c r="C34" s="80"/>
      <c r="D34" s="80"/>
      <c r="E34" s="80"/>
      <c r="F34" s="80"/>
      <c r="G34" s="80"/>
      <c r="H34" s="80"/>
    </row>
    <row r="35" spans="1:8" ht="12.75">
      <c r="A35" s="80"/>
      <c r="B35" s="80"/>
      <c r="C35" s="80"/>
      <c r="D35" s="80"/>
      <c r="E35" s="80"/>
      <c r="F35" s="80"/>
      <c r="G35" s="80"/>
      <c r="H35" s="80"/>
    </row>
    <row r="36" spans="1:8" ht="12.75">
      <c r="A36" s="80"/>
      <c r="B36" s="80"/>
      <c r="C36" s="80"/>
      <c r="D36" s="80"/>
      <c r="E36" s="80"/>
      <c r="F36" s="80"/>
      <c r="G36" s="80"/>
      <c r="H36" s="80"/>
    </row>
    <row r="37" spans="1:8" ht="12.75">
      <c r="A37" s="80"/>
      <c r="B37" s="80"/>
      <c r="C37" s="80"/>
      <c r="D37" s="80"/>
      <c r="E37" s="80"/>
      <c r="F37" s="80"/>
      <c r="G37" s="80"/>
      <c r="H37" s="80"/>
    </row>
    <row r="38" spans="1:8" ht="12.75">
      <c r="A38" s="80"/>
      <c r="B38" s="80"/>
      <c r="C38" s="80"/>
      <c r="D38" s="80"/>
      <c r="E38" s="80"/>
      <c r="F38" s="80"/>
      <c r="G38" s="80"/>
      <c r="H38" s="80"/>
    </row>
    <row r="39" spans="1:8" ht="12.75">
      <c r="A39" s="80"/>
      <c r="B39" s="80"/>
      <c r="C39" s="80"/>
      <c r="D39" s="80"/>
      <c r="E39" s="80"/>
      <c r="F39" s="80"/>
      <c r="G39" s="80"/>
      <c r="H39" s="80"/>
    </row>
    <row r="40" spans="1:8" ht="12.75">
      <c r="A40" s="80"/>
      <c r="B40" s="80"/>
      <c r="C40" s="80"/>
      <c r="D40" s="80"/>
      <c r="E40" s="80"/>
      <c r="F40" s="80"/>
      <c r="G40" s="80"/>
      <c r="H40" s="80"/>
    </row>
    <row r="41" spans="1:8" ht="12.75">
      <c r="A41" s="80"/>
      <c r="B41" s="80"/>
      <c r="C41" s="80"/>
      <c r="D41" s="80"/>
      <c r="E41" s="80"/>
      <c r="F41" s="80"/>
      <c r="G41" s="80"/>
      <c r="H41" s="80"/>
    </row>
    <row r="42" spans="1:8" ht="12.75">
      <c r="A42" s="80"/>
      <c r="B42" s="80"/>
      <c r="C42" s="80"/>
      <c r="D42" s="80"/>
      <c r="E42" s="80"/>
      <c r="F42" s="80"/>
      <c r="G42" s="80"/>
      <c r="H42" s="80"/>
    </row>
    <row r="43" spans="1:8" ht="12.75">
      <c r="A43" s="80"/>
      <c r="B43" s="80"/>
      <c r="C43" s="80"/>
      <c r="D43" s="80"/>
      <c r="E43" s="80"/>
      <c r="F43" s="80"/>
      <c r="G43" s="80"/>
      <c r="H43" s="80"/>
    </row>
    <row r="44" spans="1:8" ht="12.75">
      <c r="A44" s="80"/>
      <c r="B44" s="80"/>
      <c r="C44" s="80"/>
      <c r="D44" s="80"/>
      <c r="E44" s="80"/>
      <c r="F44" s="80"/>
      <c r="G44" s="80"/>
      <c r="H44" s="80"/>
    </row>
    <row r="45" spans="1:8" ht="12.75">
      <c r="A45" s="80"/>
      <c r="B45" s="80"/>
      <c r="C45" s="80"/>
      <c r="D45" s="80"/>
      <c r="E45" s="80"/>
      <c r="F45" s="80"/>
      <c r="G45" s="80"/>
      <c r="H45" s="80"/>
    </row>
    <row r="46" spans="1:8" ht="12.75">
      <c r="A46" s="80"/>
      <c r="B46" s="80"/>
      <c r="C46" s="80"/>
      <c r="D46" s="80"/>
      <c r="E46" s="80"/>
      <c r="F46" s="80"/>
      <c r="G46" s="80"/>
      <c r="H46" s="80"/>
    </row>
  </sheetData>
  <printOptions horizontalCentered="1"/>
  <pageMargins left="0.2" right="0.2" top="1" bottom="1" header="0.5" footer="0.5"/>
  <pageSetup fitToHeight="1" fitToWidth="1" horizontalDpi="600" verticalDpi="600" orientation="landscape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5" sqref="C5"/>
    </sheetView>
  </sheetViews>
  <sheetFormatPr defaultColWidth="9.140625" defaultRowHeight="12.75"/>
  <cols>
    <col min="1" max="1" width="9.140625" style="146" customWidth="1"/>
    <col min="2" max="2" width="15.00390625" style="146" customWidth="1"/>
    <col min="3" max="3" width="11.57421875" style="146" customWidth="1"/>
    <col min="4" max="6" width="9.140625" style="146" customWidth="1"/>
    <col min="7" max="11" width="12.57421875" style="146" customWidth="1"/>
    <col min="12" max="22" width="9.140625" style="146" customWidth="1"/>
    <col min="23" max="23" width="10.28125" style="146" customWidth="1"/>
    <col min="24" max="16384" width="9.140625" style="146" customWidth="1"/>
  </cols>
  <sheetData>
    <row r="1" spans="1:17" ht="16.5">
      <c r="A1" s="144" t="s">
        <v>93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ht="15.75"/>
    <row r="3" spans="1:11" ht="17.25" thickBot="1">
      <c r="A3" s="147" t="s">
        <v>20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9" ht="37.5" customHeight="1" thickBot="1">
      <c r="A4" s="148"/>
      <c r="B4" s="148"/>
      <c r="C4" s="149" t="s">
        <v>0</v>
      </c>
      <c r="D4" s="150" t="s">
        <v>0</v>
      </c>
      <c r="E4" s="150" t="s">
        <v>0</v>
      </c>
      <c r="F4" s="150" t="s">
        <v>0</v>
      </c>
      <c r="G4" s="151" t="s">
        <v>91</v>
      </c>
      <c r="H4" s="152" t="s">
        <v>0</v>
      </c>
      <c r="I4" s="153" t="s">
        <v>142</v>
      </c>
      <c r="J4" s="154" t="s">
        <v>143</v>
      </c>
      <c r="K4" s="154" t="s">
        <v>144</v>
      </c>
      <c r="L4" s="155"/>
      <c r="M4" s="156" t="s">
        <v>92</v>
      </c>
      <c r="N4" s="156"/>
      <c r="O4" s="157"/>
      <c r="P4" s="157"/>
      <c r="Q4" s="157"/>
      <c r="R4" s="157"/>
      <c r="S4" s="157"/>
    </row>
    <row r="5" spans="1:19" ht="17.25" thickBot="1">
      <c r="A5" s="148"/>
      <c r="B5" s="148"/>
      <c r="C5" s="158" t="s">
        <v>1</v>
      </c>
      <c r="D5" s="159" t="s">
        <v>2</v>
      </c>
      <c r="E5" s="159" t="s">
        <v>3</v>
      </c>
      <c r="F5" s="160" t="s">
        <v>94</v>
      </c>
      <c r="G5" s="161" t="s">
        <v>4</v>
      </c>
      <c r="H5" s="161" t="s">
        <v>4</v>
      </c>
      <c r="I5" s="161" t="s">
        <v>4</v>
      </c>
      <c r="J5" s="161" t="s">
        <v>4</v>
      </c>
      <c r="K5" s="161" t="s">
        <v>5</v>
      </c>
      <c r="L5" s="161" t="s">
        <v>5</v>
      </c>
      <c r="M5" s="161" t="s">
        <v>6</v>
      </c>
      <c r="N5" s="162" t="s">
        <v>7</v>
      </c>
      <c r="O5" s="163" t="s">
        <v>8</v>
      </c>
      <c r="P5" s="163" t="s">
        <v>9</v>
      </c>
      <c r="Q5" s="163" t="s">
        <v>10</v>
      </c>
      <c r="R5" s="163" t="s">
        <v>11</v>
      </c>
      <c r="S5" s="163" t="s">
        <v>12</v>
      </c>
    </row>
    <row r="6" spans="1:11" ht="15.7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ht="16.5">
      <c r="A7" s="147" t="s">
        <v>21</v>
      </c>
      <c r="B7" s="164"/>
      <c r="C7" s="165"/>
      <c r="D7" s="148"/>
      <c r="E7" s="148"/>
      <c r="F7" s="148"/>
      <c r="G7" s="148"/>
      <c r="H7" s="148"/>
      <c r="I7" s="148"/>
      <c r="J7" s="148"/>
      <c r="K7" s="148"/>
    </row>
    <row r="8" spans="1:19" ht="16.5">
      <c r="A8" s="147"/>
      <c r="B8" s="166" t="s">
        <v>13</v>
      </c>
      <c r="C8" s="167">
        <v>11300.525</v>
      </c>
      <c r="D8" s="168">
        <v>11457.8</v>
      </c>
      <c r="E8" s="168">
        <v>11211.6</v>
      </c>
      <c r="F8" s="168">
        <v>11403.3</v>
      </c>
      <c r="G8" s="168">
        <v>11280.9</v>
      </c>
      <c r="H8" s="168">
        <v>11280</v>
      </c>
      <c r="I8" s="168"/>
      <c r="J8" s="168"/>
      <c r="K8" s="168"/>
      <c r="L8" s="169">
        <f aca="true" t="shared" si="0" ref="L8:S11">+L26-L21-L16</f>
        <v>11291</v>
      </c>
      <c r="M8" s="169">
        <f t="shared" si="0"/>
        <v>11291</v>
      </c>
      <c r="N8" s="169">
        <f t="shared" si="0"/>
        <v>11292</v>
      </c>
      <c r="O8" s="169">
        <f t="shared" si="0"/>
        <v>11293</v>
      </c>
      <c r="P8" s="169">
        <f t="shared" si="0"/>
        <v>11294</v>
      </c>
      <c r="Q8" s="169">
        <f t="shared" si="0"/>
        <v>11295</v>
      </c>
      <c r="R8" s="169">
        <f t="shared" si="0"/>
        <v>11296</v>
      </c>
      <c r="S8" s="169">
        <f t="shared" si="0"/>
        <v>11297</v>
      </c>
    </row>
    <row r="9" spans="1:19" ht="16.5">
      <c r="A9" s="147"/>
      <c r="B9" s="166" t="s">
        <v>14</v>
      </c>
      <c r="C9" s="167">
        <v>12473.025</v>
      </c>
      <c r="D9" s="168">
        <v>12666.8</v>
      </c>
      <c r="E9" s="168">
        <v>12690.7</v>
      </c>
      <c r="F9" s="168">
        <v>12967.1</v>
      </c>
      <c r="G9" s="168">
        <v>12942.4</v>
      </c>
      <c r="H9" s="168">
        <v>12957</v>
      </c>
      <c r="I9" s="168"/>
      <c r="J9" s="168"/>
      <c r="K9" s="168"/>
      <c r="L9" s="169">
        <f t="shared" si="0"/>
        <v>13224</v>
      </c>
      <c r="M9" s="169">
        <f t="shared" si="0"/>
        <v>13214</v>
      </c>
      <c r="N9" s="169">
        <f t="shared" si="0"/>
        <v>13139</v>
      </c>
      <c r="O9" s="169">
        <f t="shared" si="0"/>
        <v>13064</v>
      </c>
      <c r="P9" s="169">
        <f t="shared" si="0"/>
        <v>12989</v>
      </c>
      <c r="Q9" s="169">
        <f t="shared" si="0"/>
        <v>12889</v>
      </c>
      <c r="R9" s="169">
        <f t="shared" si="0"/>
        <v>12879</v>
      </c>
      <c r="S9" s="169">
        <f t="shared" si="0"/>
        <v>12869</v>
      </c>
    </row>
    <row r="10" spans="1:19" ht="16.5">
      <c r="A10" s="147"/>
      <c r="B10" s="170" t="s">
        <v>16</v>
      </c>
      <c r="C10" s="171">
        <v>5586.78125</v>
      </c>
      <c r="D10" s="168">
        <v>5653.4</v>
      </c>
      <c r="E10" s="168">
        <v>5573.9</v>
      </c>
      <c r="F10" s="168">
        <v>5639</v>
      </c>
      <c r="G10" s="168">
        <v>5676</v>
      </c>
      <c r="H10" s="168">
        <v>5672</v>
      </c>
      <c r="I10" s="168"/>
      <c r="J10" s="168"/>
      <c r="K10" s="168"/>
      <c r="L10" s="169">
        <f t="shared" si="0"/>
        <v>5976</v>
      </c>
      <c r="M10" s="169">
        <f t="shared" si="0"/>
        <v>6680</v>
      </c>
      <c r="N10" s="169">
        <f t="shared" si="0"/>
        <v>6394</v>
      </c>
      <c r="O10" s="169">
        <f t="shared" si="0"/>
        <v>6469</v>
      </c>
      <c r="P10" s="169">
        <f t="shared" si="0"/>
        <v>6544</v>
      </c>
      <c r="Q10" s="169">
        <f t="shared" si="0"/>
        <v>6591</v>
      </c>
      <c r="R10" s="169">
        <f t="shared" si="0"/>
        <v>6656</v>
      </c>
      <c r="S10" s="169">
        <f t="shared" si="0"/>
        <v>6721</v>
      </c>
    </row>
    <row r="11" spans="1:19" ht="16.5">
      <c r="A11" s="147"/>
      <c r="B11" s="170" t="s">
        <v>17</v>
      </c>
      <c r="C11" s="171">
        <v>1758.96875</v>
      </c>
      <c r="D11" s="168">
        <v>1917.8</v>
      </c>
      <c r="E11" s="168">
        <v>2093.5</v>
      </c>
      <c r="F11" s="168">
        <v>2265.3</v>
      </c>
      <c r="G11" s="168">
        <v>2325.3</v>
      </c>
      <c r="H11" s="168">
        <v>2350</v>
      </c>
      <c r="I11" s="168"/>
      <c r="J11" s="168"/>
      <c r="K11" s="168"/>
      <c r="L11" s="169">
        <f t="shared" si="0"/>
        <v>2554</v>
      </c>
      <c r="M11" s="169">
        <f t="shared" si="0"/>
        <v>2656</v>
      </c>
      <c r="N11" s="169">
        <f t="shared" si="0"/>
        <v>2756</v>
      </c>
      <c r="O11" s="169">
        <f t="shared" si="0"/>
        <v>2856</v>
      </c>
      <c r="P11" s="169">
        <f t="shared" si="0"/>
        <v>2956</v>
      </c>
      <c r="Q11" s="169">
        <f t="shared" si="0"/>
        <v>3056</v>
      </c>
      <c r="R11" s="169">
        <f t="shared" si="0"/>
        <v>3156</v>
      </c>
      <c r="S11" s="169">
        <f t="shared" si="0"/>
        <v>3256</v>
      </c>
    </row>
    <row r="12" spans="1:19" ht="16.5">
      <c r="A12" s="147"/>
      <c r="B12" s="170" t="s">
        <v>95</v>
      </c>
      <c r="C12" s="171">
        <v>429</v>
      </c>
      <c r="D12" s="168">
        <v>447</v>
      </c>
      <c r="E12" s="168">
        <v>448</v>
      </c>
      <c r="F12" s="168">
        <v>452</v>
      </c>
      <c r="G12" s="168">
        <v>457</v>
      </c>
      <c r="H12" s="168">
        <v>457</v>
      </c>
      <c r="I12" s="168">
        <v>472</v>
      </c>
      <c r="J12" s="168">
        <f>+H12-I12</f>
        <v>-15</v>
      </c>
      <c r="K12" s="168">
        <v>474</v>
      </c>
      <c r="L12" s="169">
        <v>473</v>
      </c>
      <c r="M12" s="169">
        <v>503</v>
      </c>
      <c r="N12" s="169">
        <v>533</v>
      </c>
      <c r="O12" s="169">
        <v>563</v>
      </c>
      <c r="P12" s="169">
        <v>578</v>
      </c>
      <c r="Q12" s="169">
        <v>578</v>
      </c>
      <c r="R12" s="169">
        <v>578</v>
      </c>
      <c r="S12" s="169">
        <v>578</v>
      </c>
    </row>
    <row r="13" spans="1:19" ht="16.5">
      <c r="A13" s="147"/>
      <c r="B13" s="170" t="s">
        <v>96</v>
      </c>
      <c r="C13" s="171">
        <v>317</v>
      </c>
      <c r="D13" s="168">
        <v>321</v>
      </c>
      <c r="E13" s="168">
        <v>323</v>
      </c>
      <c r="F13" s="168">
        <v>324</v>
      </c>
      <c r="G13" s="168">
        <v>326</v>
      </c>
      <c r="H13" s="168">
        <v>327</v>
      </c>
      <c r="I13" s="168">
        <v>335</v>
      </c>
      <c r="J13" s="168">
        <f>+H13-I13</f>
        <v>-8</v>
      </c>
      <c r="K13" s="168">
        <v>336</v>
      </c>
      <c r="L13" s="169">
        <v>336</v>
      </c>
      <c r="M13" s="169">
        <v>336</v>
      </c>
      <c r="N13" s="169">
        <v>336</v>
      </c>
      <c r="O13" s="169">
        <v>336</v>
      </c>
      <c r="P13" s="169">
        <v>336</v>
      </c>
      <c r="Q13" s="169">
        <v>336</v>
      </c>
      <c r="R13" s="169">
        <v>336</v>
      </c>
      <c r="S13" s="169">
        <v>336</v>
      </c>
    </row>
    <row r="14" spans="1:19" ht="16.5">
      <c r="A14" s="147"/>
      <c r="B14" s="170" t="s">
        <v>97</v>
      </c>
      <c r="C14" s="171">
        <v>313</v>
      </c>
      <c r="D14" s="168">
        <v>312</v>
      </c>
      <c r="E14" s="168">
        <v>318</v>
      </c>
      <c r="F14" s="168">
        <v>317</v>
      </c>
      <c r="G14" s="168">
        <v>320</v>
      </c>
      <c r="H14" s="168">
        <v>330</v>
      </c>
      <c r="I14" s="168">
        <v>330</v>
      </c>
      <c r="J14" s="168">
        <f>+H14-I14</f>
        <v>0</v>
      </c>
      <c r="K14" s="168">
        <v>330</v>
      </c>
      <c r="L14" s="169">
        <v>330</v>
      </c>
      <c r="M14" s="169">
        <v>330</v>
      </c>
      <c r="N14" s="169">
        <v>330</v>
      </c>
      <c r="O14" s="169">
        <v>330</v>
      </c>
      <c r="P14" s="169">
        <v>330</v>
      </c>
      <c r="Q14" s="169">
        <v>330</v>
      </c>
      <c r="R14" s="169">
        <v>330</v>
      </c>
      <c r="S14" s="169">
        <v>330</v>
      </c>
    </row>
    <row r="15" spans="1:19" ht="16.5">
      <c r="A15" s="147"/>
      <c r="B15" s="147"/>
      <c r="C15" s="168"/>
      <c r="D15" s="168"/>
      <c r="E15" s="168"/>
      <c r="F15" s="168"/>
      <c r="G15" s="168"/>
      <c r="H15" s="168"/>
      <c r="I15" s="168"/>
      <c r="J15" s="168"/>
      <c r="K15" s="168"/>
      <c r="L15" s="169"/>
      <c r="M15" s="169"/>
      <c r="N15" s="169"/>
      <c r="O15" s="169"/>
      <c r="P15" s="169"/>
      <c r="Q15" s="169"/>
      <c r="R15" s="169"/>
      <c r="S15" s="169"/>
    </row>
    <row r="16" spans="1:19" ht="16.5">
      <c r="A16" s="166" t="s">
        <v>22</v>
      </c>
      <c r="B16" s="166" t="s">
        <v>23</v>
      </c>
      <c r="C16" s="168">
        <v>0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168"/>
      <c r="J16" s="168"/>
      <c r="K16" s="168"/>
      <c r="L16" s="168">
        <v>0</v>
      </c>
      <c r="M16" s="168">
        <v>0</v>
      </c>
      <c r="N16" s="168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</row>
    <row r="17" spans="1:19" ht="16.5">
      <c r="A17" s="166"/>
      <c r="B17" s="166" t="s">
        <v>24</v>
      </c>
      <c r="C17" s="168">
        <v>0.075</v>
      </c>
      <c r="D17" s="168">
        <v>0.8</v>
      </c>
      <c r="E17" s="168">
        <v>2.1</v>
      </c>
      <c r="F17" s="168">
        <v>0.8</v>
      </c>
      <c r="G17" s="168">
        <v>0.6</v>
      </c>
      <c r="H17" s="168">
        <v>1</v>
      </c>
      <c r="I17" s="168"/>
      <c r="J17" s="168"/>
      <c r="K17" s="168"/>
      <c r="L17" s="168">
        <v>1</v>
      </c>
      <c r="M17" s="168">
        <v>1</v>
      </c>
      <c r="N17" s="168">
        <v>1</v>
      </c>
      <c r="O17" s="168">
        <v>1</v>
      </c>
      <c r="P17" s="168">
        <v>1</v>
      </c>
      <c r="Q17" s="168">
        <v>1</v>
      </c>
      <c r="R17" s="168">
        <v>1</v>
      </c>
      <c r="S17" s="168">
        <v>1</v>
      </c>
    </row>
    <row r="18" spans="1:19" ht="16.5">
      <c r="A18" s="166"/>
      <c r="B18" s="166" t="s">
        <v>25</v>
      </c>
      <c r="C18" s="168">
        <v>14.625</v>
      </c>
      <c r="D18" s="168">
        <v>21.8</v>
      </c>
      <c r="E18" s="168">
        <v>15.3</v>
      </c>
      <c r="F18" s="168">
        <v>20.9</v>
      </c>
      <c r="G18" s="168">
        <v>23.3</v>
      </c>
      <c r="H18" s="168">
        <v>25</v>
      </c>
      <c r="I18" s="168"/>
      <c r="J18" s="168"/>
      <c r="K18" s="168"/>
      <c r="L18" s="168">
        <v>25</v>
      </c>
      <c r="M18" s="168">
        <v>25</v>
      </c>
      <c r="N18" s="168">
        <v>25</v>
      </c>
      <c r="O18" s="168">
        <v>25</v>
      </c>
      <c r="P18" s="168">
        <v>25</v>
      </c>
      <c r="Q18" s="168">
        <v>25</v>
      </c>
      <c r="R18" s="168">
        <v>25</v>
      </c>
      <c r="S18" s="168">
        <v>25</v>
      </c>
    </row>
    <row r="19" spans="1:19" ht="16.5">
      <c r="A19" s="166"/>
      <c r="B19" s="166" t="s">
        <v>26</v>
      </c>
      <c r="C19" s="168">
        <v>3.25</v>
      </c>
      <c r="D19" s="168">
        <v>5</v>
      </c>
      <c r="E19" s="168">
        <v>5</v>
      </c>
      <c r="F19" s="168">
        <v>5.9</v>
      </c>
      <c r="G19" s="168">
        <v>4.9</v>
      </c>
      <c r="H19" s="168">
        <v>5</v>
      </c>
      <c r="I19" s="168"/>
      <c r="J19" s="168"/>
      <c r="K19" s="168"/>
      <c r="L19" s="168">
        <v>5</v>
      </c>
      <c r="M19" s="168">
        <v>5</v>
      </c>
      <c r="N19" s="168">
        <v>5</v>
      </c>
      <c r="O19" s="168">
        <v>5</v>
      </c>
      <c r="P19" s="168">
        <v>5</v>
      </c>
      <c r="Q19" s="168">
        <v>5</v>
      </c>
      <c r="R19" s="168">
        <v>5</v>
      </c>
      <c r="S19" s="168">
        <v>5</v>
      </c>
    </row>
    <row r="20" spans="1:19" ht="16.5">
      <c r="A20" s="148"/>
      <c r="B20" s="147"/>
      <c r="C20" s="168"/>
      <c r="D20" s="168"/>
      <c r="E20" s="168"/>
      <c r="F20" s="168"/>
      <c r="G20" s="168"/>
      <c r="H20" s="168"/>
      <c r="I20" s="168"/>
      <c r="J20" s="168"/>
      <c r="K20" s="168"/>
      <c r="L20" s="169"/>
      <c r="M20" s="169"/>
      <c r="N20" s="169"/>
      <c r="O20" s="169"/>
      <c r="P20" s="169"/>
      <c r="Q20" s="169"/>
      <c r="R20" s="169"/>
      <c r="S20" s="169"/>
    </row>
    <row r="21" spans="1:19" ht="16.5">
      <c r="A21" s="147" t="s">
        <v>27</v>
      </c>
      <c r="B21" s="166" t="s">
        <v>13</v>
      </c>
      <c r="C21" s="167">
        <v>79.85</v>
      </c>
      <c r="D21" s="168">
        <v>84.4</v>
      </c>
      <c r="E21" s="168">
        <v>118.1</v>
      </c>
      <c r="F21" s="168">
        <v>118.2</v>
      </c>
      <c r="G21" s="168">
        <v>85</v>
      </c>
      <c r="H21" s="168">
        <v>103</v>
      </c>
      <c r="I21" s="168"/>
      <c r="J21" s="168"/>
      <c r="K21" s="168"/>
      <c r="L21" s="169">
        <v>103</v>
      </c>
      <c r="M21" s="169">
        <v>103</v>
      </c>
      <c r="N21" s="169">
        <v>103</v>
      </c>
      <c r="O21" s="169">
        <v>103</v>
      </c>
      <c r="P21" s="169">
        <v>103</v>
      </c>
      <c r="Q21" s="169">
        <v>103</v>
      </c>
      <c r="R21" s="169">
        <v>103</v>
      </c>
      <c r="S21" s="169">
        <v>103</v>
      </c>
    </row>
    <row r="22" spans="1:19" ht="16.5">
      <c r="A22" s="147"/>
      <c r="B22" s="166" t="s">
        <v>14</v>
      </c>
      <c r="C22" s="167">
        <v>148.45</v>
      </c>
      <c r="D22" s="168">
        <v>213.3</v>
      </c>
      <c r="E22" s="168">
        <v>218.5</v>
      </c>
      <c r="F22" s="168">
        <v>202.4</v>
      </c>
      <c r="G22" s="168">
        <v>186.6</v>
      </c>
      <c r="H22" s="168">
        <v>202</v>
      </c>
      <c r="I22" s="168"/>
      <c r="J22" s="168"/>
      <c r="K22" s="168"/>
      <c r="L22" s="169">
        <v>240</v>
      </c>
      <c r="M22" s="169">
        <f>+L22+10</f>
        <v>250</v>
      </c>
      <c r="N22" s="169">
        <f>+M22+75</f>
        <v>325</v>
      </c>
      <c r="O22" s="169">
        <f>+N22+75</f>
        <v>400</v>
      </c>
      <c r="P22" s="169">
        <f>+O22+75</f>
        <v>475</v>
      </c>
      <c r="Q22" s="169">
        <f>+P22+100</f>
        <v>575</v>
      </c>
      <c r="R22" s="169">
        <f>+Q22+10</f>
        <v>585</v>
      </c>
      <c r="S22" s="169">
        <f>+R22+10</f>
        <v>595</v>
      </c>
    </row>
    <row r="23" spans="1:19" ht="16.5">
      <c r="A23" s="147"/>
      <c r="B23" s="170" t="s">
        <v>16</v>
      </c>
      <c r="C23" s="171">
        <v>63.9375</v>
      </c>
      <c r="D23" s="168">
        <v>36.7</v>
      </c>
      <c r="E23" s="168">
        <v>186.6</v>
      </c>
      <c r="F23" s="168">
        <v>322.6</v>
      </c>
      <c r="G23" s="168">
        <v>467.8</v>
      </c>
      <c r="H23" s="168">
        <v>468</v>
      </c>
      <c r="I23" s="168"/>
      <c r="J23" s="168"/>
      <c r="K23" s="168"/>
      <c r="L23" s="169">
        <f>+H23+103</f>
        <v>571</v>
      </c>
      <c r="M23" s="169"/>
      <c r="N23" s="169">
        <f>+L23+75</f>
        <v>646</v>
      </c>
      <c r="O23" s="169">
        <f>+N23+75</f>
        <v>721</v>
      </c>
      <c r="P23" s="169">
        <f>+O23+75</f>
        <v>796</v>
      </c>
      <c r="Q23" s="169">
        <f>+P23+103</f>
        <v>899</v>
      </c>
      <c r="R23" s="169">
        <f>+Q23+103</f>
        <v>1002</v>
      </c>
      <c r="S23" s="169">
        <f>+R23+103</f>
        <v>1105</v>
      </c>
    </row>
    <row r="24" spans="1:19" ht="16.5">
      <c r="A24" s="147"/>
      <c r="B24" s="170" t="s">
        <v>17</v>
      </c>
      <c r="C24" s="171">
        <v>4</v>
      </c>
      <c r="D24" s="168">
        <v>4.3</v>
      </c>
      <c r="E24" s="168">
        <v>8.3</v>
      </c>
      <c r="F24" s="168">
        <v>2.2</v>
      </c>
      <c r="G24" s="168">
        <v>1.8</v>
      </c>
      <c r="H24" s="168">
        <v>2</v>
      </c>
      <c r="I24" s="168"/>
      <c r="J24" s="168"/>
      <c r="K24" s="168"/>
      <c r="L24" s="169">
        <v>2</v>
      </c>
      <c r="M24" s="169"/>
      <c r="N24" s="169"/>
      <c r="O24" s="169"/>
      <c r="P24" s="169"/>
      <c r="Q24" s="169"/>
      <c r="R24" s="169"/>
      <c r="S24" s="169"/>
    </row>
    <row r="25" spans="1:22" ht="16.5">
      <c r="A25" s="147" t="s">
        <v>28</v>
      </c>
      <c r="B25" s="147"/>
      <c r="C25" s="168"/>
      <c r="D25" s="168"/>
      <c r="E25" s="168"/>
      <c r="F25" s="168"/>
      <c r="G25" s="168"/>
      <c r="H25" s="168"/>
      <c r="I25" s="168"/>
      <c r="J25" s="168"/>
      <c r="K25" s="168"/>
      <c r="L25" s="169"/>
      <c r="M25" s="169"/>
      <c r="N25" s="169"/>
      <c r="O25" s="169"/>
      <c r="P25" s="169"/>
      <c r="Q25" s="169"/>
      <c r="R25" s="169"/>
      <c r="S25" s="169"/>
      <c r="U25" s="172"/>
      <c r="V25" s="172"/>
    </row>
    <row r="26" spans="1:22" ht="16.5">
      <c r="A26" s="147"/>
      <c r="B26" s="166" t="s">
        <v>13</v>
      </c>
      <c r="C26" s="168">
        <f aca="true" t="shared" si="1" ref="C26:G29">C8+C16+C21</f>
        <v>11380.375</v>
      </c>
      <c r="D26" s="168">
        <f t="shared" si="1"/>
        <v>11542.199999999999</v>
      </c>
      <c r="E26" s="168">
        <f t="shared" si="1"/>
        <v>11329.7</v>
      </c>
      <c r="F26" s="168">
        <f t="shared" si="1"/>
        <v>11521.5</v>
      </c>
      <c r="G26" s="168">
        <f t="shared" si="1"/>
        <v>11365.9</v>
      </c>
      <c r="H26" s="168">
        <f>SUM(H8,H16,H21)</f>
        <v>11383</v>
      </c>
      <c r="I26" s="168">
        <v>11394</v>
      </c>
      <c r="J26" s="168">
        <f>+H26-I26</f>
        <v>-11</v>
      </c>
      <c r="K26" s="168">
        <v>11394</v>
      </c>
      <c r="L26" s="168">
        <v>11394</v>
      </c>
      <c r="M26" s="168">
        <v>11394</v>
      </c>
      <c r="N26" s="168">
        <v>11395</v>
      </c>
      <c r="O26" s="168">
        <v>11396</v>
      </c>
      <c r="P26" s="168">
        <v>11397</v>
      </c>
      <c r="Q26" s="168">
        <v>11398</v>
      </c>
      <c r="R26" s="168">
        <v>11399</v>
      </c>
      <c r="S26" s="168">
        <v>11400</v>
      </c>
      <c r="U26" s="169"/>
      <c r="V26" s="169"/>
    </row>
    <row r="27" spans="1:22" ht="16.5">
      <c r="A27" s="147"/>
      <c r="B27" s="166" t="s">
        <v>14</v>
      </c>
      <c r="C27" s="168">
        <f t="shared" si="1"/>
        <v>12621.550000000001</v>
      </c>
      <c r="D27" s="168">
        <f t="shared" si="1"/>
        <v>12880.899999999998</v>
      </c>
      <c r="E27" s="168">
        <f t="shared" si="1"/>
        <v>12911.300000000001</v>
      </c>
      <c r="F27" s="168">
        <f t="shared" si="1"/>
        <v>13170.3</v>
      </c>
      <c r="G27" s="168">
        <f t="shared" si="1"/>
        <v>13129.6</v>
      </c>
      <c r="H27" s="168">
        <f>SUM(H9,H17,H22)</f>
        <v>13160</v>
      </c>
      <c r="I27" s="168">
        <v>13351</v>
      </c>
      <c r="J27" s="168">
        <f>+H27-I27</f>
        <v>-191</v>
      </c>
      <c r="K27" s="168">
        <v>13465</v>
      </c>
      <c r="L27" s="168">
        <v>13465</v>
      </c>
      <c r="M27" s="168">
        <f aca="true" t="shared" si="2" ref="M27:S27">+L27</f>
        <v>13465</v>
      </c>
      <c r="N27" s="168">
        <f t="shared" si="2"/>
        <v>13465</v>
      </c>
      <c r="O27" s="168">
        <f t="shared" si="2"/>
        <v>13465</v>
      </c>
      <c r="P27" s="168">
        <f t="shared" si="2"/>
        <v>13465</v>
      </c>
      <c r="Q27" s="168">
        <f t="shared" si="2"/>
        <v>13465</v>
      </c>
      <c r="R27" s="168">
        <f t="shared" si="2"/>
        <v>13465</v>
      </c>
      <c r="S27" s="168">
        <f t="shared" si="2"/>
        <v>13465</v>
      </c>
      <c r="U27" s="169"/>
      <c r="V27" s="169"/>
    </row>
    <row r="28" spans="1:22" ht="16.5">
      <c r="A28" s="147"/>
      <c r="B28" s="170" t="s">
        <v>16</v>
      </c>
      <c r="C28" s="168">
        <f t="shared" si="1"/>
        <v>5665.34375</v>
      </c>
      <c r="D28" s="168">
        <f t="shared" si="1"/>
        <v>5711.9</v>
      </c>
      <c r="E28" s="168">
        <f t="shared" si="1"/>
        <v>5775.8</v>
      </c>
      <c r="F28" s="168">
        <f t="shared" si="1"/>
        <v>5982.5</v>
      </c>
      <c r="G28" s="168">
        <f t="shared" si="1"/>
        <v>6167.1</v>
      </c>
      <c r="H28" s="168">
        <f>SUM(H10,H18,H23)</f>
        <v>6165</v>
      </c>
      <c r="I28" s="168">
        <v>6363</v>
      </c>
      <c r="J28" s="168">
        <f>+H28-I28</f>
        <v>-198</v>
      </c>
      <c r="K28" s="168">
        <v>6404</v>
      </c>
      <c r="L28" s="168">
        <f>6404+168</f>
        <v>6572</v>
      </c>
      <c r="M28" s="168">
        <f>+L28+133</f>
        <v>6705</v>
      </c>
      <c r="N28" s="168">
        <f>+M28+360</f>
        <v>7065</v>
      </c>
      <c r="O28" s="168">
        <f>+N28+150</f>
        <v>7215</v>
      </c>
      <c r="P28" s="168">
        <f>+O28+150</f>
        <v>7365</v>
      </c>
      <c r="Q28" s="168">
        <f>+P28+150</f>
        <v>7515</v>
      </c>
      <c r="R28" s="168">
        <f>+Q28+150+18</f>
        <v>7683</v>
      </c>
      <c r="S28" s="168">
        <f>+R28+150+18</f>
        <v>7851</v>
      </c>
      <c r="U28" s="169"/>
      <c r="V28" s="169"/>
    </row>
    <row r="29" spans="1:23" ht="17.25" thickBot="1">
      <c r="A29" s="147"/>
      <c r="B29" s="170" t="s">
        <v>17</v>
      </c>
      <c r="C29" s="173">
        <f t="shared" si="1"/>
        <v>1766.21875</v>
      </c>
      <c r="D29" s="173">
        <f t="shared" si="1"/>
        <v>1927.1</v>
      </c>
      <c r="E29" s="173">
        <f t="shared" si="1"/>
        <v>2106.8</v>
      </c>
      <c r="F29" s="173">
        <f t="shared" si="1"/>
        <v>2273.4</v>
      </c>
      <c r="G29" s="173">
        <f t="shared" si="1"/>
        <v>2332.0000000000005</v>
      </c>
      <c r="H29" s="173">
        <f>SUM(H11,H19,H24)</f>
        <v>2357</v>
      </c>
      <c r="I29" s="173">
        <v>2357</v>
      </c>
      <c r="J29" s="173">
        <f>+H29-I29</f>
        <v>0</v>
      </c>
      <c r="K29" s="173">
        <v>2661</v>
      </c>
      <c r="L29" s="173">
        <f>+H29+204</f>
        <v>2561</v>
      </c>
      <c r="M29" s="173">
        <f aca="true" t="shared" si="3" ref="M29:S29">+L29+100</f>
        <v>2661</v>
      </c>
      <c r="N29" s="173">
        <f t="shared" si="3"/>
        <v>2761</v>
      </c>
      <c r="O29" s="173">
        <f t="shared" si="3"/>
        <v>2861</v>
      </c>
      <c r="P29" s="173">
        <f t="shared" si="3"/>
        <v>2961</v>
      </c>
      <c r="Q29" s="173">
        <f t="shared" si="3"/>
        <v>3061</v>
      </c>
      <c r="R29" s="173">
        <f t="shared" si="3"/>
        <v>3161</v>
      </c>
      <c r="S29" s="173">
        <f t="shared" si="3"/>
        <v>3261</v>
      </c>
      <c r="U29" s="169"/>
      <c r="V29" s="169"/>
      <c r="W29" s="174"/>
    </row>
    <row r="30" spans="1:23" ht="16.5">
      <c r="A30" s="147"/>
      <c r="B30" s="164" t="s">
        <v>29</v>
      </c>
      <c r="C30" s="168">
        <f aca="true" t="shared" si="4" ref="C30:J30">SUM(C26:C29)</f>
        <v>31433.487500000003</v>
      </c>
      <c r="D30" s="168">
        <f t="shared" si="4"/>
        <v>32062.1</v>
      </c>
      <c r="E30" s="168">
        <f t="shared" si="4"/>
        <v>32123.6</v>
      </c>
      <c r="F30" s="168">
        <f t="shared" si="4"/>
        <v>32947.7</v>
      </c>
      <c r="G30" s="168">
        <f t="shared" si="4"/>
        <v>32994.6</v>
      </c>
      <c r="H30" s="168">
        <f t="shared" si="4"/>
        <v>33065</v>
      </c>
      <c r="I30" s="168">
        <f t="shared" si="4"/>
        <v>33465</v>
      </c>
      <c r="J30" s="168">
        <f t="shared" si="4"/>
        <v>-400</v>
      </c>
      <c r="K30" s="168"/>
      <c r="L30" s="168">
        <f aca="true" t="shared" si="5" ref="L30:S30">SUM(L26:L29)</f>
        <v>33992</v>
      </c>
      <c r="M30" s="168">
        <f t="shared" si="5"/>
        <v>34225</v>
      </c>
      <c r="N30" s="168">
        <f t="shared" si="5"/>
        <v>34686</v>
      </c>
      <c r="O30" s="168">
        <f t="shared" si="5"/>
        <v>34937</v>
      </c>
      <c r="P30" s="168">
        <f t="shared" si="5"/>
        <v>35188</v>
      </c>
      <c r="Q30" s="168">
        <f t="shared" si="5"/>
        <v>35439</v>
      </c>
      <c r="R30" s="168">
        <f t="shared" si="5"/>
        <v>35708</v>
      </c>
      <c r="S30" s="168">
        <f t="shared" si="5"/>
        <v>35977</v>
      </c>
      <c r="U30" s="169"/>
      <c r="V30" s="169"/>
      <c r="W30" s="174"/>
    </row>
    <row r="31" spans="1:19" ht="16.5">
      <c r="A31" s="147"/>
      <c r="B31" s="147"/>
      <c r="C31" s="168"/>
      <c r="D31" s="168"/>
      <c r="E31" s="168"/>
      <c r="F31" s="168"/>
      <c r="G31" s="168"/>
      <c r="H31" s="168"/>
      <c r="I31" s="168"/>
      <c r="J31" s="168"/>
      <c r="K31" s="168"/>
      <c r="L31" s="169"/>
      <c r="M31" s="169"/>
      <c r="N31" s="169"/>
      <c r="O31" s="169"/>
      <c r="P31" s="169"/>
      <c r="Q31" s="169"/>
      <c r="R31" s="169"/>
      <c r="S31" s="169"/>
    </row>
    <row r="32" spans="1:19" ht="16.5">
      <c r="A32" s="148"/>
      <c r="B32" s="147" t="s">
        <v>19</v>
      </c>
      <c r="C32" s="168">
        <f aca="true" t="shared" si="6" ref="C32:J32">SUM(C12:C14)</f>
        <v>1059</v>
      </c>
      <c r="D32" s="168">
        <f t="shared" si="6"/>
        <v>1080</v>
      </c>
      <c r="E32" s="168">
        <f t="shared" si="6"/>
        <v>1089</v>
      </c>
      <c r="F32" s="168">
        <f t="shared" si="6"/>
        <v>1093</v>
      </c>
      <c r="G32" s="168">
        <f t="shared" si="6"/>
        <v>1103</v>
      </c>
      <c r="H32" s="168">
        <f t="shared" si="6"/>
        <v>1114</v>
      </c>
      <c r="I32" s="168">
        <f t="shared" si="6"/>
        <v>1137</v>
      </c>
      <c r="J32" s="168">
        <f t="shared" si="6"/>
        <v>-23</v>
      </c>
      <c r="K32" s="168"/>
      <c r="L32" s="168">
        <f aca="true" t="shared" si="7" ref="L32:S32">SUM(L12:L14)</f>
        <v>1139</v>
      </c>
      <c r="M32" s="168">
        <f t="shared" si="7"/>
        <v>1169</v>
      </c>
      <c r="N32" s="168">
        <f t="shared" si="7"/>
        <v>1199</v>
      </c>
      <c r="O32" s="168">
        <f t="shared" si="7"/>
        <v>1229</v>
      </c>
      <c r="P32" s="168">
        <f t="shared" si="7"/>
        <v>1244</v>
      </c>
      <c r="Q32" s="168">
        <f t="shared" si="7"/>
        <v>1244</v>
      </c>
      <c r="R32" s="168">
        <f t="shared" si="7"/>
        <v>1244</v>
      </c>
      <c r="S32" s="168">
        <f t="shared" si="7"/>
        <v>1244</v>
      </c>
    </row>
    <row r="33" spans="1:11" ht="15.7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</row>
    <row r="34" spans="1:11" ht="15.7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</row>
    <row r="35" spans="1:11" ht="15.7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</row>
    <row r="36" spans="1:11" ht="15.7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</row>
    <row r="37" spans="1:11" ht="15.7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</row>
    <row r="38" spans="1:11" ht="15.75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</row>
    <row r="39" spans="1:11" ht="15.75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</row>
    <row r="40" spans="1:11" ht="15.7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</row>
    <row r="41" spans="1:11" ht="15.75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</row>
    <row r="42" spans="1:11" ht="15.7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</row>
    <row r="43" spans="1:11" ht="15.7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</row>
    <row r="44" spans="1:11" ht="15.7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</row>
    <row r="45" spans="1:11" ht="15.7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</row>
    <row r="46" spans="1:11" ht="15.7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</row>
    <row r="47" spans="1:11" ht="15.7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</row>
    <row r="48" spans="1:11" ht="15.7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</row>
    <row r="49" spans="1:11" ht="15.7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</row>
    <row r="50" spans="1:11" ht="15.7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</row>
    <row r="51" spans="1:11" ht="15.7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</row>
    <row r="52" spans="1:11" ht="15.7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</row>
    <row r="53" spans="1:11" ht="15.7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</row>
    <row r="54" spans="1:11" ht="15.7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</row>
    <row r="55" spans="1:11" ht="15.7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</row>
    <row r="56" spans="1:11" ht="15.7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</row>
    <row r="57" spans="1:11" ht="15.7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</row>
    <row r="58" spans="1:11" ht="15.7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</row>
    <row r="59" spans="1:11" ht="15.7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</row>
    <row r="60" spans="1:11" ht="15.7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</row>
    <row r="61" spans="1:11" ht="15.75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</row>
    <row r="62" spans="1:11" ht="15.7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</row>
    <row r="63" spans="1:11" ht="15.7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</row>
    <row r="64" spans="1:11" ht="15.7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</row>
    <row r="65" spans="1:11" ht="15.7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</row>
  </sheetData>
  <printOptions horizontalCentered="1"/>
  <pageMargins left="0.25" right="0.25" top="1" bottom="1" header="0.5" footer="0.5"/>
  <pageSetup fitToHeight="1" fitToWidth="1" horizontalDpi="600" verticalDpi="600" orientation="landscape" scale="68" r:id="rId4"/>
  <headerFooter alignWithMargins="0">
    <oddFooter>&amp;L&amp;A&amp;R&amp;8Prepared by Office of Planning, Budgeting and Policy Analysis, DCU,  &amp;F  &amp;D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="75" zoomScaleNormal="75" workbookViewId="0" topLeftCell="A1">
      <pane xSplit="2" ySplit="9" topLeftCell="F27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2.75"/>
  <cols>
    <col min="2" max="2" width="15.00390625" style="0" customWidth="1"/>
    <col min="3" max="3" width="9.421875" style="0" customWidth="1"/>
    <col min="4" max="4" width="12.421875" style="0" bestFit="1" customWidth="1"/>
    <col min="5" max="5" width="9.421875" style="0" bestFit="1" customWidth="1"/>
    <col min="6" max="6" width="9.8515625" style="0" customWidth="1"/>
    <col min="7" max="7" width="10.57421875" style="0" customWidth="1"/>
    <col min="8" max="8" width="11.28125" style="0" customWidth="1"/>
    <col min="9" max="10" width="11.421875" style="0" bestFit="1" customWidth="1"/>
    <col min="11" max="11" width="9.7109375" style="0" bestFit="1" customWidth="1"/>
    <col min="12" max="12" width="10.140625" style="0" bestFit="1" customWidth="1"/>
    <col min="13" max="13" width="9.7109375" style="0" bestFit="1" customWidth="1"/>
    <col min="14" max="14" width="10.8515625" style="0" bestFit="1" customWidth="1"/>
    <col min="15" max="15" width="10.421875" style="0" bestFit="1" customWidth="1"/>
    <col min="16" max="17" width="10.140625" style="0" bestFit="1" customWidth="1"/>
    <col min="18" max="19" width="9.421875" style="0" bestFit="1" customWidth="1"/>
  </cols>
  <sheetData>
    <row r="1" spans="1:22" ht="42" customHeight="1">
      <c r="A1" s="90"/>
      <c r="B1" s="91"/>
      <c r="C1" s="91"/>
      <c r="D1" s="91"/>
      <c r="E1" s="92"/>
      <c r="F1" s="91"/>
      <c r="G1" s="91"/>
      <c r="H1" s="91"/>
      <c r="I1" s="93"/>
      <c r="J1" s="93" t="s">
        <v>93</v>
      </c>
      <c r="K1" s="91"/>
      <c r="L1" s="91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8.75">
      <c r="A2" s="94"/>
      <c r="B2" s="94"/>
      <c r="C2" s="94"/>
      <c r="D2" s="94"/>
      <c r="E2" s="95"/>
      <c r="F2" s="94"/>
      <c r="G2" s="94"/>
      <c r="H2" s="94"/>
      <c r="I2" s="93"/>
      <c r="J2" s="93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ht="18.75">
      <c r="A3" s="94"/>
      <c r="B3" s="94"/>
      <c r="C3" s="94"/>
      <c r="D3" s="94"/>
      <c r="E3" s="95"/>
      <c r="F3" s="94"/>
      <c r="G3" s="94"/>
      <c r="H3" s="94"/>
      <c r="I3" s="93"/>
      <c r="J3" s="93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2" ht="18.75">
      <c r="A4" s="94"/>
      <c r="B4" s="94"/>
      <c r="C4" s="94"/>
      <c r="D4" s="94"/>
      <c r="E4" s="95"/>
      <c r="F4" s="94"/>
      <c r="G4" s="94"/>
      <c r="H4" s="94"/>
      <c r="I4" s="93"/>
      <c r="J4" s="93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2" ht="18.75">
      <c r="A5" s="94"/>
      <c r="B5" s="94"/>
      <c r="C5" s="94"/>
      <c r="D5" s="94"/>
      <c r="E5" s="95"/>
      <c r="F5" s="94"/>
      <c r="G5" s="94"/>
      <c r="H5" s="94"/>
      <c r="I5" s="93"/>
      <c r="J5" s="93"/>
      <c r="K5" s="94"/>
      <c r="L5" s="94"/>
      <c r="M5" s="94"/>
      <c r="N5" s="94"/>
      <c r="O5" s="96"/>
      <c r="P5" s="94"/>
      <c r="Q5" s="94"/>
      <c r="R5" s="94"/>
      <c r="S5" s="94"/>
      <c r="T5" s="94"/>
      <c r="U5" s="94"/>
      <c r="V5" s="94"/>
    </row>
    <row r="6" spans="1:22" ht="18.75">
      <c r="A6" s="97" t="s">
        <v>122</v>
      </c>
      <c r="B6" s="94"/>
      <c r="C6" s="94"/>
      <c r="D6" s="94"/>
      <c r="E6" s="94"/>
      <c r="F6" s="94"/>
      <c r="G6" s="94"/>
      <c r="H6" s="94"/>
      <c r="I6" s="93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</row>
    <row r="7" spans="1:22" ht="15" customHeight="1" thickBot="1">
      <c r="A7" s="97"/>
      <c r="B7" s="98"/>
      <c r="C7" s="98"/>
      <c r="D7" s="98"/>
      <c r="E7" s="98"/>
      <c r="F7" s="98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</row>
    <row r="8" spans="1:22" ht="75" customHeight="1" thickBot="1">
      <c r="A8" s="98"/>
      <c r="B8" s="98"/>
      <c r="C8" s="99" t="s">
        <v>0</v>
      </c>
      <c r="D8" s="100" t="s">
        <v>0</v>
      </c>
      <c r="E8" s="100" t="s">
        <v>0</v>
      </c>
      <c r="F8" s="100" t="s">
        <v>0</v>
      </c>
      <c r="G8" s="100" t="s">
        <v>0</v>
      </c>
      <c r="H8" s="101"/>
      <c r="I8" s="101"/>
      <c r="J8" s="101"/>
      <c r="K8" s="101"/>
      <c r="L8" s="102"/>
      <c r="M8" s="103" t="s">
        <v>123</v>
      </c>
      <c r="N8" s="101"/>
      <c r="O8" s="101"/>
      <c r="P8" s="101"/>
      <c r="Q8" s="101"/>
      <c r="R8" s="101"/>
      <c r="S8" s="104"/>
      <c r="T8" s="94"/>
      <c r="U8" s="94"/>
      <c r="V8" s="94"/>
    </row>
    <row r="9" spans="1:22" ht="13.5" thickBot="1">
      <c r="A9" s="98"/>
      <c r="B9" s="98"/>
      <c r="C9" s="105" t="s">
        <v>1</v>
      </c>
      <c r="D9" s="106" t="s">
        <v>2</v>
      </c>
      <c r="E9" s="106" t="s">
        <v>3</v>
      </c>
      <c r="F9" s="106" t="s">
        <v>94</v>
      </c>
      <c r="G9" s="106" t="s">
        <v>4</v>
      </c>
      <c r="H9" s="106" t="s">
        <v>5</v>
      </c>
      <c r="I9" s="106" t="s">
        <v>6</v>
      </c>
      <c r="J9" s="106" t="s">
        <v>7</v>
      </c>
      <c r="K9" s="106" t="s">
        <v>8</v>
      </c>
      <c r="L9" s="106" t="s">
        <v>9</v>
      </c>
      <c r="M9" s="106" t="s">
        <v>10</v>
      </c>
      <c r="N9" s="106" t="s">
        <v>11</v>
      </c>
      <c r="O9" s="106" t="s">
        <v>12</v>
      </c>
      <c r="P9" s="106" t="s">
        <v>124</v>
      </c>
      <c r="Q9" s="106" t="s">
        <v>125</v>
      </c>
      <c r="R9" s="106" t="s">
        <v>126</v>
      </c>
      <c r="S9" s="106" t="s">
        <v>127</v>
      </c>
      <c r="T9" s="94"/>
      <c r="U9" s="94"/>
      <c r="V9" s="94"/>
    </row>
    <row r="10" spans="1:22" ht="12.75">
      <c r="A10" s="107" t="s">
        <v>30</v>
      </c>
      <c r="B10" s="98"/>
      <c r="C10" s="98"/>
      <c r="D10" s="98"/>
      <c r="E10" s="98"/>
      <c r="F10" s="98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</row>
    <row r="11" spans="1:25" ht="12.75" customHeight="1">
      <c r="A11" s="107"/>
      <c r="B11" s="108" t="s">
        <v>13</v>
      </c>
      <c r="C11" s="109">
        <v>8711.975</v>
      </c>
      <c r="D11" s="110">
        <v>9238.8</v>
      </c>
      <c r="E11" s="110">
        <v>9921.4</v>
      </c>
      <c r="F11" s="110">
        <v>9964.425</v>
      </c>
      <c r="G11" s="111">
        <v>10212.85</v>
      </c>
      <c r="H11" s="111">
        <v>9828.92</v>
      </c>
      <c r="I11" s="111">
        <v>9907.5492</v>
      </c>
      <c r="J11" s="111">
        <v>10006.634692000001</v>
      </c>
      <c r="K11" s="111">
        <v>10106.711038920002</v>
      </c>
      <c r="L11" s="111">
        <v>10207.7881493092</v>
      </c>
      <c r="M11" s="111">
        <v>10309.876030802294</v>
      </c>
      <c r="N11" s="111">
        <v>10412.984791110317</v>
      </c>
      <c r="O11" s="111">
        <v>10517.12463902142</v>
      </c>
      <c r="P11" s="111">
        <v>10622.305885411633</v>
      </c>
      <c r="Q11" s="111">
        <v>10728.53894426575</v>
      </c>
      <c r="R11" s="111">
        <v>10835.834333708408</v>
      </c>
      <c r="S11" s="111">
        <v>10944.20267704549</v>
      </c>
      <c r="T11" s="94"/>
      <c r="U11" s="94"/>
      <c r="V11" s="94"/>
      <c r="W11" s="112"/>
      <c r="X11" s="112"/>
      <c r="Y11" s="112"/>
    </row>
    <row r="12" spans="1:25" ht="12.75">
      <c r="A12" s="107"/>
      <c r="B12" s="108" t="s">
        <v>14</v>
      </c>
      <c r="C12" s="109">
        <v>9402.375</v>
      </c>
      <c r="D12" s="110">
        <v>9576.1</v>
      </c>
      <c r="E12" s="110">
        <v>9737.2</v>
      </c>
      <c r="F12" s="110">
        <v>9891.925</v>
      </c>
      <c r="G12" s="111">
        <v>9958.825</v>
      </c>
      <c r="H12" s="111">
        <v>10580.95</v>
      </c>
      <c r="I12" s="111">
        <v>10528.4395</v>
      </c>
      <c r="J12" s="111">
        <v>10564.083895000002</v>
      </c>
      <c r="K12" s="111">
        <v>10591.844733950002</v>
      </c>
      <c r="L12" s="111">
        <v>10610.7331812895</v>
      </c>
      <c r="M12" s="111">
        <v>10618.760513102397</v>
      </c>
      <c r="N12" s="111">
        <v>10614.93811823342</v>
      </c>
      <c r="O12" s="111">
        <v>10598.277499415755</v>
      </c>
      <c r="P12" s="111">
        <v>10566.790274409912</v>
      </c>
      <c r="Q12" s="111">
        <v>10518.488177154011</v>
      </c>
      <c r="R12" s="111">
        <v>10451.383058925552</v>
      </c>
      <c r="S12" s="111">
        <v>10362.486889514807</v>
      </c>
      <c r="T12" s="94"/>
      <c r="U12" s="94"/>
      <c r="V12" s="94"/>
      <c r="W12" s="112"/>
      <c r="X12" s="112"/>
      <c r="Y12" s="112"/>
    </row>
    <row r="13" spans="1:25" ht="12.75">
      <c r="A13" s="107"/>
      <c r="B13" s="113" t="s">
        <v>16</v>
      </c>
      <c r="C13" s="114">
        <v>2754.40625</v>
      </c>
      <c r="D13" s="110">
        <v>2806.1</v>
      </c>
      <c r="E13" s="110">
        <v>2793.5</v>
      </c>
      <c r="F13" s="110">
        <v>2838.9688</v>
      </c>
      <c r="G13" s="111">
        <v>2990.96875</v>
      </c>
      <c r="H13" s="111">
        <v>2842.48</v>
      </c>
      <c r="I13" s="111">
        <v>3041.6696</v>
      </c>
      <c r="J13" s="111">
        <v>3086.4429920000002</v>
      </c>
      <c r="K13" s="111">
        <v>3141.5118518400004</v>
      </c>
      <c r="L13" s="111">
        <v>3196.9020888768005</v>
      </c>
      <c r="M13" s="111">
        <v>3252.6401306543366</v>
      </c>
      <c r="N13" s="111">
        <v>3309.752933267423</v>
      </c>
      <c r="O13" s="111">
        <v>3366.267991932772</v>
      </c>
      <c r="P13" s="111">
        <v>3425.213351771428</v>
      </c>
      <c r="Q13" s="111">
        <v>3483.6176188068566</v>
      </c>
      <c r="R13" s="111">
        <v>3542.5099711829935</v>
      </c>
      <c r="S13" s="111">
        <v>3601.9201706066533</v>
      </c>
      <c r="T13" s="94"/>
      <c r="U13" s="94"/>
      <c r="V13" s="94"/>
      <c r="W13" s="112"/>
      <c r="X13" s="112"/>
      <c r="Y13" s="112"/>
    </row>
    <row r="14" spans="1:25" ht="12.75">
      <c r="A14" s="107"/>
      <c r="B14" s="113" t="s">
        <v>17</v>
      </c>
      <c r="C14" s="114">
        <v>1157.8125</v>
      </c>
      <c r="D14" s="110">
        <v>1256.9</v>
      </c>
      <c r="E14" s="110">
        <v>1266.2</v>
      </c>
      <c r="F14" s="110">
        <v>1345.1563</v>
      </c>
      <c r="G14" s="111">
        <v>1386.3125</v>
      </c>
      <c r="H14" s="111">
        <v>1297.04</v>
      </c>
      <c r="I14" s="111">
        <v>1479.4408</v>
      </c>
      <c r="J14" s="111">
        <v>1509.1096160000002</v>
      </c>
      <c r="K14" s="111">
        <v>1539.3718083200004</v>
      </c>
      <c r="L14" s="111">
        <v>1570.2392444864004</v>
      </c>
      <c r="M14" s="111">
        <v>1601.7240293761283</v>
      </c>
      <c r="N14" s="111">
        <v>1633.838509963651</v>
      </c>
      <c r="O14" s="111">
        <v>1666.595280162924</v>
      </c>
      <c r="P14" s="111">
        <v>1700.0071857661826</v>
      </c>
      <c r="Q14" s="111">
        <v>1734.0873294815062</v>
      </c>
      <c r="R14" s="111">
        <v>1768.8490760711366</v>
      </c>
      <c r="S14" s="111">
        <v>1803.3060575925592</v>
      </c>
      <c r="T14" s="94"/>
      <c r="U14" s="94"/>
      <c r="V14" s="94"/>
      <c r="W14" s="112"/>
      <c r="X14" s="112"/>
      <c r="Y14" s="112"/>
    </row>
    <row r="15" spans="1:25" ht="12.75">
      <c r="A15" s="107"/>
      <c r="B15" s="115" t="s">
        <v>19</v>
      </c>
      <c r="C15" s="116"/>
      <c r="D15" s="110">
        <v>30</v>
      </c>
      <c r="E15" s="110">
        <v>69</v>
      </c>
      <c r="F15" s="110">
        <v>115</v>
      </c>
      <c r="G15" s="111">
        <v>172</v>
      </c>
      <c r="H15" s="111">
        <v>225</v>
      </c>
      <c r="I15" s="111">
        <v>286</v>
      </c>
      <c r="J15" s="111">
        <v>360</v>
      </c>
      <c r="K15" s="111">
        <v>420</v>
      </c>
      <c r="L15" s="111">
        <v>460</v>
      </c>
      <c r="M15" s="111">
        <v>480</v>
      </c>
      <c r="N15" s="111">
        <v>480</v>
      </c>
      <c r="O15" s="111">
        <v>480</v>
      </c>
      <c r="P15" s="111">
        <v>480</v>
      </c>
      <c r="Q15" s="111">
        <v>480</v>
      </c>
      <c r="R15" s="111">
        <v>480</v>
      </c>
      <c r="S15" s="111">
        <v>480</v>
      </c>
      <c r="T15" s="94"/>
      <c r="U15" s="94"/>
      <c r="V15" s="94"/>
      <c r="W15" s="112"/>
      <c r="X15" s="112"/>
      <c r="Y15" s="112"/>
    </row>
    <row r="16" spans="1:25" ht="12.75">
      <c r="A16" s="107"/>
      <c r="B16" s="98"/>
      <c r="C16" s="110"/>
      <c r="D16" s="110"/>
      <c r="E16" s="110"/>
      <c r="F16" s="110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94"/>
      <c r="S16" s="94"/>
      <c r="T16" s="94"/>
      <c r="U16" s="94"/>
      <c r="V16" s="94"/>
      <c r="W16" s="112"/>
      <c r="X16" s="112"/>
      <c r="Y16" s="112"/>
    </row>
    <row r="17" spans="1:25" ht="12.75">
      <c r="A17" s="107" t="s">
        <v>128</v>
      </c>
      <c r="B17" s="98"/>
      <c r="C17" s="110"/>
      <c r="D17" s="110"/>
      <c r="E17" s="110"/>
      <c r="F17" s="110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94"/>
      <c r="S17" s="94"/>
      <c r="T17" s="94"/>
      <c r="U17" s="94"/>
      <c r="V17" s="94"/>
      <c r="W17" s="112"/>
      <c r="X17" s="112"/>
      <c r="Y17" s="112"/>
    </row>
    <row r="18" spans="1:25" ht="12.75">
      <c r="A18" s="107"/>
      <c r="B18" s="108" t="s">
        <v>13</v>
      </c>
      <c r="C18" s="110">
        <v>0</v>
      </c>
      <c r="D18" s="110">
        <v>0</v>
      </c>
      <c r="E18" s="110">
        <v>0</v>
      </c>
      <c r="F18" s="110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11" t="s">
        <v>119</v>
      </c>
      <c r="U18" s="94"/>
      <c r="V18" s="94"/>
      <c r="W18" s="112"/>
      <c r="X18" s="112"/>
      <c r="Y18" s="112"/>
    </row>
    <row r="19" spans="1:25" ht="12.75">
      <c r="A19" s="107"/>
      <c r="B19" s="108" t="s">
        <v>14</v>
      </c>
      <c r="C19" s="110">
        <v>0</v>
      </c>
      <c r="D19" s="110">
        <v>0.8</v>
      </c>
      <c r="E19" s="110">
        <v>0</v>
      </c>
      <c r="F19" s="110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94"/>
      <c r="U19" s="94"/>
      <c r="V19" s="94"/>
      <c r="W19" s="112"/>
      <c r="X19" s="112"/>
      <c r="Y19" s="112"/>
    </row>
    <row r="20" spans="1:25" ht="12.75">
      <c r="A20" s="107"/>
      <c r="B20" s="113" t="s">
        <v>16</v>
      </c>
      <c r="C20" s="110">
        <v>0</v>
      </c>
      <c r="D20" s="110">
        <v>0</v>
      </c>
      <c r="E20" s="110">
        <v>0</v>
      </c>
      <c r="F20" s="110">
        <v>3</v>
      </c>
      <c r="G20" s="111">
        <v>13</v>
      </c>
      <c r="H20" s="111">
        <v>29</v>
      </c>
      <c r="I20" s="111">
        <v>29</v>
      </c>
      <c r="J20" s="111">
        <v>30</v>
      </c>
      <c r="K20" s="111">
        <v>30</v>
      </c>
      <c r="L20" s="111">
        <v>31</v>
      </c>
      <c r="M20" s="111">
        <v>32</v>
      </c>
      <c r="N20" s="111">
        <v>32</v>
      </c>
      <c r="O20" s="111">
        <v>33</v>
      </c>
      <c r="P20" s="111">
        <v>33</v>
      </c>
      <c r="Q20" s="111">
        <v>34</v>
      </c>
      <c r="R20" s="111">
        <v>35</v>
      </c>
      <c r="S20" s="111">
        <v>36</v>
      </c>
      <c r="T20" s="94"/>
      <c r="U20" s="94"/>
      <c r="V20" s="94"/>
      <c r="W20" s="112"/>
      <c r="X20" s="112"/>
      <c r="Y20" s="112"/>
    </row>
    <row r="21" spans="1:25" ht="12.75">
      <c r="A21" s="107"/>
      <c r="B21" s="113" t="s">
        <v>17</v>
      </c>
      <c r="C21" s="110">
        <v>0</v>
      </c>
      <c r="D21" s="110">
        <v>0</v>
      </c>
      <c r="E21" s="110">
        <v>0</v>
      </c>
      <c r="F21" s="110">
        <v>1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94"/>
      <c r="U21" s="94"/>
      <c r="V21" s="94"/>
      <c r="W21" s="112"/>
      <c r="X21" s="112"/>
      <c r="Y21" s="112"/>
    </row>
    <row r="22" spans="1:25" ht="12.75">
      <c r="A22" s="107"/>
      <c r="B22" s="98"/>
      <c r="C22" s="110"/>
      <c r="D22" s="110"/>
      <c r="E22" s="110"/>
      <c r="F22" s="110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94"/>
      <c r="S22" s="94"/>
      <c r="T22" s="94"/>
      <c r="U22" s="94"/>
      <c r="V22" s="94"/>
      <c r="W22" s="112"/>
      <c r="X22" s="112"/>
      <c r="Y22" s="112"/>
    </row>
    <row r="23" spans="1:25" ht="12.75">
      <c r="A23" s="107" t="s">
        <v>31</v>
      </c>
      <c r="B23" s="98"/>
      <c r="C23" s="110"/>
      <c r="D23" s="110"/>
      <c r="E23" s="110"/>
      <c r="F23" s="110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94"/>
      <c r="S23" s="94"/>
      <c r="T23" s="94"/>
      <c r="U23" s="94"/>
      <c r="V23" s="94"/>
      <c r="W23" s="112"/>
      <c r="X23" s="112"/>
      <c r="Y23" s="112"/>
    </row>
    <row r="24" spans="1:25" ht="12.75">
      <c r="A24" s="107"/>
      <c r="B24" s="108" t="s">
        <v>13</v>
      </c>
      <c r="C24" s="110">
        <v>0.325</v>
      </c>
      <c r="D24" s="110">
        <v>0.6</v>
      </c>
      <c r="E24" s="110">
        <v>0.8</v>
      </c>
      <c r="F24" s="110">
        <v>2</v>
      </c>
      <c r="G24" s="111">
        <v>4</v>
      </c>
      <c r="H24" s="111">
        <v>1</v>
      </c>
      <c r="I24" s="111">
        <v>1</v>
      </c>
      <c r="J24" s="111">
        <v>1</v>
      </c>
      <c r="K24" s="111">
        <v>1</v>
      </c>
      <c r="L24" s="111">
        <v>1</v>
      </c>
      <c r="M24" s="111">
        <v>1</v>
      </c>
      <c r="N24" s="111">
        <v>1</v>
      </c>
      <c r="O24" s="111">
        <v>1</v>
      </c>
      <c r="P24" s="111">
        <v>1</v>
      </c>
      <c r="Q24" s="111">
        <v>1</v>
      </c>
      <c r="R24" s="111">
        <v>1</v>
      </c>
      <c r="S24" s="111">
        <v>1</v>
      </c>
      <c r="T24" s="94"/>
      <c r="U24" s="94"/>
      <c r="V24" s="94"/>
      <c r="W24" s="112"/>
      <c r="X24" s="112"/>
      <c r="Y24" s="112"/>
    </row>
    <row r="25" spans="1:25" ht="12.75">
      <c r="A25" s="107"/>
      <c r="B25" s="108" t="s">
        <v>14</v>
      </c>
      <c r="C25" s="109">
        <v>281.65</v>
      </c>
      <c r="D25" s="110">
        <v>322.2</v>
      </c>
      <c r="E25" s="110">
        <v>390.7</v>
      </c>
      <c r="F25" s="110">
        <v>430</v>
      </c>
      <c r="G25" s="111">
        <v>493</v>
      </c>
      <c r="H25" s="111">
        <v>568</v>
      </c>
      <c r="I25" s="111">
        <v>636</v>
      </c>
      <c r="J25" s="111">
        <v>712</v>
      </c>
      <c r="K25" s="111">
        <v>797</v>
      </c>
      <c r="L25" s="111">
        <v>892</v>
      </c>
      <c r="M25" s="111">
        <v>999</v>
      </c>
      <c r="N25" s="111">
        <v>1119</v>
      </c>
      <c r="O25" s="111">
        <v>1253</v>
      </c>
      <c r="P25" s="111">
        <v>1403</v>
      </c>
      <c r="Q25" s="111">
        <v>1571</v>
      </c>
      <c r="R25" s="111">
        <v>1759</v>
      </c>
      <c r="S25" s="111">
        <v>1970</v>
      </c>
      <c r="T25" s="94"/>
      <c r="U25" s="94"/>
      <c r="V25" s="94"/>
      <c r="W25" s="112"/>
      <c r="X25" s="112"/>
      <c r="Y25" s="112"/>
    </row>
    <row r="26" spans="1:25" ht="12.75">
      <c r="A26" s="107"/>
      <c r="B26" s="113" t="s">
        <v>16</v>
      </c>
      <c r="C26" s="114">
        <v>96.9375</v>
      </c>
      <c r="D26" s="110">
        <v>115</v>
      </c>
      <c r="E26" s="110">
        <v>124.8</v>
      </c>
      <c r="F26" s="110">
        <v>119</v>
      </c>
      <c r="G26" s="111">
        <v>153</v>
      </c>
      <c r="H26" s="111">
        <v>159</v>
      </c>
      <c r="I26" s="111">
        <v>168</v>
      </c>
      <c r="J26" s="111">
        <v>187</v>
      </c>
      <c r="K26" s="111">
        <v>198</v>
      </c>
      <c r="L26" s="111">
        <v>209</v>
      </c>
      <c r="M26" s="111">
        <v>221</v>
      </c>
      <c r="N26" s="111">
        <v>234</v>
      </c>
      <c r="O26" s="111">
        <v>248</v>
      </c>
      <c r="P26" s="111">
        <v>262</v>
      </c>
      <c r="Q26" s="111">
        <v>277</v>
      </c>
      <c r="R26" s="111">
        <v>293</v>
      </c>
      <c r="S26" s="111">
        <v>310</v>
      </c>
      <c r="T26" s="94"/>
      <c r="U26" s="94"/>
      <c r="V26" s="94"/>
      <c r="W26" s="112"/>
      <c r="X26" s="112"/>
      <c r="Y26" s="112"/>
    </row>
    <row r="27" spans="1:25" ht="12.75">
      <c r="A27" s="107"/>
      <c r="B27" s="113" t="s">
        <v>17</v>
      </c>
      <c r="C27" s="114">
        <v>5.8125</v>
      </c>
      <c r="D27" s="110">
        <v>2.7</v>
      </c>
      <c r="E27" s="110">
        <v>3.5</v>
      </c>
      <c r="F27" s="110">
        <v>3</v>
      </c>
      <c r="G27" s="111">
        <v>6</v>
      </c>
      <c r="H27" s="111">
        <v>4</v>
      </c>
      <c r="I27" s="111">
        <v>4</v>
      </c>
      <c r="J27" s="111">
        <v>4</v>
      </c>
      <c r="K27" s="111">
        <v>4</v>
      </c>
      <c r="L27" s="111">
        <v>4</v>
      </c>
      <c r="M27" s="111">
        <v>4</v>
      </c>
      <c r="N27" s="111">
        <v>4</v>
      </c>
      <c r="O27" s="111">
        <v>4</v>
      </c>
      <c r="P27" s="111">
        <v>4</v>
      </c>
      <c r="Q27" s="111">
        <v>4</v>
      </c>
      <c r="R27" s="111">
        <v>4</v>
      </c>
      <c r="S27" s="111">
        <v>5</v>
      </c>
      <c r="T27" s="94"/>
      <c r="U27" s="94"/>
      <c r="V27" s="94"/>
      <c r="W27" s="112"/>
      <c r="X27" s="112"/>
      <c r="Y27" s="112"/>
    </row>
    <row r="28" spans="1:25" ht="12.75">
      <c r="A28" s="107"/>
      <c r="B28" s="98"/>
      <c r="C28" s="117" t="s">
        <v>119</v>
      </c>
      <c r="D28" s="117" t="s">
        <v>119</v>
      </c>
      <c r="E28" s="117" t="s">
        <v>119</v>
      </c>
      <c r="F28" s="117" t="s">
        <v>119</v>
      </c>
      <c r="G28" s="117" t="s">
        <v>119</v>
      </c>
      <c r="H28" s="117" t="s">
        <v>119</v>
      </c>
      <c r="I28" s="111"/>
      <c r="J28" s="111"/>
      <c r="K28" s="111"/>
      <c r="L28" s="111"/>
      <c r="M28" s="111"/>
      <c r="N28" s="111"/>
      <c r="O28" s="111"/>
      <c r="P28" s="111"/>
      <c r="Q28" s="111"/>
      <c r="R28" s="94"/>
      <c r="S28" s="94"/>
      <c r="T28" s="94"/>
      <c r="U28" s="94"/>
      <c r="V28" s="94"/>
      <c r="W28" s="112"/>
      <c r="X28" s="112"/>
      <c r="Y28" s="112"/>
    </row>
    <row r="29" spans="1:25" ht="12.75">
      <c r="A29" s="107" t="s">
        <v>100</v>
      </c>
      <c r="B29" s="98"/>
      <c r="C29" s="117"/>
      <c r="D29" s="117"/>
      <c r="E29" s="117"/>
      <c r="F29" s="117"/>
      <c r="G29" s="117"/>
      <c r="H29" s="117"/>
      <c r="I29" s="111"/>
      <c r="J29" s="111"/>
      <c r="K29" s="111"/>
      <c r="L29" s="111"/>
      <c r="M29" s="111"/>
      <c r="N29" s="111"/>
      <c r="O29" s="111"/>
      <c r="P29" s="111"/>
      <c r="Q29" s="111"/>
      <c r="R29" s="94"/>
      <c r="S29" s="94"/>
      <c r="T29" s="94"/>
      <c r="U29" s="94"/>
      <c r="V29" s="94"/>
      <c r="W29" s="112"/>
      <c r="X29" s="112"/>
      <c r="Y29" s="112"/>
    </row>
    <row r="30" spans="1:25" ht="12.75" customHeight="1">
      <c r="A30" s="107" t="s">
        <v>119</v>
      </c>
      <c r="B30" s="108" t="s">
        <v>13</v>
      </c>
      <c r="C30" s="109">
        <v>15.5</v>
      </c>
      <c r="D30" s="110">
        <v>30</v>
      </c>
      <c r="E30" s="110">
        <v>34.7</v>
      </c>
      <c r="F30" s="110">
        <v>40</v>
      </c>
      <c r="G30" s="111">
        <v>36</v>
      </c>
      <c r="H30" s="111">
        <v>37.08</v>
      </c>
      <c r="I30" s="111">
        <v>37.4508</v>
      </c>
      <c r="J30" s="111">
        <v>37.825308</v>
      </c>
      <c r="K30" s="111">
        <v>38.20356108</v>
      </c>
      <c r="L30" s="111">
        <v>38.5855966908</v>
      </c>
      <c r="M30" s="111">
        <v>38.97145265770801</v>
      </c>
      <c r="N30" s="111">
        <v>39.36116718428509</v>
      </c>
      <c r="O30" s="111">
        <v>39.754778856127935</v>
      </c>
      <c r="P30" s="111">
        <v>40.15232664468921</v>
      </c>
      <c r="Q30" s="111">
        <v>40.553849911136105</v>
      </c>
      <c r="R30" s="111">
        <v>40.95938841024746</v>
      </c>
      <c r="S30" s="111">
        <v>41.36898229434994</v>
      </c>
      <c r="T30" s="94"/>
      <c r="U30" s="94"/>
      <c r="V30" s="94"/>
      <c r="W30" s="112"/>
      <c r="X30" s="112"/>
      <c r="Y30" s="112"/>
    </row>
    <row r="31" spans="1:25" ht="12.75">
      <c r="A31" s="107"/>
      <c r="B31" s="108" t="s">
        <v>14</v>
      </c>
      <c r="C31" s="109">
        <v>455.8</v>
      </c>
      <c r="D31" s="110">
        <v>516.8</v>
      </c>
      <c r="E31" s="110">
        <v>575.3</v>
      </c>
      <c r="F31" s="110">
        <v>579</v>
      </c>
      <c r="G31" s="111">
        <v>535</v>
      </c>
      <c r="H31" s="111">
        <v>551.05</v>
      </c>
      <c r="I31" s="111">
        <v>556.5605</v>
      </c>
      <c r="J31" s="111">
        <v>562.126105</v>
      </c>
      <c r="K31" s="111">
        <v>567.7473660500001</v>
      </c>
      <c r="L31" s="111">
        <v>573.4248397105001</v>
      </c>
      <c r="M31" s="111">
        <v>579.1590881076052</v>
      </c>
      <c r="N31" s="111">
        <v>584.9506789886813</v>
      </c>
      <c r="O31" s="111">
        <v>590.8001857785681</v>
      </c>
      <c r="P31" s="111">
        <v>596.7081876363538</v>
      </c>
      <c r="Q31" s="111">
        <v>602.6752695127174</v>
      </c>
      <c r="R31" s="111">
        <v>608.7020222078445</v>
      </c>
      <c r="S31" s="111">
        <v>614.7890424299229</v>
      </c>
      <c r="T31" s="94"/>
      <c r="U31" s="94"/>
      <c r="V31" s="94"/>
      <c r="W31" s="112"/>
      <c r="X31" s="112"/>
      <c r="Y31" s="112"/>
    </row>
    <row r="32" spans="1:25" ht="12.75">
      <c r="A32" s="107"/>
      <c r="B32" s="113" t="s">
        <v>16</v>
      </c>
      <c r="C32" s="114">
        <v>373.65625</v>
      </c>
      <c r="D32" s="110">
        <v>362</v>
      </c>
      <c r="E32" s="110">
        <v>344.1</v>
      </c>
      <c r="F32" s="110">
        <v>393</v>
      </c>
      <c r="G32" s="111">
        <v>513</v>
      </c>
      <c r="H32" s="111">
        <v>533.52</v>
      </c>
      <c r="I32" s="111">
        <v>544.1904</v>
      </c>
      <c r="J32" s="111">
        <v>555.074208</v>
      </c>
      <c r="K32" s="111">
        <v>566.17569216</v>
      </c>
      <c r="L32" s="111">
        <v>577.4992060032</v>
      </c>
      <c r="M32" s="111">
        <v>589.049190123264</v>
      </c>
      <c r="N32" s="111">
        <v>600.8301739257292</v>
      </c>
      <c r="O32" s="111">
        <v>612.8467774042439</v>
      </c>
      <c r="P32" s="111">
        <v>625.1037129523288</v>
      </c>
      <c r="Q32" s="111">
        <v>637.6057872113754</v>
      </c>
      <c r="R32" s="111">
        <v>650.3579029556029</v>
      </c>
      <c r="S32" s="111">
        <v>663.3650610147149</v>
      </c>
      <c r="T32" s="94"/>
      <c r="U32" s="94"/>
      <c r="V32" s="94"/>
      <c r="W32" s="112"/>
      <c r="X32" s="112"/>
      <c r="Y32" s="112"/>
    </row>
    <row r="33" spans="1:25" ht="12.75">
      <c r="A33" s="107"/>
      <c r="B33" s="113" t="s">
        <v>17</v>
      </c>
      <c r="C33" s="114">
        <v>36.21875</v>
      </c>
      <c r="D33" s="110">
        <v>29.1</v>
      </c>
      <c r="E33" s="110">
        <v>18.8</v>
      </c>
      <c r="F33" s="110">
        <v>26</v>
      </c>
      <c r="G33" s="111">
        <v>24</v>
      </c>
      <c r="H33" s="111">
        <v>24.96</v>
      </c>
      <c r="I33" s="111">
        <v>25.459200000000003</v>
      </c>
      <c r="J33" s="111">
        <v>25.968384000000004</v>
      </c>
      <c r="K33" s="111">
        <v>26.487751680000006</v>
      </c>
      <c r="L33" s="111">
        <v>27.017506713600007</v>
      </c>
      <c r="M33" s="111">
        <v>27.557856847872007</v>
      </c>
      <c r="N33" s="111">
        <v>28.109013984829446</v>
      </c>
      <c r="O33" s="111">
        <v>28.671194264526036</v>
      </c>
      <c r="P33" s="111">
        <v>29.244618149816556</v>
      </c>
      <c r="Q33" s="111">
        <v>29.829510512812888</v>
      </c>
      <c r="R33" s="111">
        <v>30.426100723069148</v>
      </c>
      <c r="S33" s="111">
        <v>31.03462273753053</v>
      </c>
      <c r="T33" s="94"/>
      <c r="U33" s="94"/>
      <c r="V33" s="94"/>
      <c r="W33" s="112"/>
      <c r="X33" s="112"/>
      <c r="Y33" s="112"/>
    </row>
    <row r="34" spans="1:25" ht="12.75">
      <c r="A34" s="107"/>
      <c r="B34" s="98"/>
      <c r="C34" s="110"/>
      <c r="D34" s="110"/>
      <c r="E34" s="110" t="s">
        <v>119</v>
      </c>
      <c r="F34" s="110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94"/>
      <c r="S34" s="94"/>
      <c r="T34" s="94"/>
      <c r="U34" s="94"/>
      <c r="V34" s="94"/>
      <c r="W34" s="112"/>
      <c r="X34" s="112"/>
      <c r="Y34" s="112"/>
    </row>
    <row r="35" spans="1:25" ht="12.75">
      <c r="A35" s="107" t="s">
        <v>33</v>
      </c>
      <c r="B35" s="98"/>
      <c r="C35" s="110"/>
      <c r="D35" s="110"/>
      <c r="E35" s="110"/>
      <c r="F35" s="110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94"/>
      <c r="S35" s="94"/>
      <c r="T35" s="94"/>
      <c r="U35" s="94"/>
      <c r="V35" s="94"/>
      <c r="W35" s="112"/>
      <c r="X35" s="112"/>
      <c r="Y35" s="112"/>
    </row>
    <row r="36" spans="1:25" ht="12.75">
      <c r="A36" s="107"/>
      <c r="B36" s="108" t="s">
        <v>13</v>
      </c>
      <c r="C36" s="110">
        <v>8727.8</v>
      </c>
      <c r="D36" s="110">
        <v>9269.4</v>
      </c>
      <c r="E36" s="110">
        <v>9956.9</v>
      </c>
      <c r="F36" s="110">
        <v>10006.425</v>
      </c>
      <c r="G36" s="110">
        <v>10252.85</v>
      </c>
      <c r="H36" s="110">
        <v>9867</v>
      </c>
      <c r="I36" s="111">
        <v>9946</v>
      </c>
      <c r="J36" s="111">
        <v>10045.46</v>
      </c>
      <c r="K36" s="111">
        <v>10145.914600000002</v>
      </c>
      <c r="L36" s="111">
        <v>10247.373746000001</v>
      </c>
      <c r="M36" s="111">
        <v>10349.847483460002</v>
      </c>
      <c r="N36" s="111">
        <v>10453.345958294602</v>
      </c>
      <c r="O36" s="111">
        <v>10557.879417877548</v>
      </c>
      <c r="P36" s="111">
        <v>10663.458212056323</v>
      </c>
      <c r="Q36" s="111">
        <v>10770.092794176886</v>
      </c>
      <c r="R36" s="111">
        <v>10877.793722118655</v>
      </c>
      <c r="S36" s="111">
        <v>10986.571659339841</v>
      </c>
      <c r="T36" s="94"/>
      <c r="U36" s="94"/>
      <c r="V36" s="94"/>
      <c r="W36" s="112"/>
      <c r="X36" s="112"/>
      <c r="Y36" s="112"/>
    </row>
    <row r="37" spans="1:25" ht="13.5" thickBot="1">
      <c r="A37" s="107"/>
      <c r="B37" s="108" t="s">
        <v>14</v>
      </c>
      <c r="C37" s="118">
        <v>10139.824999999999</v>
      </c>
      <c r="D37" s="118">
        <v>10415.9</v>
      </c>
      <c r="E37" s="118">
        <v>10703.2</v>
      </c>
      <c r="F37" s="118">
        <v>10900.925</v>
      </c>
      <c r="G37" s="118">
        <v>10986.825</v>
      </c>
      <c r="H37" s="118">
        <v>11700</v>
      </c>
      <c r="I37" s="119">
        <v>11721</v>
      </c>
      <c r="J37" s="119">
        <v>11838.21</v>
      </c>
      <c r="K37" s="119">
        <v>11956.592100000002</v>
      </c>
      <c r="L37" s="119">
        <v>12076.158021000001</v>
      </c>
      <c r="M37" s="119">
        <v>12196.919601210002</v>
      </c>
      <c r="N37" s="119">
        <v>12318.888797222102</v>
      </c>
      <c r="O37" s="119">
        <v>12442.077685194323</v>
      </c>
      <c r="P37" s="119">
        <v>12566.498462046266</v>
      </c>
      <c r="Q37" s="119">
        <v>12692.16344666673</v>
      </c>
      <c r="R37" s="119">
        <v>12819.085081133397</v>
      </c>
      <c r="S37" s="119">
        <v>12947.27593194473</v>
      </c>
      <c r="T37" s="94"/>
      <c r="U37" s="94"/>
      <c r="V37" s="94"/>
      <c r="W37" s="112"/>
      <c r="X37" s="112"/>
      <c r="Y37" s="112"/>
    </row>
    <row r="38" spans="1:25" ht="12.75">
      <c r="A38" s="107"/>
      <c r="B38" s="120" t="s">
        <v>129</v>
      </c>
      <c r="C38" s="121">
        <v>18867.625</v>
      </c>
      <c r="D38" s="121">
        <v>19685.3</v>
      </c>
      <c r="E38" s="121">
        <v>20660.1</v>
      </c>
      <c r="F38" s="121">
        <v>20907.35</v>
      </c>
      <c r="G38" s="121">
        <v>21239.675000000003</v>
      </c>
      <c r="H38" s="121">
        <v>21567</v>
      </c>
      <c r="I38" s="121">
        <v>21667</v>
      </c>
      <c r="J38" s="121">
        <v>21883.67</v>
      </c>
      <c r="K38" s="121">
        <v>22102.506700000005</v>
      </c>
      <c r="L38" s="121">
        <v>22323.531767</v>
      </c>
      <c r="M38" s="121">
        <v>22546.767084670006</v>
      </c>
      <c r="N38" s="121">
        <v>22772.234755516703</v>
      </c>
      <c r="O38" s="121">
        <v>22999.957103071873</v>
      </c>
      <c r="P38" s="121">
        <v>23229.95667410259</v>
      </c>
      <c r="Q38" s="121">
        <v>23462.256240843613</v>
      </c>
      <c r="R38" s="121">
        <v>23696.878803252053</v>
      </c>
      <c r="S38" s="121">
        <v>23933.84759128457</v>
      </c>
      <c r="T38" s="94"/>
      <c r="U38" s="94"/>
      <c r="V38" s="94"/>
      <c r="W38" s="112"/>
      <c r="X38" s="112"/>
      <c r="Y38" s="112"/>
    </row>
    <row r="39" spans="1:25" ht="12.75">
      <c r="A39" s="107"/>
      <c r="B39" s="108"/>
      <c r="C39" s="110"/>
      <c r="D39" s="110"/>
      <c r="E39" s="110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94"/>
      <c r="U39" s="94"/>
      <c r="V39" s="94"/>
      <c r="W39" s="112"/>
      <c r="X39" s="112"/>
      <c r="Y39" s="112"/>
    </row>
    <row r="40" spans="1:25" ht="12.75">
      <c r="A40" s="107"/>
      <c r="B40" s="113" t="s">
        <v>16</v>
      </c>
      <c r="C40" s="110">
        <v>3225</v>
      </c>
      <c r="D40" s="110">
        <v>3283.1</v>
      </c>
      <c r="E40" s="110">
        <v>3262.4</v>
      </c>
      <c r="F40" s="110">
        <v>3353.9688</v>
      </c>
      <c r="G40" s="110">
        <v>3669.96875</v>
      </c>
      <c r="H40" s="110">
        <v>3564</v>
      </c>
      <c r="I40" s="111">
        <v>3782.86</v>
      </c>
      <c r="J40" s="111">
        <v>3858.5172000000002</v>
      </c>
      <c r="K40" s="111">
        <v>3935.6875440000003</v>
      </c>
      <c r="L40" s="111">
        <v>4014.4012948800005</v>
      </c>
      <c r="M40" s="111">
        <v>4094.6893207776006</v>
      </c>
      <c r="N40" s="111">
        <v>4176.5831071931525</v>
      </c>
      <c r="O40" s="111">
        <v>4260.114769337016</v>
      </c>
      <c r="P40" s="111">
        <v>4345.317064723757</v>
      </c>
      <c r="Q40" s="111">
        <v>4432.223406018232</v>
      </c>
      <c r="R40" s="111">
        <v>4520.867874138597</v>
      </c>
      <c r="S40" s="111">
        <v>4611.285231621368</v>
      </c>
      <c r="T40" s="94"/>
      <c r="U40" s="94"/>
      <c r="V40" s="94"/>
      <c r="W40" s="112"/>
      <c r="X40" s="112"/>
      <c r="Y40" s="112"/>
    </row>
    <row r="41" spans="1:25" ht="13.5" thickBot="1">
      <c r="A41" s="107"/>
      <c r="B41" s="113" t="s">
        <v>17</v>
      </c>
      <c r="C41" s="118">
        <v>1199.84375</v>
      </c>
      <c r="D41" s="118">
        <v>1288.7</v>
      </c>
      <c r="E41" s="118">
        <v>1288.5</v>
      </c>
      <c r="F41" s="118">
        <v>1375.1563</v>
      </c>
      <c r="G41" s="118">
        <v>1416.3125</v>
      </c>
      <c r="H41" s="118">
        <v>1326</v>
      </c>
      <c r="I41" s="119">
        <v>1508.9</v>
      </c>
      <c r="J41" s="119">
        <v>1539.0780000000002</v>
      </c>
      <c r="K41" s="119">
        <v>1569.8595600000003</v>
      </c>
      <c r="L41" s="119">
        <v>1601.2567512000003</v>
      </c>
      <c r="M41" s="119">
        <v>1633.2818862240003</v>
      </c>
      <c r="N41" s="119">
        <v>1665.9475239484805</v>
      </c>
      <c r="O41" s="119">
        <v>1699.26647442745</v>
      </c>
      <c r="P41" s="119">
        <v>1733.251803915999</v>
      </c>
      <c r="Q41" s="119">
        <v>1767.9168399943192</v>
      </c>
      <c r="R41" s="119">
        <v>1803.2751767942057</v>
      </c>
      <c r="S41" s="119">
        <v>1839.3406803300898</v>
      </c>
      <c r="T41" s="94"/>
      <c r="U41" s="94"/>
      <c r="V41" s="94"/>
      <c r="W41" s="112"/>
      <c r="X41" s="112"/>
      <c r="Y41" s="112"/>
    </row>
    <row r="42" spans="1:25" ht="12.75">
      <c r="A42" s="107"/>
      <c r="B42" s="122" t="s">
        <v>130</v>
      </c>
      <c r="C42" s="121">
        <v>4424.84375</v>
      </c>
      <c r="D42" s="121">
        <v>4571.8</v>
      </c>
      <c r="E42" s="121">
        <v>4550.9</v>
      </c>
      <c r="F42" s="121">
        <v>4729.1251</v>
      </c>
      <c r="G42" s="121">
        <v>5086.28125</v>
      </c>
      <c r="H42" s="121">
        <v>4890</v>
      </c>
      <c r="I42" s="121">
        <v>5291.76</v>
      </c>
      <c r="J42" s="121">
        <v>5397.595200000001</v>
      </c>
      <c r="K42" s="121">
        <v>5505.547104000001</v>
      </c>
      <c r="L42" s="121">
        <v>5615.6580460800005</v>
      </c>
      <c r="M42" s="121">
        <v>5727.971207001601</v>
      </c>
      <c r="N42" s="121">
        <v>5842.530631141633</v>
      </c>
      <c r="O42" s="121">
        <v>5959.381243764466</v>
      </c>
      <c r="P42" s="121">
        <v>6078.568868639755</v>
      </c>
      <c r="Q42" s="121">
        <v>6200.140246012551</v>
      </c>
      <c r="R42" s="121">
        <v>6324.143050932802</v>
      </c>
      <c r="S42" s="121">
        <v>6450.625911951458</v>
      </c>
      <c r="T42" s="94"/>
      <c r="U42" s="94"/>
      <c r="V42" s="94"/>
      <c r="W42" s="112"/>
      <c r="X42" s="112"/>
      <c r="Y42" s="112"/>
    </row>
    <row r="43" spans="1:25" ht="12.75">
      <c r="A43" s="107"/>
      <c r="B43" s="113"/>
      <c r="C43" s="121"/>
      <c r="D43" s="121"/>
      <c r="E43" s="121"/>
      <c r="F43" s="121" t="s">
        <v>119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3" t="s">
        <v>119</v>
      </c>
      <c r="R43" s="124" t="s">
        <v>119</v>
      </c>
      <c r="S43" s="94"/>
      <c r="T43" s="94"/>
      <c r="U43" s="94"/>
      <c r="V43" s="94"/>
      <c r="W43" s="112"/>
      <c r="X43" s="112"/>
      <c r="Y43" s="112"/>
    </row>
    <row r="44" spans="1:25" ht="12.75">
      <c r="A44" s="107"/>
      <c r="B44" s="115" t="s">
        <v>131</v>
      </c>
      <c r="C44" s="110">
        <v>23292.46875</v>
      </c>
      <c r="D44" s="110">
        <v>24257.1</v>
      </c>
      <c r="E44" s="110">
        <v>25211</v>
      </c>
      <c r="F44" s="110">
        <v>25636.4751</v>
      </c>
      <c r="G44" s="110">
        <v>26325.956250000003</v>
      </c>
      <c r="H44" s="110">
        <v>26457</v>
      </c>
      <c r="I44" s="110">
        <v>26958.76</v>
      </c>
      <c r="J44" s="110">
        <v>27281.2652</v>
      </c>
      <c r="K44" s="110">
        <v>27608.053804000006</v>
      </c>
      <c r="L44" s="110">
        <v>27939.18981308</v>
      </c>
      <c r="M44" s="110">
        <v>28274.73829167161</v>
      </c>
      <c r="N44" s="110">
        <v>28614.765386658335</v>
      </c>
      <c r="O44" s="110">
        <v>28959.33834683634</v>
      </c>
      <c r="P44" s="110">
        <v>29308.525542742344</v>
      </c>
      <c r="Q44" s="110">
        <v>29662.396486856163</v>
      </c>
      <c r="R44" s="110">
        <v>30021.021854184855</v>
      </c>
      <c r="S44" s="110">
        <v>30384.47350323603</v>
      </c>
      <c r="T44" s="94"/>
      <c r="U44" s="94"/>
      <c r="V44" s="94"/>
      <c r="W44" s="112"/>
      <c r="X44" s="112"/>
      <c r="Y44" s="112"/>
    </row>
    <row r="45" spans="1:25" ht="12.75">
      <c r="A45" s="98"/>
      <c r="B45" s="98"/>
      <c r="C45" s="98"/>
      <c r="D45" s="98"/>
      <c r="E45" s="98"/>
      <c r="F45" s="98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112"/>
      <c r="X45" s="112"/>
      <c r="Y45" s="112"/>
    </row>
    <row r="46" spans="1:25" ht="12.75">
      <c r="A46" s="115" t="s">
        <v>19</v>
      </c>
      <c r="B46" s="107"/>
      <c r="C46" s="125" t="s">
        <v>132</v>
      </c>
      <c r="D46" s="110">
        <v>30</v>
      </c>
      <c r="E46" s="110">
        <v>69</v>
      </c>
      <c r="F46" s="110">
        <v>115</v>
      </c>
      <c r="G46" s="111">
        <v>172</v>
      </c>
      <c r="H46" s="111">
        <v>225</v>
      </c>
      <c r="I46" s="111">
        <v>286</v>
      </c>
      <c r="J46" s="111">
        <v>360</v>
      </c>
      <c r="K46" s="111">
        <v>420</v>
      </c>
      <c r="L46" s="111">
        <v>460</v>
      </c>
      <c r="M46" s="111">
        <v>480</v>
      </c>
      <c r="N46" s="111">
        <v>480</v>
      </c>
      <c r="O46" s="111">
        <v>480</v>
      </c>
      <c r="P46" s="111">
        <v>480</v>
      </c>
      <c r="Q46" s="111">
        <v>480</v>
      </c>
      <c r="R46" s="111">
        <v>480</v>
      </c>
      <c r="S46" s="111">
        <v>480</v>
      </c>
      <c r="T46" s="94"/>
      <c r="U46" s="94"/>
      <c r="V46" s="94"/>
      <c r="W46" s="112"/>
      <c r="X46" s="112"/>
      <c r="Y46" s="112"/>
    </row>
    <row r="47" spans="1:25" ht="12.75">
      <c r="A47" s="115"/>
      <c r="B47" s="107"/>
      <c r="C47" s="125"/>
      <c r="D47" s="110"/>
      <c r="E47" s="110"/>
      <c r="F47" s="110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94"/>
      <c r="U47" s="94"/>
      <c r="V47" s="94"/>
      <c r="W47" s="112"/>
      <c r="X47" s="112"/>
      <c r="Y47" s="112"/>
    </row>
    <row r="48" spans="2:25" ht="12.75">
      <c r="B48" s="126"/>
      <c r="D48" s="123"/>
      <c r="E48" s="123"/>
      <c r="F48" s="123"/>
      <c r="G48" s="123"/>
      <c r="H48" s="127"/>
      <c r="I48" s="128"/>
      <c r="J48" s="127"/>
      <c r="K48" s="127"/>
      <c r="L48" s="127"/>
      <c r="M48" s="127"/>
      <c r="N48" s="127"/>
      <c r="P48" s="112"/>
      <c r="Q48" s="112"/>
      <c r="R48" s="112"/>
      <c r="S48" s="112"/>
      <c r="T48" s="112"/>
      <c r="U48" s="112"/>
      <c r="V48" s="112"/>
      <c r="W48" s="112"/>
      <c r="X48" s="112"/>
      <c r="Y48" s="112"/>
    </row>
    <row r="49" spans="2:25" ht="12.75">
      <c r="B49" s="126"/>
      <c r="D49" s="123"/>
      <c r="E49" s="123"/>
      <c r="F49" s="123"/>
      <c r="G49" s="123"/>
      <c r="H49" s="127"/>
      <c r="I49" s="128"/>
      <c r="J49" s="127"/>
      <c r="K49" s="127"/>
      <c r="L49" s="127"/>
      <c r="M49" s="127"/>
      <c r="N49" s="127"/>
      <c r="P49" s="112"/>
      <c r="Q49" s="112"/>
      <c r="R49" s="112"/>
      <c r="S49" s="112"/>
      <c r="T49" s="112"/>
      <c r="U49" s="112"/>
      <c r="V49" s="112"/>
      <c r="W49" s="112"/>
      <c r="X49" s="112"/>
      <c r="Y49" s="112"/>
    </row>
    <row r="50" spans="2:25" ht="12.75">
      <c r="B50" s="126"/>
      <c r="D50" s="123"/>
      <c r="E50" s="123"/>
      <c r="F50" s="123"/>
      <c r="G50" s="123"/>
      <c r="H50" s="127"/>
      <c r="I50" s="128"/>
      <c r="J50" s="127"/>
      <c r="K50" s="127"/>
      <c r="L50" s="127"/>
      <c r="M50" s="127"/>
      <c r="N50" s="127"/>
      <c r="P50" s="112"/>
      <c r="Q50" s="112"/>
      <c r="R50" s="112"/>
      <c r="S50" s="112"/>
      <c r="T50" s="112"/>
      <c r="U50" s="112"/>
      <c r="V50" s="112"/>
      <c r="W50" s="112"/>
      <c r="X50" s="112"/>
      <c r="Y50" s="112"/>
    </row>
    <row r="51" spans="2:25" ht="12.75">
      <c r="B51" s="126"/>
      <c r="D51" s="123"/>
      <c r="E51" s="123"/>
      <c r="F51" s="123"/>
      <c r="G51" s="123"/>
      <c r="H51" s="127"/>
      <c r="I51" s="128"/>
      <c r="J51" s="127"/>
      <c r="K51" s="127"/>
      <c r="L51" s="127"/>
      <c r="M51" s="127"/>
      <c r="N51" s="127"/>
      <c r="P51" s="112"/>
      <c r="Q51" s="112"/>
      <c r="R51" s="112"/>
      <c r="S51" s="112"/>
      <c r="T51" s="112"/>
      <c r="U51" s="112"/>
      <c r="V51" s="112"/>
      <c r="W51" s="112"/>
      <c r="X51" s="112"/>
      <c r="Y51" s="112"/>
    </row>
    <row r="52" spans="2:25" ht="12.75">
      <c r="B52" s="126"/>
      <c r="D52" s="123"/>
      <c r="E52" s="123"/>
      <c r="F52" s="123"/>
      <c r="G52" s="123"/>
      <c r="H52" s="127"/>
      <c r="I52" s="128"/>
      <c r="J52" s="127"/>
      <c r="K52" s="127"/>
      <c r="L52" s="127"/>
      <c r="M52" s="127"/>
      <c r="N52" s="127"/>
      <c r="P52" s="112"/>
      <c r="Q52" s="112"/>
      <c r="R52" s="112"/>
      <c r="S52" s="112"/>
      <c r="T52" s="112"/>
      <c r="U52" s="112"/>
      <c r="V52" s="112"/>
      <c r="W52" s="112"/>
      <c r="X52" s="112"/>
      <c r="Y52" s="112"/>
    </row>
    <row r="53" spans="2:25" ht="12.75">
      <c r="B53" s="126"/>
      <c r="D53" s="123"/>
      <c r="E53" s="123"/>
      <c r="F53" s="123"/>
      <c r="G53" s="123"/>
      <c r="H53" s="127"/>
      <c r="I53" s="128"/>
      <c r="J53" s="127"/>
      <c r="K53" s="127"/>
      <c r="L53" s="127"/>
      <c r="M53" s="127"/>
      <c r="N53" s="127"/>
      <c r="P53" s="112"/>
      <c r="Q53" s="112"/>
      <c r="R53" s="112"/>
      <c r="S53" s="112"/>
      <c r="T53" s="112"/>
      <c r="U53" s="112"/>
      <c r="V53" s="112"/>
      <c r="W53" s="112"/>
      <c r="X53" s="112"/>
      <c r="Y53" s="112"/>
    </row>
    <row r="54" spans="2:25" ht="12.75">
      <c r="B54" s="126"/>
      <c r="D54" s="123"/>
      <c r="E54" s="123"/>
      <c r="F54" s="123"/>
      <c r="G54" s="123"/>
      <c r="H54" s="127"/>
      <c r="I54" s="128"/>
      <c r="J54" s="127"/>
      <c r="K54" s="127"/>
      <c r="L54" s="127"/>
      <c r="M54" s="127"/>
      <c r="N54" s="127"/>
      <c r="P54" s="112"/>
      <c r="Q54" s="112"/>
      <c r="R54" s="112"/>
      <c r="S54" s="112"/>
      <c r="T54" s="112"/>
      <c r="U54" s="112"/>
      <c r="V54" s="112"/>
      <c r="W54" s="112"/>
      <c r="X54" s="112"/>
      <c r="Y54" s="112"/>
    </row>
    <row r="55" spans="2:25" ht="12.75">
      <c r="B55" s="126"/>
      <c r="D55" s="123"/>
      <c r="E55" s="123"/>
      <c r="F55" s="123"/>
      <c r="G55" s="123"/>
      <c r="H55" s="127"/>
      <c r="I55" s="128"/>
      <c r="J55" s="127"/>
      <c r="K55" s="127"/>
      <c r="L55" s="127"/>
      <c r="M55" s="127"/>
      <c r="N55" s="127"/>
      <c r="P55" s="112"/>
      <c r="Q55" s="112"/>
      <c r="R55" s="112"/>
      <c r="S55" s="112"/>
      <c r="T55" s="112"/>
      <c r="U55" s="112"/>
      <c r="V55" s="112"/>
      <c r="W55" s="112"/>
      <c r="X55" s="112"/>
      <c r="Y55" s="112"/>
    </row>
    <row r="56" spans="4:25" ht="12.75">
      <c r="D56" s="123"/>
      <c r="E56" s="123"/>
      <c r="F56" s="123"/>
      <c r="G56" s="123"/>
      <c r="H56" s="127"/>
      <c r="I56" s="127"/>
      <c r="J56" s="127"/>
      <c r="K56" s="127"/>
      <c r="L56" s="127"/>
      <c r="M56" s="127"/>
      <c r="N56" s="127"/>
      <c r="P56" s="112"/>
      <c r="Q56" s="112"/>
      <c r="R56" s="112"/>
      <c r="S56" s="112"/>
      <c r="T56" s="112"/>
      <c r="U56" s="112"/>
      <c r="V56" s="112"/>
      <c r="W56" s="112"/>
      <c r="X56" s="112"/>
      <c r="Y56" s="112"/>
    </row>
    <row r="57" spans="4:25" ht="12.75">
      <c r="D57" s="123"/>
      <c r="E57" s="123"/>
      <c r="F57" s="123"/>
      <c r="G57" s="123"/>
      <c r="H57" s="127"/>
      <c r="I57" s="127"/>
      <c r="J57" s="127"/>
      <c r="K57" s="127"/>
      <c r="L57" s="127"/>
      <c r="M57" s="127"/>
      <c r="N57" s="127"/>
      <c r="P57" s="112"/>
      <c r="Q57" s="112"/>
      <c r="R57" s="112"/>
      <c r="S57" s="112"/>
      <c r="T57" s="112"/>
      <c r="U57" s="112"/>
      <c r="V57" s="112"/>
      <c r="W57" s="112"/>
      <c r="X57" s="112"/>
      <c r="Y57" s="112"/>
    </row>
    <row r="58" spans="4:25" ht="12.75">
      <c r="D58" s="123"/>
      <c r="E58" s="123"/>
      <c r="F58" s="123"/>
      <c r="G58" s="123"/>
      <c r="H58" s="127"/>
      <c r="I58" s="127"/>
      <c r="J58" s="127"/>
      <c r="K58" s="127"/>
      <c r="L58" s="127"/>
      <c r="M58" s="127"/>
      <c r="N58" s="127"/>
      <c r="P58" s="112"/>
      <c r="Q58" s="112"/>
      <c r="R58" s="112"/>
      <c r="S58" s="112"/>
      <c r="T58" s="112"/>
      <c r="U58" s="112"/>
      <c r="V58" s="112"/>
      <c r="W58" s="112"/>
      <c r="X58" s="112"/>
      <c r="Y58" s="112"/>
    </row>
    <row r="59" spans="4:25" ht="12.75">
      <c r="D59" s="123"/>
      <c r="E59" s="123"/>
      <c r="F59" s="123"/>
      <c r="G59" s="123"/>
      <c r="H59" s="127"/>
      <c r="I59" s="127"/>
      <c r="J59" s="127"/>
      <c r="K59" s="127"/>
      <c r="L59" s="127"/>
      <c r="M59" s="127"/>
      <c r="N59" s="127"/>
      <c r="O59" s="128"/>
      <c r="P59" s="128"/>
      <c r="Q59" s="128"/>
      <c r="R59" s="128"/>
      <c r="S59" s="128"/>
      <c r="T59" s="112"/>
      <c r="U59" s="112"/>
      <c r="V59" s="112"/>
      <c r="W59" s="112"/>
      <c r="X59" s="112"/>
      <c r="Y59" s="112"/>
    </row>
    <row r="60" spans="3:25" ht="12.75">
      <c r="C60" s="129"/>
      <c r="D60" s="129"/>
      <c r="E60" s="129"/>
      <c r="F60" s="129"/>
      <c r="G60" s="129"/>
      <c r="H60" s="129"/>
      <c r="J60" s="127"/>
      <c r="K60" s="127"/>
      <c r="L60" s="127"/>
      <c r="M60" s="127"/>
      <c r="N60" s="127"/>
      <c r="P60" s="112"/>
      <c r="Q60" s="130"/>
      <c r="R60" s="112"/>
      <c r="S60" s="112"/>
      <c r="T60" s="112"/>
      <c r="U60" s="112"/>
      <c r="V60" s="112"/>
      <c r="W60" s="112"/>
      <c r="X60" s="112"/>
      <c r="Y60" s="112"/>
    </row>
    <row r="61" spans="3:25" ht="12.75">
      <c r="C61" s="129"/>
      <c r="D61" s="129"/>
      <c r="E61" s="129"/>
      <c r="F61" s="129"/>
      <c r="G61" s="129"/>
      <c r="H61" s="129"/>
      <c r="I61" s="112"/>
      <c r="J61" s="112"/>
      <c r="K61" s="112"/>
      <c r="L61" s="112"/>
      <c r="M61" s="112"/>
      <c r="N61" s="112"/>
      <c r="O61" s="112"/>
      <c r="P61" s="112"/>
      <c r="Q61" s="130"/>
      <c r="R61" s="112"/>
      <c r="S61" s="112"/>
      <c r="T61" s="112"/>
      <c r="U61" s="112"/>
      <c r="V61" s="112"/>
      <c r="W61" s="112"/>
      <c r="X61" s="112"/>
      <c r="Y61" s="112"/>
    </row>
    <row r="62" spans="3:19" ht="12.75">
      <c r="C62" s="131"/>
      <c r="D62" s="131"/>
      <c r="E62" s="131"/>
      <c r="F62" s="131"/>
      <c r="G62" s="131"/>
      <c r="H62" s="131"/>
      <c r="L62" s="132"/>
      <c r="M62" s="132"/>
      <c r="N62" s="132"/>
      <c r="O62" s="128"/>
      <c r="P62" s="132"/>
      <c r="Q62" s="132"/>
      <c r="R62" s="132"/>
      <c r="S62" s="132"/>
    </row>
    <row r="63" spans="4:7" ht="12.75">
      <c r="D63" s="123"/>
      <c r="E63" s="123"/>
      <c r="F63" s="123"/>
      <c r="G63" s="123"/>
    </row>
    <row r="64" spans="4:25" ht="12.75">
      <c r="D64" s="123"/>
      <c r="E64" s="123"/>
      <c r="F64" s="123"/>
      <c r="G64" s="123"/>
      <c r="H64" s="127"/>
      <c r="I64" s="127"/>
      <c r="J64" s="127"/>
      <c r="L64" s="133"/>
      <c r="M64" s="133"/>
      <c r="N64" s="133"/>
      <c r="O64" s="133"/>
      <c r="P64" s="133"/>
      <c r="Q64" s="133"/>
      <c r="R64" s="112"/>
      <c r="S64" s="112"/>
      <c r="T64" s="112"/>
      <c r="U64" s="112"/>
      <c r="V64" s="112"/>
      <c r="W64" s="112"/>
      <c r="X64" s="112"/>
      <c r="Y64" s="112"/>
    </row>
    <row r="65" spans="4:25" ht="12.75">
      <c r="D65" s="123"/>
      <c r="E65" s="123"/>
      <c r="F65" s="123"/>
      <c r="G65" s="123"/>
      <c r="H65" s="127"/>
      <c r="I65" s="127"/>
      <c r="J65" s="127"/>
      <c r="L65" s="133"/>
      <c r="M65" s="133"/>
      <c r="N65" s="133"/>
      <c r="O65" s="133"/>
      <c r="P65" s="133"/>
      <c r="Q65" s="133"/>
      <c r="R65" s="112"/>
      <c r="S65" s="112"/>
      <c r="T65" s="112"/>
      <c r="U65" s="112"/>
      <c r="V65" s="112"/>
      <c r="W65" s="112"/>
      <c r="X65" s="112"/>
      <c r="Y65" s="112"/>
    </row>
    <row r="66" spans="3:25" ht="13.5" thickBot="1"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</row>
    <row r="67" spans="3:25" ht="13.5" thickBot="1"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51"/>
      <c r="P67" s="112"/>
      <c r="Q67" s="112"/>
      <c r="R67" s="112"/>
      <c r="S67" s="112"/>
      <c r="T67" s="112"/>
      <c r="U67" s="112"/>
      <c r="V67" s="112"/>
      <c r="W67" s="112"/>
      <c r="X67" s="112"/>
      <c r="Y67" s="112"/>
    </row>
    <row r="68" spans="16:25" ht="12.75">
      <c r="P68" s="112"/>
      <c r="Q68" s="112"/>
      <c r="R68" s="112"/>
      <c r="S68" s="112"/>
      <c r="T68" s="112"/>
      <c r="U68" s="112"/>
      <c r="V68" s="112"/>
      <c r="W68" s="112"/>
      <c r="X68" s="112"/>
      <c r="Y68" s="112"/>
    </row>
  </sheetData>
  <printOptions horizontalCentered="1"/>
  <pageMargins left="0.25" right="0.25" top="1" bottom="1" header="0.5" footer="0.5"/>
  <pageSetup fitToHeight="1" fitToWidth="1" horizontalDpi="600" verticalDpi="600" orientation="landscape" scale="50" r:id="rId3"/>
  <headerFooter alignWithMargins="0">
    <oddFooter>&amp;L&amp;A&amp;R&amp;8Prepared by Office of Planning, Budgeting and Policy Analysis, DCU,  &amp;F  &amp;D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workbookViewId="0" topLeftCell="B9">
      <selection activeCell="C5" sqref="C5"/>
    </sheetView>
  </sheetViews>
  <sheetFormatPr defaultColWidth="9.140625" defaultRowHeight="12.75"/>
  <cols>
    <col min="6" max="6" width="10.00390625" style="0" customWidth="1"/>
  </cols>
  <sheetData>
    <row r="1" spans="1:17" ht="12.75" customHeight="1">
      <c r="A1" s="287" t="s">
        <v>93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17" ht="12.75" customHeight="1">
      <c r="A2" s="287" t="s">
        <v>102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ht="13.5" thickBot="1">
      <c r="B3" s="56"/>
    </row>
    <row r="4" spans="2:17" ht="12.75">
      <c r="B4" s="288"/>
      <c r="C4" s="57"/>
      <c r="D4" s="57"/>
      <c r="E4" s="57"/>
      <c r="F4" s="57"/>
      <c r="G4" s="58"/>
      <c r="H4" s="59"/>
      <c r="I4" s="59"/>
      <c r="J4" s="59"/>
      <c r="K4" s="59"/>
      <c r="L4" s="59"/>
      <c r="M4" s="59"/>
      <c r="N4" s="59"/>
      <c r="O4" s="59"/>
      <c r="P4" s="59"/>
      <c r="Q4" s="60"/>
    </row>
    <row r="5" spans="2:17" ht="21" customHeight="1">
      <c r="B5" s="289"/>
      <c r="C5" s="62" t="s">
        <v>0</v>
      </c>
      <c r="D5" s="62" t="s">
        <v>0</v>
      </c>
      <c r="E5" s="62" t="s">
        <v>0</v>
      </c>
      <c r="F5" s="62" t="s">
        <v>103</v>
      </c>
      <c r="G5" s="61" t="s">
        <v>0</v>
      </c>
      <c r="H5" s="63"/>
      <c r="I5" s="63"/>
      <c r="J5" s="63"/>
      <c r="K5" s="63"/>
      <c r="L5" s="63"/>
      <c r="M5" s="63"/>
      <c r="N5" s="63"/>
      <c r="O5" s="63"/>
      <c r="P5" s="63"/>
      <c r="Q5" s="64"/>
    </row>
    <row r="6" spans="2:17" ht="13.5" thickBot="1">
      <c r="B6" s="289"/>
      <c r="C6" s="65"/>
      <c r="D6" s="65"/>
      <c r="E6" s="65"/>
      <c r="F6" s="66"/>
      <c r="G6" s="67"/>
      <c r="H6" s="291" t="s">
        <v>104</v>
      </c>
      <c r="I6" s="292"/>
      <c r="J6" s="292"/>
      <c r="K6" s="292"/>
      <c r="L6" s="292"/>
      <c r="M6" s="292"/>
      <c r="N6" s="292"/>
      <c r="O6" s="292"/>
      <c r="P6" s="292"/>
      <c r="Q6" s="68"/>
    </row>
    <row r="7" spans="2:17" ht="13.5" thickBot="1">
      <c r="B7" s="290"/>
      <c r="C7" s="65" t="s">
        <v>1</v>
      </c>
      <c r="D7" s="65" t="s">
        <v>2</v>
      </c>
      <c r="E7" s="65" t="s">
        <v>3</v>
      </c>
      <c r="F7" s="65" t="s">
        <v>94</v>
      </c>
      <c r="G7" s="65" t="s">
        <v>4</v>
      </c>
      <c r="H7" s="65" t="s">
        <v>5</v>
      </c>
      <c r="I7" s="65" t="s">
        <v>6</v>
      </c>
      <c r="J7" s="65" t="s">
        <v>7</v>
      </c>
      <c r="K7" s="65" t="s">
        <v>8</v>
      </c>
      <c r="L7" s="65" t="s">
        <v>9</v>
      </c>
      <c r="M7" s="65" t="s">
        <v>10</v>
      </c>
      <c r="N7" s="65" t="s">
        <v>11</v>
      </c>
      <c r="O7" s="65" t="s">
        <v>12</v>
      </c>
      <c r="P7" s="65"/>
      <c r="Q7" s="69"/>
    </row>
    <row r="8" spans="2:17" ht="24">
      <c r="B8" s="70" t="s">
        <v>105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2:17" ht="12.75"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2:17" ht="12.75">
      <c r="B10" s="61" t="s">
        <v>23</v>
      </c>
      <c r="C10" s="71">
        <v>3749</v>
      </c>
      <c r="D10" s="71">
        <v>3970</v>
      </c>
      <c r="E10" s="71">
        <v>3971</v>
      </c>
      <c r="F10" s="71">
        <v>4239</v>
      </c>
      <c r="G10" s="71">
        <f aca="true" t="shared" si="0" ref="G10:O10">G34-G26-G18</f>
        <v>4490</v>
      </c>
      <c r="H10" s="71">
        <f t="shared" si="0"/>
        <v>4221</v>
      </c>
      <c r="I10" s="71">
        <f t="shared" si="0"/>
        <v>4321</v>
      </c>
      <c r="J10" s="71">
        <f t="shared" si="0"/>
        <v>4421</v>
      </c>
      <c r="K10" s="71">
        <f t="shared" si="0"/>
        <v>4521</v>
      </c>
      <c r="L10" s="71">
        <f t="shared" si="0"/>
        <v>4620</v>
      </c>
      <c r="M10" s="71">
        <f t="shared" si="0"/>
        <v>4720</v>
      </c>
      <c r="N10" s="71">
        <f t="shared" si="0"/>
        <v>4820</v>
      </c>
      <c r="O10" s="71">
        <f t="shared" si="0"/>
        <v>4920</v>
      </c>
      <c r="P10" s="72"/>
      <c r="Q10" s="73"/>
    </row>
    <row r="11" spans="2:17" ht="12.75">
      <c r="B11" s="61" t="s">
        <v>24</v>
      </c>
      <c r="C11" s="71">
        <v>3022</v>
      </c>
      <c r="D11" s="71">
        <v>3103</v>
      </c>
      <c r="E11" s="71">
        <v>3117</v>
      </c>
      <c r="F11" s="71">
        <v>3233</v>
      </c>
      <c r="G11" s="71">
        <f aca="true" t="shared" si="1" ref="G11:O11">G35-G27-G19</f>
        <v>3227</v>
      </c>
      <c r="H11" s="71">
        <f t="shared" si="1"/>
        <v>3365</v>
      </c>
      <c r="I11" s="71">
        <f t="shared" si="1"/>
        <v>3412</v>
      </c>
      <c r="J11" s="71">
        <f t="shared" si="1"/>
        <v>3459</v>
      </c>
      <c r="K11" s="71">
        <f t="shared" si="1"/>
        <v>3496</v>
      </c>
      <c r="L11" s="71">
        <f t="shared" si="1"/>
        <v>3551</v>
      </c>
      <c r="M11" s="71">
        <f t="shared" si="1"/>
        <v>3596</v>
      </c>
      <c r="N11" s="71">
        <f t="shared" si="1"/>
        <v>3641</v>
      </c>
      <c r="O11" s="71">
        <f t="shared" si="1"/>
        <v>3686</v>
      </c>
      <c r="P11" s="72"/>
      <c r="Q11" s="73"/>
    </row>
    <row r="12" spans="2:17" ht="12.75">
      <c r="B12" s="61" t="s">
        <v>25</v>
      </c>
      <c r="C12" s="74">
        <v>685</v>
      </c>
      <c r="D12" s="74">
        <v>724</v>
      </c>
      <c r="E12" s="74">
        <v>769</v>
      </c>
      <c r="F12" s="74">
        <v>822</v>
      </c>
      <c r="G12" s="74">
        <f aca="true" t="shared" si="2" ref="G12:O12">G37-G29-G20</f>
        <v>817</v>
      </c>
      <c r="H12" s="74">
        <f t="shared" si="2"/>
        <v>857</v>
      </c>
      <c r="I12" s="74">
        <f t="shared" si="2"/>
        <v>894</v>
      </c>
      <c r="J12" s="74">
        <f t="shared" si="2"/>
        <v>931</v>
      </c>
      <c r="K12" s="74">
        <f t="shared" si="2"/>
        <v>967</v>
      </c>
      <c r="L12" s="74">
        <f t="shared" si="2"/>
        <v>1004</v>
      </c>
      <c r="M12" s="74">
        <f t="shared" si="2"/>
        <v>1041</v>
      </c>
      <c r="N12" s="74">
        <f t="shared" si="2"/>
        <v>1078</v>
      </c>
      <c r="O12" s="74">
        <f t="shared" si="2"/>
        <v>1114</v>
      </c>
      <c r="P12" s="62"/>
      <c r="Q12" s="64"/>
    </row>
    <row r="13" spans="2:17" ht="12.75">
      <c r="B13" s="61" t="s">
        <v>106</v>
      </c>
      <c r="C13" s="74">
        <v>63</v>
      </c>
      <c r="D13" s="74">
        <v>62</v>
      </c>
      <c r="E13" s="74">
        <v>51</v>
      </c>
      <c r="F13" s="74">
        <v>44</v>
      </c>
      <c r="G13" s="74">
        <f aca="true" t="shared" si="3" ref="G13:O13">G38-G30-G21</f>
        <v>20</v>
      </c>
      <c r="H13" s="74">
        <f t="shared" si="3"/>
        <v>36</v>
      </c>
      <c r="I13" s="74">
        <f t="shared" si="3"/>
        <v>41</v>
      </c>
      <c r="J13" s="74">
        <f t="shared" si="3"/>
        <v>46</v>
      </c>
      <c r="K13" s="74">
        <f t="shared" si="3"/>
        <v>49</v>
      </c>
      <c r="L13" s="74">
        <f t="shared" si="3"/>
        <v>54</v>
      </c>
      <c r="M13" s="74">
        <f t="shared" si="3"/>
        <v>59</v>
      </c>
      <c r="N13" s="74">
        <f t="shared" si="3"/>
        <v>63</v>
      </c>
      <c r="O13" s="74">
        <f t="shared" si="3"/>
        <v>68</v>
      </c>
      <c r="P13" s="62"/>
      <c r="Q13" s="64"/>
    </row>
    <row r="14" spans="2:17" ht="12.75">
      <c r="B14" s="61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62"/>
      <c r="Q14" s="64"/>
    </row>
    <row r="15" spans="2:17" ht="12.75">
      <c r="B15" s="70" t="s">
        <v>107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 t="s">
        <v>108</v>
      </c>
      <c r="P15" s="62"/>
      <c r="Q15" s="62"/>
    </row>
    <row r="16" spans="2:17" ht="12.75">
      <c r="B16" s="70" t="s">
        <v>109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62"/>
      <c r="Q16" s="62"/>
    </row>
    <row r="17" spans="2:17" ht="12.75">
      <c r="B17" s="70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62"/>
      <c r="Q17" s="62"/>
    </row>
    <row r="18" spans="2:17" ht="12.75">
      <c r="B18" s="61" t="s">
        <v>23</v>
      </c>
      <c r="C18" s="74">
        <v>7</v>
      </c>
      <c r="D18" s="74">
        <v>8</v>
      </c>
      <c r="E18" s="74">
        <v>9</v>
      </c>
      <c r="F18" s="74">
        <v>7</v>
      </c>
      <c r="G18" s="74">
        <v>12</v>
      </c>
      <c r="H18" s="74">
        <v>12</v>
      </c>
      <c r="I18" s="74">
        <v>12</v>
      </c>
      <c r="J18" s="74">
        <v>12</v>
      </c>
      <c r="K18" s="74">
        <v>12</v>
      </c>
      <c r="L18" s="74">
        <v>13</v>
      </c>
      <c r="M18" s="74">
        <v>13</v>
      </c>
      <c r="N18" s="74">
        <v>13</v>
      </c>
      <c r="O18" s="74">
        <v>13</v>
      </c>
      <c r="P18" s="62"/>
      <c r="Q18" s="64"/>
    </row>
    <row r="19" spans="2:17" ht="12.75">
      <c r="B19" s="61" t="s">
        <v>24</v>
      </c>
      <c r="C19" s="74">
        <v>177</v>
      </c>
      <c r="D19" s="74">
        <v>171</v>
      </c>
      <c r="E19" s="74">
        <v>154</v>
      </c>
      <c r="F19" s="74">
        <v>154</v>
      </c>
      <c r="G19" s="74">
        <v>158</v>
      </c>
      <c r="H19" s="74">
        <v>159</v>
      </c>
      <c r="I19" s="74">
        <v>160</v>
      </c>
      <c r="J19" s="74">
        <v>161</v>
      </c>
      <c r="K19" s="74">
        <v>163</v>
      </c>
      <c r="L19" s="74">
        <v>165</v>
      </c>
      <c r="M19" s="74">
        <v>168</v>
      </c>
      <c r="N19" s="74">
        <v>171</v>
      </c>
      <c r="O19" s="74">
        <v>174</v>
      </c>
      <c r="P19" s="62"/>
      <c r="Q19" s="64"/>
    </row>
    <row r="20" spans="2:17" ht="12.75">
      <c r="B20" s="61" t="s">
        <v>25</v>
      </c>
      <c r="C20" s="74">
        <v>29</v>
      </c>
      <c r="D20" s="74">
        <v>26</v>
      </c>
      <c r="E20" s="74">
        <v>22</v>
      </c>
      <c r="F20" s="74">
        <v>16</v>
      </c>
      <c r="G20" s="74">
        <v>18</v>
      </c>
      <c r="H20" s="74">
        <v>18</v>
      </c>
      <c r="I20" s="74">
        <v>18</v>
      </c>
      <c r="J20" s="74">
        <v>18</v>
      </c>
      <c r="K20" s="74">
        <v>19</v>
      </c>
      <c r="L20" s="74">
        <v>19</v>
      </c>
      <c r="M20" s="74">
        <v>19</v>
      </c>
      <c r="N20" s="74">
        <v>19</v>
      </c>
      <c r="O20" s="74">
        <v>20</v>
      </c>
      <c r="P20" s="62"/>
      <c r="Q20" s="64"/>
    </row>
    <row r="21" spans="2:17" ht="12.75">
      <c r="B21" s="61" t="s">
        <v>106</v>
      </c>
      <c r="C21" s="74">
        <v>4</v>
      </c>
      <c r="D21" s="74">
        <v>4</v>
      </c>
      <c r="E21" s="74">
        <v>7</v>
      </c>
      <c r="F21" s="74">
        <v>6</v>
      </c>
      <c r="G21" s="74">
        <v>7</v>
      </c>
      <c r="H21" s="74">
        <v>7</v>
      </c>
      <c r="I21" s="74">
        <v>7</v>
      </c>
      <c r="J21" s="74">
        <v>7</v>
      </c>
      <c r="K21" s="74">
        <v>7</v>
      </c>
      <c r="L21" s="74">
        <v>7</v>
      </c>
      <c r="M21" s="74">
        <v>7</v>
      </c>
      <c r="N21" s="74">
        <v>8</v>
      </c>
      <c r="O21" s="74">
        <v>8</v>
      </c>
      <c r="P21" s="62"/>
      <c r="Q21" s="62"/>
    </row>
    <row r="22" spans="2:17" ht="12.75">
      <c r="B22" s="61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62"/>
      <c r="Q22" s="62"/>
    </row>
    <row r="23" spans="2:17" ht="12.75">
      <c r="B23" s="70" t="s">
        <v>32</v>
      </c>
      <c r="C23" s="74" t="s">
        <v>108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62"/>
      <c r="Q23" s="62"/>
    </row>
    <row r="24" spans="2:17" ht="12.75">
      <c r="B24" s="70" t="s">
        <v>110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62"/>
      <c r="Q24" s="62"/>
    </row>
    <row r="25" spans="2:17" ht="12.75">
      <c r="B25" s="70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62"/>
      <c r="Q25" s="62"/>
    </row>
    <row r="26" spans="2:17" ht="12.75">
      <c r="B26" s="61" t="s">
        <v>111</v>
      </c>
      <c r="C26" s="74">
        <v>2</v>
      </c>
      <c r="D26" s="74">
        <v>3</v>
      </c>
      <c r="E26" s="74">
        <v>2</v>
      </c>
      <c r="F26" s="74">
        <v>1</v>
      </c>
      <c r="G26" s="74">
        <v>3</v>
      </c>
      <c r="H26" s="74">
        <v>2</v>
      </c>
      <c r="I26" s="74">
        <v>2</v>
      </c>
      <c r="J26" s="74">
        <v>2</v>
      </c>
      <c r="K26" s="74">
        <v>2</v>
      </c>
      <c r="L26" s="74">
        <v>2</v>
      </c>
      <c r="M26" s="74">
        <v>2</v>
      </c>
      <c r="N26" s="74">
        <v>2</v>
      </c>
      <c r="O26" s="74">
        <v>2</v>
      </c>
      <c r="P26" s="62"/>
      <c r="Q26" s="62"/>
    </row>
    <row r="27" spans="2:17" ht="12.75">
      <c r="B27" s="61" t="s">
        <v>112</v>
      </c>
      <c r="C27" s="74">
        <v>69</v>
      </c>
      <c r="D27" s="74">
        <v>65</v>
      </c>
      <c r="E27" s="74">
        <v>41</v>
      </c>
      <c r="F27" s="74">
        <v>45</v>
      </c>
      <c r="G27" s="74">
        <v>50</v>
      </c>
      <c r="H27" s="74">
        <v>61</v>
      </c>
      <c r="I27" s="74">
        <v>63</v>
      </c>
      <c r="J27" s="74">
        <v>65</v>
      </c>
      <c r="K27" s="74">
        <v>76</v>
      </c>
      <c r="L27" s="74">
        <v>69</v>
      </c>
      <c r="M27" s="74">
        <v>71</v>
      </c>
      <c r="N27" s="74">
        <v>73</v>
      </c>
      <c r="O27" s="74">
        <v>75</v>
      </c>
      <c r="P27" s="62"/>
      <c r="Q27" s="62"/>
    </row>
    <row r="28" spans="2:17" ht="12.75">
      <c r="B28" s="61" t="s">
        <v>113</v>
      </c>
      <c r="C28" s="74">
        <v>0</v>
      </c>
      <c r="D28" s="74">
        <v>0</v>
      </c>
      <c r="E28" s="74">
        <v>72</v>
      </c>
      <c r="F28" s="74">
        <v>165</v>
      </c>
      <c r="G28" s="74">
        <v>262</v>
      </c>
      <c r="H28" s="74">
        <f aca="true" t="shared" si="4" ref="H28:O28">H36</f>
        <v>401</v>
      </c>
      <c r="I28" s="74">
        <f t="shared" si="4"/>
        <v>441</v>
      </c>
      <c r="J28" s="74">
        <f t="shared" si="4"/>
        <v>481</v>
      </c>
      <c r="K28" s="74">
        <f t="shared" si="4"/>
        <v>521</v>
      </c>
      <c r="L28" s="74">
        <f t="shared" si="4"/>
        <v>561</v>
      </c>
      <c r="M28" s="74">
        <f t="shared" si="4"/>
        <v>601</v>
      </c>
      <c r="N28" s="74">
        <f t="shared" si="4"/>
        <v>641</v>
      </c>
      <c r="O28" s="74">
        <f t="shared" si="4"/>
        <v>641</v>
      </c>
      <c r="P28" s="62"/>
      <c r="Q28" s="62"/>
    </row>
    <row r="29" spans="2:17" ht="12.75">
      <c r="B29" s="61" t="s">
        <v>25</v>
      </c>
      <c r="C29" s="74">
        <v>37</v>
      </c>
      <c r="D29" s="74">
        <v>25</v>
      </c>
      <c r="E29" s="74">
        <v>27</v>
      </c>
      <c r="F29" s="74">
        <v>25</v>
      </c>
      <c r="G29" s="74">
        <v>18</v>
      </c>
      <c r="H29" s="74">
        <v>18</v>
      </c>
      <c r="I29" s="74">
        <v>21</v>
      </c>
      <c r="J29" s="74">
        <v>24</v>
      </c>
      <c r="K29" s="74">
        <v>27</v>
      </c>
      <c r="L29" s="74">
        <v>30</v>
      </c>
      <c r="M29" s="74">
        <v>33</v>
      </c>
      <c r="N29" s="74">
        <v>36</v>
      </c>
      <c r="O29" s="74">
        <v>39</v>
      </c>
      <c r="P29" s="62"/>
      <c r="Q29" s="64"/>
    </row>
    <row r="30" spans="2:17" ht="12.75">
      <c r="B30" s="61" t="s">
        <v>106</v>
      </c>
      <c r="C30" s="74">
        <v>0</v>
      </c>
      <c r="D30" s="74">
        <v>8</v>
      </c>
      <c r="E30" s="74">
        <v>9</v>
      </c>
      <c r="F30" s="74">
        <v>0</v>
      </c>
      <c r="G30" s="74">
        <v>0</v>
      </c>
      <c r="H30" s="74">
        <v>7</v>
      </c>
      <c r="I30" s="74">
        <v>7</v>
      </c>
      <c r="J30" s="74">
        <v>7</v>
      </c>
      <c r="K30" s="74">
        <v>9</v>
      </c>
      <c r="L30" s="74">
        <v>9</v>
      </c>
      <c r="M30" s="74">
        <v>9</v>
      </c>
      <c r="N30" s="74">
        <v>9</v>
      </c>
      <c r="O30" s="74">
        <v>9</v>
      </c>
      <c r="P30" s="62"/>
      <c r="Q30" s="62"/>
    </row>
    <row r="31" spans="2:17" ht="12.75">
      <c r="B31" s="61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2"/>
      <c r="Q31" s="62"/>
    </row>
    <row r="32" spans="2:17" ht="24">
      <c r="B32" s="70" t="s">
        <v>114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62"/>
      <c r="Q32" s="62"/>
    </row>
    <row r="33" spans="2:17" ht="12.75">
      <c r="B33" s="61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62"/>
      <c r="Q33" s="62"/>
    </row>
    <row r="34" spans="2:17" ht="12.75">
      <c r="B34" s="61" t="s">
        <v>23</v>
      </c>
      <c r="C34" s="71">
        <v>3759</v>
      </c>
      <c r="D34" s="71">
        <v>3981</v>
      </c>
      <c r="E34" s="71">
        <v>3982</v>
      </c>
      <c r="F34" s="71">
        <v>4247</v>
      </c>
      <c r="G34" s="71">
        <v>4505</v>
      </c>
      <c r="H34" s="71">
        <v>4235</v>
      </c>
      <c r="I34" s="71">
        <v>4335</v>
      </c>
      <c r="J34" s="71">
        <v>4435</v>
      </c>
      <c r="K34" s="71">
        <v>4535</v>
      </c>
      <c r="L34" s="71">
        <v>4635</v>
      </c>
      <c r="M34" s="71">
        <v>4735</v>
      </c>
      <c r="N34" s="71">
        <v>4835</v>
      </c>
      <c r="O34" s="71">
        <v>4935</v>
      </c>
      <c r="P34" s="72"/>
      <c r="Q34" s="72"/>
    </row>
    <row r="35" spans="2:17" ht="12.75">
      <c r="B35" s="61" t="s">
        <v>24</v>
      </c>
      <c r="C35" s="71">
        <v>3268</v>
      </c>
      <c r="D35" s="71">
        <v>3339</v>
      </c>
      <c r="E35" s="71">
        <v>3312</v>
      </c>
      <c r="F35" s="71">
        <v>3432</v>
      </c>
      <c r="G35" s="71">
        <v>3435</v>
      </c>
      <c r="H35" s="71">
        <v>3585</v>
      </c>
      <c r="I35" s="71">
        <v>3635</v>
      </c>
      <c r="J35" s="71">
        <v>3685</v>
      </c>
      <c r="K35" s="71">
        <v>3735</v>
      </c>
      <c r="L35" s="71">
        <v>3785</v>
      </c>
      <c r="M35" s="71">
        <v>3835</v>
      </c>
      <c r="N35" s="71">
        <v>3885</v>
      </c>
      <c r="O35" s="71">
        <v>3935</v>
      </c>
      <c r="P35" s="72"/>
      <c r="Q35" s="72"/>
    </row>
    <row r="36" spans="2:17" ht="12.75">
      <c r="B36" s="61" t="s">
        <v>115</v>
      </c>
      <c r="C36" s="74">
        <v>0</v>
      </c>
      <c r="D36" s="74">
        <v>0</v>
      </c>
      <c r="E36" s="74">
        <v>72</v>
      </c>
      <c r="F36" s="74">
        <v>165</v>
      </c>
      <c r="G36" s="74">
        <v>262</v>
      </c>
      <c r="H36" s="74">
        <v>401</v>
      </c>
      <c r="I36" s="74">
        <v>441</v>
      </c>
      <c r="J36" s="74">
        <v>481</v>
      </c>
      <c r="K36" s="74">
        <v>521</v>
      </c>
      <c r="L36" s="74">
        <v>561</v>
      </c>
      <c r="M36" s="74">
        <v>601</v>
      </c>
      <c r="N36" s="74">
        <v>641</v>
      </c>
      <c r="O36" s="74">
        <v>641</v>
      </c>
      <c r="P36" s="62"/>
      <c r="Q36" s="62"/>
    </row>
    <row r="37" spans="2:17" ht="12.75">
      <c r="B37" s="61" t="s">
        <v>25</v>
      </c>
      <c r="C37" s="74">
        <v>751</v>
      </c>
      <c r="D37" s="74">
        <v>775</v>
      </c>
      <c r="E37" s="74">
        <v>818</v>
      </c>
      <c r="F37" s="74">
        <v>862</v>
      </c>
      <c r="G37" s="74">
        <v>853</v>
      </c>
      <c r="H37" s="74">
        <v>893</v>
      </c>
      <c r="I37" s="74">
        <v>933</v>
      </c>
      <c r="J37" s="74">
        <v>973</v>
      </c>
      <c r="K37" s="74">
        <v>1013</v>
      </c>
      <c r="L37" s="74">
        <v>1053</v>
      </c>
      <c r="M37" s="74">
        <v>1093</v>
      </c>
      <c r="N37" s="74">
        <v>1133</v>
      </c>
      <c r="O37" s="74">
        <v>1173</v>
      </c>
      <c r="P37" s="62"/>
      <c r="Q37" s="72"/>
    </row>
    <row r="38" spans="2:17" ht="12.75">
      <c r="B38" s="61" t="s">
        <v>26</v>
      </c>
      <c r="C38" s="74">
        <v>67</v>
      </c>
      <c r="D38" s="74">
        <v>74</v>
      </c>
      <c r="E38" s="74">
        <v>66</v>
      </c>
      <c r="F38" s="74">
        <v>50</v>
      </c>
      <c r="G38" s="74">
        <v>27</v>
      </c>
      <c r="H38" s="74">
        <v>50</v>
      </c>
      <c r="I38" s="74">
        <v>55</v>
      </c>
      <c r="J38" s="74">
        <v>60</v>
      </c>
      <c r="K38" s="74">
        <v>65</v>
      </c>
      <c r="L38" s="74">
        <v>70</v>
      </c>
      <c r="M38" s="74">
        <v>75</v>
      </c>
      <c r="N38" s="74">
        <v>80</v>
      </c>
      <c r="O38" s="74">
        <v>85</v>
      </c>
      <c r="P38" s="62"/>
      <c r="Q38" s="62"/>
    </row>
    <row r="39" spans="2:17" ht="13.5" thickBot="1">
      <c r="B39" s="75"/>
      <c r="C39" s="66"/>
      <c r="D39" s="66"/>
      <c r="E39" s="66"/>
      <c r="F39" s="66"/>
      <c r="G39" s="66"/>
      <c r="H39" s="65"/>
      <c r="I39" s="66"/>
      <c r="J39" s="66"/>
      <c r="K39" s="66"/>
      <c r="L39" s="66"/>
      <c r="M39" s="66"/>
      <c r="N39" s="66"/>
      <c r="O39" s="66"/>
      <c r="P39" s="66"/>
      <c r="Q39" s="66"/>
    </row>
    <row r="40" spans="2:17" ht="13.5" thickBot="1">
      <c r="B40" s="76" t="s">
        <v>18</v>
      </c>
      <c r="C40" s="77">
        <f aca="true" t="shared" si="5" ref="C40:I40">SUM(C34:C38)</f>
        <v>7845</v>
      </c>
      <c r="D40" s="77">
        <f t="shared" si="5"/>
        <v>8169</v>
      </c>
      <c r="E40" s="77">
        <f t="shared" si="5"/>
        <v>8250</v>
      </c>
      <c r="F40" s="77">
        <f t="shared" si="5"/>
        <v>8756</v>
      </c>
      <c r="G40" s="77">
        <f t="shared" si="5"/>
        <v>9082</v>
      </c>
      <c r="H40" s="77">
        <f t="shared" si="5"/>
        <v>9164</v>
      </c>
      <c r="I40" s="77">
        <f t="shared" si="5"/>
        <v>9399</v>
      </c>
      <c r="J40" s="77">
        <f>+SUM(J34:J38)</f>
        <v>9634</v>
      </c>
      <c r="K40" s="77">
        <f>SUM(K34:K38)</f>
        <v>9869</v>
      </c>
      <c r="L40" s="77">
        <f>SUM(L34:L38)</f>
        <v>10104</v>
      </c>
      <c r="M40" s="77">
        <f>SUM(M34:M38)</f>
        <v>10339</v>
      </c>
      <c r="N40" s="77">
        <f>SUM(N34:N38)</f>
        <v>10574</v>
      </c>
      <c r="O40" s="77">
        <f>SUM(O34:O38)</f>
        <v>10769</v>
      </c>
      <c r="P40" s="78"/>
      <c r="Q40" s="69"/>
    </row>
    <row r="41" ht="12.75">
      <c r="B41" s="79"/>
    </row>
    <row r="42" ht="12.75">
      <c r="B42" s="79" t="s">
        <v>116</v>
      </c>
    </row>
    <row r="43" ht="12.75">
      <c r="B43" s="79" t="s">
        <v>117</v>
      </c>
    </row>
  </sheetData>
  <mergeCells count="4">
    <mergeCell ref="A1:Q1"/>
    <mergeCell ref="A2:Q2"/>
    <mergeCell ref="B4:B7"/>
    <mergeCell ref="H6:P6"/>
  </mergeCells>
  <printOptions horizontalCentered="1"/>
  <pageMargins left="0.25" right="0.25" top="1" bottom="1" header="0.5" footer="0.5"/>
  <pageSetup fitToHeight="1" fitToWidth="1" horizontalDpi="600" verticalDpi="600" orientation="landscape" scale="95" r:id="rId1"/>
  <headerFooter alignWithMargins="0">
    <oddFooter>&amp;L&amp;A&amp;R&amp;8Prepared by Office of Planning, Budgeting and Policy Analysis, DCU,  &amp;F 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="75" zoomScaleNormal="75" workbookViewId="0" topLeftCell="A1">
      <pane xSplit="2" ySplit="5" topLeftCell="C6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2.75"/>
  <cols>
    <col min="2" max="2" width="15.00390625" style="0" customWidth="1"/>
    <col min="3" max="3" width="9.421875" style="0" customWidth="1"/>
  </cols>
  <sheetData>
    <row r="1" spans="1:13" ht="15.75">
      <c r="A1" s="1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2.75">
      <c r="A2" s="3"/>
    </row>
    <row r="3" spans="1:7" ht="13.5" thickBot="1">
      <c r="A3" s="4" t="s">
        <v>35</v>
      </c>
      <c r="B3" s="5"/>
      <c r="C3" s="5"/>
      <c r="D3" s="5"/>
      <c r="E3" s="5"/>
      <c r="F3" s="5"/>
      <c r="G3" s="5"/>
    </row>
    <row r="4" spans="1:15" ht="58.5" customHeight="1" thickBot="1">
      <c r="A4" s="5"/>
      <c r="B4" s="5"/>
      <c r="C4" s="6" t="s">
        <v>0</v>
      </c>
      <c r="D4" s="7" t="s">
        <v>0</v>
      </c>
      <c r="E4" s="7" t="s">
        <v>0</v>
      </c>
      <c r="F4" s="7" t="s">
        <v>0</v>
      </c>
      <c r="G4" s="51" t="s">
        <v>91</v>
      </c>
      <c r="H4" s="50"/>
      <c r="I4" s="8" t="s">
        <v>92</v>
      </c>
      <c r="J4" s="8"/>
      <c r="K4" s="9"/>
      <c r="L4" s="9"/>
      <c r="M4" s="9"/>
      <c r="N4" s="9"/>
      <c r="O4" s="9"/>
    </row>
    <row r="5" spans="1:15" ht="13.5" thickBot="1">
      <c r="A5" s="5"/>
      <c r="B5" s="5"/>
      <c r="C5" s="10" t="s">
        <v>1</v>
      </c>
      <c r="D5" s="11" t="s">
        <v>2</v>
      </c>
      <c r="E5" s="11" t="s">
        <v>3</v>
      </c>
      <c r="F5" s="12" t="s">
        <v>94</v>
      </c>
      <c r="G5" s="13" t="s">
        <v>4</v>
      </c>
      <c r="H5" s="13" t="s">
        <v>5</v>
      </c>
      <c r="I5" s="13" t="s">
        <v>6</v>
      </c>
      <c r="J5" s="14" t="s">
        <v>7</v>
      </c>
      <c r="K5" s="15" t="s">
        <v>8</v>
      </c>
      <c r="L5" s="15" t="s">
        <v>9</v>
      </c>
      <c r="M5" s="15" t="s">
        <v>10</v>
      </c>
      <c r="N5" s="15" t="s">
        <v>11</v>
      </c>
      <c r="O5" s="15" t="s">
        <v>12</v>
      </c>
    </row>
    <row r="6" spans="1:7" ht="12.75">
      <c r="A6" s="16"/>
      <c r="B6" s="5"/>
      <c r="C6" s="5"/>
      <c r="D6" s="5"/>
      <c r="E6" s="5"/>
      <c r="F6" s="5"/>
      <c r="G6" s="5"/>
    </row>
    <row r="7" spans="1:15" ht="12.75">
      <c r="A7" s="16"/>
      <c r="B7" s="16" t="s">
        <v>13</v>
      </c>
      <c r="C7" s="52">
        <f>+'USF1 E&amp;G'!$C$48+'USF1 HSC'!$C$38</f>
        <v>6599.55</v>
      </c>
      <c r="D7" s="17">
        <f>+'USF1 E&amp;G'!$D$48+'USF1 HSC'!$D$38</f>
        <v>7491.125</v>
      </c>
      <c r="E7" s="17">
        <f>+'USF1 E&amp;G'!E48+'USF1 HSC'!E38</f>
        <v>8151.8</v>
      </c>
      <c r="F7" s="17">
        <f>+'USF1 E&amp;G'!F48+'USF1 HSC'!F38</f>
        <v>8800.5</v>
      </c>
      <c r="G7" s="17">
        <f>+'USF1 E&amp;G'!G48+'USF1 HSC'!G38</f>
        <v>9134.1</v>
      </c>
      <c r="H7" s="17">
        <f>+'USF1 E&amp;G'!H48+'USF1 HSC'!H38</f>
        <v>9552.948</v>
      </c>
      <c r="I7" s="17">
        <f>+'USF1 E&amp;G'!I48+'USF1 HSC'!I38</f>
        <v>10386</v>
      </c>
      <c r="J7" s="17">
        <f>+'USF1 E&amp;G'!J48+'USF1 HSC'!J38</f>
        <v>11051</v>
      </c>
      <c r="K7" s="17">
        <f>+'USF1 E&amp;G'!K48+'USF1 HSC'!K38</f>
        <v>11710</v>
      </c>
      <c r="L7" s="17">
        <f>+'USF1 E&amp;G'!L48+'USF1 HSC'!L38</f>
        <v>12439</v>
      </c>
      <c r="M7" s="17">
        <f>+'USF1 E&amp;G'!M48+'USF1 HSC'!M38</f>
        <v>13510</v>
      </c>
      <c r="N7" s="17">
        <f>+'USF1 E&amp;G'!N48+'USF1 HSC'!N38</f>
        <v>14496</v>
      </c>
      <c r="O7" s="17">
        <f>+'USF1 E&amp;G'!O48+'USF1 HSC'!O38</f>
        <v>15135</v>
      </c>
    </row>
    <row r="8" spans="1:15" ht="12.75">
      <c r="A8" s="16"/>
      <c r="B8" s="16" t="s">
        <v>14</v>
      </c>
      <c r="C8" s="52">
        <f>+'USF1 E&amp;G'!$C$49+'USF1 HSC'!$C$39</f>
        <v>9685.925000000001</v>
      </c>
      <c r="D8" s="17">
        <f>+'USF1 E&amp;G'!$D$49+'USF1 HSC'!$D$39</f>
        <v>10100.225000000002</v>
      </c>
      <c r="E8" s="17">
        <f>+'USF1 E&amp;G'!E49+'USF1 HSC'!E39</f>
        <v>10439.599999999999</v>
      </c>
      <c r="F8" s="17">
        <f>+'USF1 E&amp;G'!F49+'USF1 HSC'!F39</f>
        <v>11442.100000000002</v>
      </c>
      <c r="G8" s="17">
        <f>+'USF1 E&amp;G'!G49+'USF1 HSC'!G39</f>
        <v>12117.199999999999</v>
      </c>
      <c r="H8" s="17">
        <f>+'USF1 E&amp;G'!H49+'USF1 HSC'!H39</f>
        <v>13007.796517699115</v>
      </c>
      <c r="I8" s="17">
        <f>+'USF1 E&amp;G'!I49+'USF1 HSC'!I39</f>
        <v>14164</v>
      </c>
      <c r="J8" s="17">
        <f>+'USF1 E&amp;G'!J49+'USF1 HSC'!J39</f>
        <v>15154</v>
      </c>
      <c r="K8" s="17">
        <f>+'USF1 E&amp;G'!K49+'USF1 HSC'!K39</f>
        <v>16265</v>
      </c>
      <c r="L8" s="17">
        <f>+'USF1 E&amp;G'!L49+'USF1 HSC'!L39</f>
        <v>17440</v>
      </c>
      <c r="M8" s="17">
        <f>+'USF1 E&amp;G'!M49+'USF1 HSC'!M39</f>
        <v>18713</v>
      </c>
      <c r="N8" s="17">
        <f>+'USF1 E&amp;G'!N49+'USF1 HSC'!N39</f>
        <v>20155</v>
      </c>
      <c r="O8" s="17">
        <f>+'USF1 E&amp;G'!O49+'USF1 HSC'!O39</f>
        <v>21412</v>
      </c>
    </row>
    <row r="9" spans="1:15" ht="12.75">
      <c r="A9" s="16"/>
      <c r="B9" s="19" t="s">
        <v>16</v>
      </c>
      <c r="C9" s="53">
        <f>+'USF1 E&amp;G'!$C$50+'USF1 HSC'!$C$40</f>
        <v>3247.0125</v>
      </c>
      <c r="D9" s="17">
        <f>+'USF1 E&amp;G'!$D$50+'USF1 HSC'!$D$40</f>
        <v>3536.3375</v>
      </c>
      <c r="E9" s="17">
        <f>+'USF1 E&amp;G'!E50+'USF1 HSC'!E40</f>
        <v>3620.2000000000003</v>
      </c>
      <c r="F9" s="17">
        <f>+'USF1 E&amp;G'!F50+'USF1 HSC'!F40</f>
        <v>3677.7000000000003</v>
      </c>
      <c r="G9" s="17">
        <f>+'USF1 E&amp;G'!G50+'USF1 HSC'!G40</f>
        <v>3681.0000000000005</v>
      </c>
      <c r="H9" s="17">
        <f>+'USF1 E&amp;G'!H50+'USF1 HSC'!H40</f>
        <v>4742.579044256983</v>
      </c>
      <c r="I9" s="17">
        <f>+'USF1 E&amp;G'!I50+'USF1 HSC'!I40</f>
        <v>4715</v>
      </c>
      <c r="J9" s="17">
        <f>+'USF1 E&amp;G'!J50+'USF1 HSC'!J40</f>
        <v>4972</v>
      </c>
      <c r="K9" s="17">
        <f>+'USF1 E&amp;G'!K50+'USF1 HSC'!K40</f>
        <v>5566</v>
      </c>
      <c r="L9" s="17">
        <f>+'USF1 E&amp;G'!L50+'USF1 HSC'!L40</f>
        <v>6171</v>
      </c>
      <c r="M9" s="17">
        <f>+'USF1 E&amp;G'!M50+'USF1 HSC'!M40</f>
        <v>6907</v>
      </c>
      <c r="N9" s="17">
        <f>+'USF1 E&amp;G'!N50+'USF1 HSC'!N40</f>
        <v>7688</v>
      </c>
      <c r="O9" s="17">
        <f>+'USF1 E&amp;G'!O50+'USF1 HSC'!O40</f>
        <v>8061</v>
      </c>
    </row>
    <row r="10" spans="1:15" ht="13.5" thickBot="1">
      <c r="A10" s="16"/>
      <c r="B10" s="19" t="s">
        <v>17</v>
      </c>
      <c r="C10" s="175">
        <f>+'USF1 E&amp;G'!$C$51+'USF1 HSC'!$C$41</f>
        <v>656.9375</v>
      </c>
      <c r="D10" s="20">
        <f>+'USF1 E&amp;G'!$D$51+'USF1 HSC'!$D$41</f>
        <v>693.8874999999999</v>
      </c>
      <c r="E10" s="20">
        <f>+'USF1 E&amp;G'!E51+'USF1 HSC'!E41</f>
        <v>746.0999999999999</v>
      </c>
      <c r="F10" s="20">
        <f>+'USF1 E&amp;G'!F51+'USF1 HSC'!F41</f>
        <v>805.3000000000001</v>
      </c>
      <c r="G10" s="20">
        <f>+'USF1 E&amp;G'!G51+'USF1 HSC'!G41</f>
        <v>872.1</v>
      </c>
      <c r="H10" s="20">
        <f>+'USF1 E&amp;G'!H51+'USF1 HSC'!H41</f>
        <v>1037</v>
      </c>
      <c r="I10" s="20">
        <f>+'USF1 E&amp;G'!I51+'USF1 HSC'!I41</f>
        <v>1102</v>
      </c>
      <c r="J10" s="20">
        <f>+'USF1 E&amp;G'!J51+'USF1 HSC'!J41</f>
        <v>1250</v>
      </c>
      <c r="K10" s="20">
        <f>+'USF1 E&amp;G'!K51+'USF1 HSC'!K41</f>
        <v>1376</v>
      </c>
      <c r="L10" s="20">
        <f>+'USF1 E&amp;G'!L51+'USF1 HSC'!L41</f>
        <v>1543</v>
      </c>
      <c r="M10" s="20">
        <f>+'USF1 E&amp;G'!M51+'USF1 HSC'!M41</f>
        <v>1732</v>
      </c>
      <c r="N10" s="20">
        <f>+'USF1 E&amp;G'!N51+'USF1 HSC'!N41</f>
        <v>1945</v>
      </c>
      <c r="O10" s="20">
        <f>+'USF1 E&amp;G'!O51+'USF1 HSC'!O41</f>
        <v>2194</v>
      </c>
    </row>
    <row r="11" spans="1:15" ht="12.75">
      <c r="A11" s="5"/>
      <c r="B11" s="22" t="s">
        <v>18</v>
      </c>
      <c r="C11" s="176">
        <f aca="true" t="shared" si="0" ref="C11:O11">SUM(C7:C10)</f>
        <v>20189.425000000003</v>
      </c>
      <c r="D11" s="17">
        <f t="shared" si="0"/>
        <v>21821.575000000004</v>
      </c>
      <c r="E11" s="17">
        <f t="shared" si="0"/>
        <v>22957.699999999997</v>
      </c>
      <c r="F11" s="17">
        <f t="shared" si="0"/>
        <v>24725.600000000002</v>
      </c>
      <c r="G11" s="17">
        <f t="shared" si="0"/>
        <v>25804.399999999998</v>
      </c>
      <c r="H11" s="17">
        <f t="shared" si="0"/>
        <v>28340.323561956102</v>
      </c>
      <c r="I11" s="17">
        <f t="shared" si="0"/>
        <v>30367</v>
      </c>
      <c r="J11" s="17">
        <f t="shared" si="0"/>
        <v>32427</v>
      </c>
      <c r="K11" s="17">
        <f t="shared" si="0"/>
        <v>34917</v>
      </c>
      <c r="L11" s="17">
        <f t="shared" si="0"/>
        <v>37593</v>
      </c>
      <c r="M11" s="17">
        <f t="shared" si="0"/>
        <v>40862</v>
      </c>
      <c r="N11" s="17">
        <f t="shared" si="0"/>
        <v>44284</v>
      </c>
      <c r="O11" s="17">
        <f t="shared" si="0"/>
        <v>46802</v>
      </c>
    </row>
    <row r="12" spans="1:15" ht="12.75">
      <c r="A12" s="5"/>
      <c r="B12" s="5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2.75">
      <c r="A13" s="5"/>
      <c r="B13" s="23" t="s">
        <v>19</v>
      </c>
      <c r="C13" s="17"/>
      <c r="D13" s="17">
        <f>+'USF1 HSC'!D11</f>
        <v>401</v>
      </c>
      <c r="E13" s="17">
        <f>+'USF1 HSC'!E11</f>
        <v>400</v>
      </c>
      <c r="F13" s="17">
        <f>+'USF1 HSC'!F11</f>
        <v>410</v>
      </c>
      <c r="G13" s="17">
        <f>+'USF1 HSC'!G11</f>
        <v>446</v>
      </c>
      <c r="H13" s="17">
        <f>+'USF1 HSC'!H11</f>
        <v>458</v>
      </c>
      <c r="I13" s="17">
        <f>+'USF1 HSC'!I11</f>
        <v>480</v>
      </c>
      <c r="J13" s="17">
        <f>+'USF1 HSC'!J11</f>
        <v>480</v>
      </c>
      <c r="K13" s="17">
        <f>+'USF1 HSC'!K11</f>
        <v>480</v>
      </c>
      <c r="L13" s="17">
        <f>+'USF1 HSC'!L11</f>
        <v>560</v>
      </c>
      <c r="M13" s="17">
        <f>+'USF1 HSC'!M11</f>
        <v>639</v>
      </c>
      <c r="N13" s="17">
        <f>+'USF1 HSC'!N11</f>
        <v>719</v>
      </c>
      <c r="O13" s="17">
        <f>+'USF1 HSC'!O11</f>
        <v>799</v>
      </c>
    </row>
    <row r="14" spans="1:7" ht="12.75">
      <c r="A14" s="5"/>
      <c r="B14" s="5"/>
      <c r="C14" s="5"/>
      <c r="D14" s="5"/>
      <c r="E14" s="5"/>
      <c r="F14" s="5"/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5"/>
      <c r="B16" s="24"/>
      <c r="C16" s="25"/>
      <c r="D16" s="5"/>
      <c r="E16" s="5"/>
      <c r="F16" s="5"/>
      <c r="G16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5"/>
      <c r="B21" s="5"/>
      <c r="C21" s="5"/>
      <c r="D21" s="5"/>
      <c r="E21" s="5"/>
      <c r="F21" s="5"/>
      <c r="G21" s="5"/>
    </row>
    <row r="22" spans="1:7" ht="12.75">
      <c r="A22" s="5"/>
      <c r="B22" s="5"/>
      <c r="C22" s="5"/>
      <c r="D22" s="5"/>
      <c r="E22" s="5"/>
      <c r="F22" s="5"/>
      <c r="G22" s="5"/>
    </row>
    <row r="23" spans="1:7" ht="12.75">
      <c r="A23" s="5"/>
      <c r="B23" s="5"/>
      <c r="C23" s="5"/>
      <c r="D23" s="5"/>
      <c r="E23" s="5"/>
      <c r="F23" s="5"/>
      <c r="G23" s="5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2.75">
      <c r="A30" s="5"/>
      <c r="B30" s="5"/>
      <c r="C30" s="5"/>
      <c r="D30" s="5"/>
      <c r="E30" s="5"/>
      <c r="F30" s="5"/>
      <c r="G30" s="5"/>
    </row>
    <row r="31" spans="1:7" ht="12.75">
      <c r="A31" s="5"/>
      <c r="B31" s="5"/>
      <c r="C31" s="5"/>
      <c r="D31" s="5"/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</sheetData>
  <printOptions horizontalCentered="1"/>
  <pageMargins left="0.25" right="0.25" top="1" bottom="1" header="0.5" footer="0.5"/>
  <pageSetup fitToHeight="1" fitToWidth="1" horizontalDpi="600" verticalDpi="600" orientation="landscape" scale="95" r:id="rId1"/>
  <headerFooter alignWithMargins="0">
    <oddFooter>&amp;L&amp;A&amp;R&amp;8Prepared by Office of Planning, Budgeting and Policy Analysis, DCU,  &amp;F 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="75" zoomScaleNormal="75" workbookViewId="0" topLeftCell="A1">
      <pane xSplit="2" ySplit="5" topLeftCell="C6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2.75"/>
  <cols>
    <col min="2" max="2" width="15.00390625" style="0" customWidth="1"/>
    <col min="3" max="3" width="12.00390625" style="0" customWidth="1"/>
  </cols>
  <sheetData>
    <row r="1" spans="1:13" ht="15.75">
      <c r="A1" s="1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2.75">
      <c r="A2" s="3"/>
    </row>
    <row r="3" spans="1:7" ht="13.5" thickBot="1">
      <c r="A3" s="4" t="s">
        <v>36</v>
      </c>
      <c r="B3" s="5"/>
      <c r="C3" s="5"/>
      <c r="D3" s="5"/>
      <c r="E3" s="5"/>
      <c r="F3" s="5"/>
      <c r="G3" s="5"/>
    </row>
    <row r="4" spans="1:15" ht="58.5" customHeight="1" thickBot="1">
      <c r="A4" s="5"/>
      <c r="B4" s="5"/>
      <c r="C4" s="6" t="s">
        <v>0</v>
      </c>
      <c r="D4" s="7" t="s">
        <v>0</v>
      </c>
      <c r="E4" s="7" t="s">
        <v>0</v>
      </c>
      <c r="F4" s="7" t="s">
        <v>0</v>
      </c>
      <c r="G4" s="51" t="s">
        <v>91</v>
      </c>
      <c r="H4" s="50"/>
      <c r="I4" s="8" t="s">
        <v>92</v>
      </c>
      <c r="J4" s="8"/>
      <c r="K4" s="9"/>
      <c r="L4" s="9"/>
      <c r="M4" s="9"/>
      <c r="N4" s="9"/>
      <c r="O4" s="9"/>
    </row>
    <row r="5" spans="1:15" ht="13.5" thickBot="1">
      <c r="A5" s="5"/>
      <c r="B5" s="5"/>
      <c r="C5" s="10" t="s">
        <v>1</v>
      </c>
      <c r="D5" s="11" t="s">
        <v>2</v>
      </c>
      <c r="E5" s="11" t="s">
        <v>3</v>
      </c>
      <c r="F5" s="12" t="s">
        <v>94</v>
      </c>
      <c r="G5" s="13" t="s">
        <v>4</v>
      </c>
      <c r="H5" s="13" t="s">
        <v>5</v>
      </c>
      <c r="I5" s="13" t="s">
        <v>6</v>
      </c>
      <c r="J5" s="14" t="s">
        <v>7</v>
      </c>
      <c r="K5" s="15" t="s">
        <v>8</v>
      </c>
      <c r="L5" s="15" t="s">
        <v>9</v>
      </c>
      <c r="M5" s="15" t="s">
        <v>10</v>
      </c>
      <c r="N5" s="15" t="s">
        <v>11</v>
      </c>
      <c r="O5" s="15" t="s">
        <v>12</v>
      </c>
    </row>
    <row r="6" spans="1:7" ht="12.75">
      <c r="A6" s="16" t="s">
        <v>37</v>
      </c>
      <c r="B6" s="5"/>
      <c r="C6" s="5"/>
      <c r="D6" s="5"/>
      <c r="E6" s="5"/>
      <c r="F6" s="5"/>
      <c r="G6" s="5"/>
    </row>
    <row r="7" spans="1:15" ht="12.75">
      <c r="A7" s="16"/>
      <c r="B7" s="5"/>
      <c r="C7" s="5"/>
      <c r="D7" s="5"/>
      <c r="E7" s="5"/>
      <c r="F7" s="5"/>
      <c r="G7" s="5"/>
      <c r="H7" s="177"/>
      <c r="I7" s="177"/>
      <c r="J7" s="177"/>
      <c r="K7" s="177"/>
      <c r="L7" s="177"/>
      <c r="M7" s="177"/>
      <c r="N7" s="177"/>
      <c r="O7" s="177"/>
    </row>
    <row r="8" spans="1:15" ht="12.75">
      <c r="A8" s="16"/>
      <c r="B8" s="16" t="s">
        <v>13</v>
      </c>
      <c r="C8" s="47">
        <v>6341.125</v>
      </c>
      <c r="D8" s="17">
        <v>7123.2</v>
      </c>
      <c r="E8" s="17">
        <v>7554.9</v>
      </c>
      <c r="F8" s="17">
        <v>7946.4</v>
      </c>
      <c r="G8" s="17">
        <v>8146.6</v>
      </c>
      <c r="H8" s="178">
        <v>8832.7</v>
      </c>
      <c r="I8" s="179">
        <v>9114</v>
      </c>
      <c r="J8" s="179">
        <v>9661</v>
      </c>
      <c r="K8" s="179">
        <v>10186</v>
      </c>
      <c r="L8" s="179">
        <v>10675</v>
      </c>
      <c r="M8" s="179">
        <v>11506</v>
      </c>
      <c r="N8" s="179">
        <v>12196</v>
      </c>
      <c r="O8" s="179">
        <v>12563</v>
      </c>
    </row>
    <row r="9" spans="1:15" ht="12.75">
      <c r="A9" s="16"/>
      <c r="B9" s="16" t="s">
        <v>14</v>
      </c>
      <c r="C9" s="47">
        <v>7367.575</v>
      </c>
      <c r="D9" s="17">
        <v>7561.6</v>
      </c>
      <c r="E9" s="17">
        <v>7677.3</v>
      </c>
      <c r="F9" s="17">
        <v>8098.4</v>
      </c>
      <c r="G9" s="17">
        <v>8519.7</v>
      </c>
      <c r="H9" s="178">
        <v>9204.9</v>
      </c>
      <c r="I9" s="179">
        <v>9413</v>
      </c>
      <c r="J9" s="179">
        <v>9837</v>
      </c>
      <c r="K9" s="179">
        <v>10280</v>
      </c>
      <c r="L9" s="179">
        <v>10742</v>
      </c>
      <c r="M9" s="179">
        <v>11226</v>
      </c>
      <c r="N9" s="179">
        <v>11730</v>
      </c>
      <c r="O9" s="179">
        <v>12146</v>
      </c>
    </row>
    <row r="10" spans="1:15" ht="12.75">
      <c r="A10" s="16"/>
      <c r="B10" s="19" t="s">
        <v>16</v>
      </c>
      <c r="C10" s="48">
        <v>2000.5</v>
      </c>
      <c r="D10" s="17">
        <v>2126.4</v>
      </c>
      <c r="E10" s="17">
        <v>2213.5</v>
      </c>
      <c r="F10" s="17">
        <v>2179.8</v>
      </c>
      <c r="G10" s="17">
        <v>2008.1</v>
      </c>
      <c r="H10" s="178">
        <v>3445.8</v>
      </c>
      <c r="I10" s="179">
        <v>2687</v>
      </c>
      <c r="J10" s="179">
        <v>2790</v>
      </c>
      <c r="K10" s="179">
        <v>3209</v>
      </c>
      <c r="L10" s="179">
        <v>3690</v>
      </c>
      <c r="M10" s="179">
        <v>4243</v>
      </c>
      <c r="N10" s="179">
        <v>4880</v>
      </c>
      <c r="O10" s="179">
        <v>5070</v>
      </c>
    </row>
    <row r="11" spans="1:15" ht="12.75">
      <c r="A11" s="16"/>
      <c r="B11" s="19" t="s">
        <v>17</v>
      </c>
      <c r="C11" s="48">
        <v>513.28125</v>
      </c>
      <c r="D11" s="17">
        <v>536.1</v>
      </c>
      <c r="E11" s="17">
        <v>587.9</v>
      </c>
      <c r="F11" s="17">
        <v>636.1</v>
      </c>
      <c r="G11" s="17">
        <v>690.2</v>
      </c>
      <c r="H11" s="178">
        <v>871</v>
      </c>
      <c r="I11" s="179">
        <v>884</v>
      </c>
      <c r="J11" s="179">
        <v>990</v>
      </c>
      <c r="K11" s="179">
        <v>1110</v>
      </c>
      <c r="L11" s="179">
        <v>1243</v>
      </c>
      <c r="M11" s="179">
        <v>1392</v>
      </c>
      <c r="N11" s="179">
        <v>1559</v>
      </c>
      <c r="O11" s="179">
        <v>1762</v>
      </c>
    </row>
    <row r="12" spans="1:15" ht="12.75">
      <c r="A12" s="16"/>
      <c r="B12" s="5"/>
      <c r="C12" s="49"/>
      <c r="D12" s="17"/>
      <c r="E12" s="17"/>
      <c r="F12" s="17"/>
      <c r="G12" s="17"/>
      <c r="H12" s="179"/>
      <c r="I12" s="180"/>
      <c r="J12" s="180"/>
      <c r="K12" s="180"/>
      <c r="L12" s="180"/>
      <c r="M12" s="180"/>
      <c r="N12" s="180"/>
      <c r="O12" s="180"/>
    </row>
    <row r="13" spans="1:15" ht="12.75">
      <c r="A13" s="16" t="s">
        <v>38</v>
      </c>
      <c r="B13" s="5"/>
      <c r="C13" s="49"/>
      <c r="D13" s="17"/>
      <c r="E13" s="17"/>
      <c r="F13" s="17"/>
      <c r="G13" s="17"/>
      <c r="H13" s="180"/>
      <c r="I13" s="180"/>
      <c r="J13" s="180"/>
      <c r="K13" s="180"/>
      <c r="L13" s="180"/>
      <c r="M13" s="180"/>
      <c r="N13" s="180"/>
      <c r="O13" s="180"/>
    </row>
    <row r="14" spans="1:15" ht="12.75">
      <c r="A14" s="16"/>
      <c r="B14" s="16" t="s">
        <v>13</v>
      </c>
      <c r="C14" s="47">
        <v>4.8</v>
      </c>
      <c r="D14" s="17">
        <v>4.3</v>
      </c>
      <c r="E14" s="17">
        <v>4.7</v>
      </c>
      <c r="F14" s="17">
        <v>4.4</v>
      </c>
      <c r="G14" s="17">
        <v>5</v>
      </c>
      <c r="H14" s="178">
        <v>4</v>
      </c>
      <c r="I14" s="179">
        <v>4</v>
      </c>
      <c r="J14" s="179">
        <v>5</v>
      </c>
      <c r="K14" s="179">
        <v>5</v>
      </c>
      <c r="L14" s="179">
        <v>6</v>
      </c>
      <c r="M14" s="179">
        <v>6</v>
      </c>
      <c r="N14" s="179">
        <v>7</v>
      </c>
      <c r="O14" s="179">
        <v>8</v>
      </c>
    </row>
    <row r="15" spans="1:15" ht="12.75">
      <c r="A15" s="16"/>
      <c r="B15" s="16" t="s">
        <v>14</v>
      </c>
      <c r="C15" s="47">
        <v>482.85</v>
      </c>
      <c r="D15" s="17">
        <v>508.9</v>
      </c>
      <c r="E15" s="17">
        <v>540.7</v>
      </c>
      <c r="F15" s="17">
        <v>652.1</v>
      </c>
      <c r="G15" s="17">
        <v>612.4</v>
      </c>
      <c r="H15" s="178">
        <v>787.3</v>
      </c>
      <c r="I15" s="179">
        <v>893</v>
      </c>
      <c r="J15" s="179">
        <v>984</v>
      </c>
      <c r="K15" s="179">
        <v>1084</v>
      </c>
      <c r="L15" s="179">
        <v>1193</v>
      </c>
      <c r="M15" s="179">
        <v>1307</v>
      </c>
      <c r="N15" s="179">
        <v>1420</v>
      </c>
      <c r="O15" s="179">
        <v>1550</v>
      </c>
    </row>
    <row r="16" spans="1:15" ht="12.75">
      <c r="A16" s="16"/>
      <c r="B16" s="19" t="s">
        <v>16</v>
      </c>
      <c r="C16" s="48">
        <v>73.25</v>
      </c>
      <c r="D16" s="17">
        <v>90.5</v>
      </c>
      <c r="E16" s="17">
        <v>94.1</v>
      </c>
      <c r="F16" s="17">
        <v>117.8</v>
      </c>
      <c r="G16" s="17">
        <v>120.3</v>
      </c>
      <c r="H16" s="178">
        <v>158.1</v>
      </c>
      <c r="I16" s="179">
        <v>222</v>
      </c>
      <c r="J16" s="179">
        <v>233</v>
      </c>
      <c r="K16" s="179">
        <v>244</v>
      </c>
      <c r="L16" s="179">
        <v>257</v>
      </c>
      <c r="M16" s="179">
        <v>269</v>
      </c>
      <c r="N16" s="179">
        <v>283</v>
      </c>
      <c r="O16" s="179">
        <v>297</v>
      </c>
    </row>
    <row r="17" spans="1:15" ht="12.75">
      <c r="A17" s="16"/>
      <c r="B17" s="19" t="s">
        <v>17</v>
      </c>
      <c r="C17" s="48">
        <v>0.28125</v>
      </c>
      <c r="D17" s="17">
        <v>0</v>
      </c>
      <c r="E17" s="17">
        <v>0.6</v>
      </c>
      <c r="F17" s="17">
        <v>0.4</v>
      </c>
      <c r="G17" s="17">
        <v>0.9</v>
      </c>
      <c r="H17" s="178">
        <v>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</row>
    <row r="18" spans="1:15" ht="12.75">
      <c r="A18" s="16"/>
      <c r="B18" s="5"/>
      <c r="C18" s="49"/>
      <c r="D18" s="17"/>
      <c r="E18" s="17"/>
      <c r="F18" s="17"/>
      <c r="G18" s="17"/>
      <c r="H18" s="180"/>
      <c r="I18" s="180"/>
      <c r="J18" s="180"/>
      <c r="K18" s="180"/>
      <c r="L18" s="180"/>
      <c r="M18" s="180"/>
      <c r="N18" s="180"/>
      <c r="O18" s="180"/>
    </row>
    <row r="19" spans="1:15" ht="12.75">
      <c r="A19" s="16" t="s">
        <v>39</v>
      </c>
      <c r="B19" s="5"/>
      <c r="C19" s="49"/>
      <c r="D19" s="17"/>
      <c r="E19" s="17"/>
      <c r="F19" s="17"/>
      <c r="G19" s="17"/>
      <c r="H19" s="180"/>
      <c r="I19" s="180"/>
      <c r="J19" s="180"/>
      <c r="K19" s="180"/>
      <c r="L19" s="180"/>
      <c r="M19" s="180"/>
      <c r="N19" s="180"/>
      <c r="O19" s="180"/>
    </row>
    <row r="20" spans="1:15" ht="12.75">
      <c r="A20" s="16"/>
      <c r="B20" s="16" t="s">
        <v>13</v>
      </c>
      <c r="C20" s="47">
        <v>4.25</v>
      </c>
      <c r="D20" s="17">
        <v>5.3</v>
      </c>
      <c r="E20" s="17">
        <v>2.3</v>
      </c>
      <c r="F20" s="17">
        <v>3.7</v>
      </c>
      <c r="G20" s="17">
        <v>3.2</v>
      </c>
      <c r="H20" s="178">
        <v>2.1</v>
      </c>
      <c r="I20" s="179">
        <v>2</v>
      </c>
      <c r="J20" s="179">
        <v>3</v>
      </c>
      <c r="K20" s="179">
        <v>4</v>
      </c>
      <c r="L20" s="179">
        <v>92</v>
      </c>
      <c r="M20" s="179">
        <v>158</v>
      </c>
      <c r="N20" s="179">
        <v>247</v>
      </c>
      <c r="O20" s="179">
        <v>295</v>
      </c>
    </row>
    <row r="21" spans="1:15" ht="12.75">
      <c r="A21" s="16"/>
      <c r="B21" s="16" t="s">
        <v>14</v>
      </c>
      <c r="C21" s="47">
        <v>238.575</v>
      </c>
      <c r="D21" s="17">
        <v>236.6</v>
      </c>
      <c r="E21" s="17">
        <v>289.8</v>
      </c>
      <c r="F21" s="17">
        <v>421.5</v>
      </c>
      <c r="G21" s="17">
        <v>426.4</v>
      </c>
      <c r="H21" s="178">
        <v>533.8</v>
      </c>
      <c r="I21" s="179">
        <v>564</v>
      </c>
      <c r="J21" s="179">
        <v>677</v>
      </c>
      <c r="K21" s="179">
        <v>846</v>
      </c>
      <c r="L21" s="179">
        <v>1015</v>
      </c>
      <c r="M21" s="179">
        <v>1218</v>
      </c>
      <c r="N21" s="179">
        <v>1529</v>
      </c>
      <c r="O21" s="179">
        <v>1967</v>
      </c>
    </row>
    <row r="22" spans="1:15" ht="12.75">
      <c r="A22" s="16"/>
      <c r="B22" s="19" t="s">
        <v>16</v>
      </c>
      <c r="C22" s="48">
        <v>68.09375</v>
      </c>
      <c r="D22" s="17">
        <v>64.2</v>
      </c>
      <c r="E22" s="17">
        <v>104</v>
      </c>
      <c r="F22" s="17">
        <v>87.7</v>
      </c>
      <c r="G22" s="17">
        <v>80.8</v>
      </c>
      <c r="H22" s="178">
        <v>130.6</v>
      </c>
      <c r="I22" s="179">
        <v>110</v>
      </c>
      <c r="J22" s="179">
        <v>131</v>
      </c>
      <c r="K22" s="179">
        <v>164</v>
      </c>
      <c r="L22" s="179">
        <v>160</v>
      </c>
      <c r="M22" s="179">
        <v>208</v>
      </c>
      <c r="N22" s="179">
        <v>212</v>
      </c>
      <c r="O22" s="179">
        <v>296</v>
      </c>
    </row>
    <row r="23" spans="1:15" ht="12.75">
      <c r="A23" s="16"/>
      <c r="B23" s="19" t="s">
        <v>17</v>
      </c>
      <c r="C23" s="48">
        <v>10.71875</v>
      </c>
      <c r="D23" s="17">
        <v>13.4</v>
      </c>
      <c r="E23" s="17">
        <v>1.5</v>
      </c>
      <c r="F23" s="17">
        <v>1.3</v>
      </c>
      <c r="G23" s="17">
        <v>0.6</v>
      </c>
      <c r="H23" s="178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</row>
    <row r="24" spans="1:15" ht="12.75">
      <c r="A24" s="16"/>
      <c r="B24" s="5"/>
      <c r="C24" s="49"/>
      <c r="D24" s="17"/>
      <c r="E24" s="17"/>
      <c r="F24" s="17"/>
      <c r="G24" s="17"/>
      <c r="H24" s="180"/>
      <c r="I24" s="180"/>
      <c r="J24" s="180"/>
      <c r="K24" s="180"/>
      <c r="L24" s="180"/>
      <c r="M24" s="180"/>
      <c r="N24" s="180"/>
      <c r="O24" s="180"/>
    </row>
    <row r="25" spans="1:15" ht="12.75">
      <c r="A25" s="16" t="s">
        <v>40</v>
      </c>
      <c r="B25" s="16" t="s">
        <v>13</v>
      </c>
      <c r="C25" s="49">
        <v>0</v>
      </c>
      <c r="D25" s="17">
        <v>0</v>
      </c>
      <c r="E25" s="17">
        <v>7.6</v>
      </c>
      <c r="F25" s="17">
        <v>0</v>
      </c>
      <c r="G25" s="17">
        <v>0</v>
      </c>
      <c r="H25" s="180"/>
      <c r="I25" s="180"/>
      <c r="J25" s="180"/>
      <c r="K25" s="180"/>
      <c r="L25" s="180"/>
      <c r="M25" s="180"/>
      <c r="N25" s="180"/>
      <c r="O25" s="180"/>
    </row>
    <row r="26" spans="1:15" ht="12.75">
      <c r="A26" s="16" t="s">
        <v>41</v>
      </c>
      <c r="B26" s="16" t="s">
        <v>14</v>
      </c>
      <c r="C26" s="49">
        <v>6.925</v>
      </c>
      <c r="D26" s="17">
        <v>7.2</v>
      </c>
      <c r="E26" s="17">
        <v>0.3</v>
      </c>
      <c r="F26" s="17">
        <v>0.6</v>
      </c>
      <c r="G26" s="17">
        <v>8.7</v>
      </c>
      <c r="H26" s="180"/>
      <c r="I26" s="180"/>
      <c r="J26" s="180"/>
      <c r="K26" s="180"/>
      <c r="L26" s="180"/>
      <c r="M26" s="180"/>
      <c r="N26" s="180"/>
      <c r="O26" s="180"/>
    </row>
    <row r="27" spans="1:15" ht="12.75">
      <c r="A27" s="16" t="s">
        <v>42</v>
      </c>
      <c r="B27" s="19" t="s">
        <v>16</v>
      </c>
      <c r="C27" s="49">
        <v>11.96875</v>
      </c>
      <c r="D27" s="17">
        <v>2.6</v>
      </c>
      <c r="E27" s="17">
        <v>1.3</v>
      </c>
      <c r="F27" s="17">
        <v>1.5</v>
      </c>
      <c r="G27" s="17">
        <v>1.5</v>
      </c>
      <c r="H27" s="180"/>
      <c r="I27" s="180"/>
      <c r="J27" s="180"/>
      <c r="K27" s="180"/>
      <c r="L27" s="180"/>
      <c r="M27" s="180"/>
      <c r="N27" s="180"/>
      <c r="O27" s="180"/>
    </row>
    <row r="28" spans="1:15" ht="12.75">
      <c r="A28" s="16" t="s">
        <v>43</v>
      </c>
      <c r="B28" s="19" t="s">
        <v>17</v>
      </c>
      <c r="C28" s="49">
        <v>0</v>
      </c>
      <c r="D28" s="17">
        <v>0.8</v>
      </c>
      <c r="E28" s="17">
        <v>0.3</v>
      </c>
      <c r="F28" s="17">
        <v>0</v>
      </c>
      <c r="G28" s="17">
        <v>0.9</v>
      </c>
      <c r="H28" s="180"/>
      <c r="I28" s="180"/>
      <c r="J28" s="180"/>
      <c r="K28" s="180"/>
      <c r="L28" s="180"/>
      <c r="M28" s="180"/>
      <c r="N28" s="180"/>
      <c r="O28" s="180"/>
    </row>
    <row r="29" spans="1:15" ht="12.75">
      <c r="A29" s="16"/>
      <c r="B29" s="5"/>
      <c r="C29" s="49"/>
      <c r="D29" s="17"/>
      <c r="E29" s="17"/>
      <c r="F29" s="17"/>
      <c r="G29" s="17"/>
      <c r="H29" s="180"/>
      <c r="I29" s="180"/>
      <c r="J29" s="180"/>
      <c r="K29" s="180"/>
      <c r="L29" s="180"/>
      <c r="M29" s="180"/>
      <c r="N29" s="180"/>
      <c r="O29" s="180"/>
    </row>
    <row r="30" spans="1:15" ht="12.75">
      <c r="A30" s="16" t="s">
        <v>85</v>
      </c>
      <c r="B30" s="5"/>
      <c r="C30" s="49"/>
      <c r="D30" s="17"/>
      <c r="E30" s="17"/>
      <c r="F30" s="17"/>
      <c r="G30" s="17"/>
      <c r="H30" s="180"/>
      <c r="I30" s="180"/>
      <c r="J30" s="180"/>
      <c r="K30" s="180"/>
      <c r="L30" s="180"/>
      <c r="M30" s="180"/>
      <c r="N30" s="180"/>
      <c r="O30" s="180"/>
    </row>
    <row r="31" spans="1:15" ht="12.75">
      <c r="A31" s="16"/>
      <c r="B31" s="16" t="s">
        <v>13</v>
      </c>
      <c r="C31" s="47">
        <v>0</v>
      </c>
      <c r="D31" s="47">
        <v>0</v>
      </c>
      <c r="E31" s="47">
        <v>0</v>
      </c>
      <c r="F31" s="47">
        <v>0</v>
      </c>
      <c r="G31" s="17">
        <v>0</v>
      </c>
      <c r="H31" s="180"/>
      <c r="I31" s="180"/>
      <c r="J31" s="180"/>
      <c r="K31" s="180"/>
      <c r="L31" s="180"/>
      <c r="M31" s="180"/>
      <c r="N31" s="180"/>
      <c r="O31" s="180"/>
    </row>
    <row r="32" spans="1:15" ht="12.75">
      <c r="A32" s="16"/>
      <c r="B32" s="16" t="s">
        <v>14</v>
      </c>
      <c r="C32" s="47">
        <v>0</v>
      </c>
      <c r="D32" s="47">
        <v>0</v>
      </c>
      <c r="E32" s="47">
        <v>0</v>
      </c>
      <c r="F32" s="47">
        <v>7.2</v>
      </c>
      <c r="G32" s="17">
        <v>5.3</v>
      </c>
      <c r="H32" s="180"/>
      <c r="I32" s="180"/>
      <c r="J32" s="180"/>
      <c r="K32" s="180"/>
      <c r="L32" s="180"/>
      <c r="M32" s="180"/>
      <c r="N32" s="180"/>
      <c r="O32" s="180"/>
    </row>
    <row r="33" spans="1:15" ht="12.75">
      <c r="A33" s="16"/>
      <c r="B33" s="19" t="s">
        <v>16</v>
      </c>
      <c r="C33" s="47">
        <v>0</v>
      </c>
      <c r="D33" s="47">
        <v>0</v>
      </c>
      <c r="E33" s="47">
        <v>0</v>
      </c>
      <c r="F33" s="47">
        <v>2.8</v>
      </c>
      <c r="G33" s="17">
        <v>0.3</v>
      </c>
      <c r="H33" s="180"/>
      <c r="I33" s="180"/>
      <c r="J33" s="180"/>
      <c r="K33" s="180"/>
      <c r="L33" s="180"/>
      <c r="M33" s="180"/>
      <c r="N33" s="180"/>
      <c r="O33" s="180"/>
    </row>
    <row r="34" spans="1:15" ht="12.75">
      <c r="A34" s="16"/>
      <c r="B34" s="19" t="s">
        <v>17</v>
      </c>
      <c r="C34" s="47">
        <v>0</v>
      </c>
      <c r="D34" s="47">
        <v>0</v>
      </c>
      <c r="E34" s="47">
        <v>0</v>
      </c>
      <c r="F34" s="47">
        <v>0.1</v>
      </c>
      <c r="G34" s="17">
        <v>0</v>
      </c>
      <c r="H34" s="180"/>
      <c r="I34" s="180"/>
      <c r="J34" s="180"/>
      <c r="K34" s="180"/>
      <c r="L34" s="180"/>
      <c r="M34" s="180"/>
      <c r="N34" s="180"/>
      <c r="O34" s="180"/>
    </row>
    <row r="35" spans="1:15" ht="12.75">
      <c r="A35" s="16"/>
      <c r="B35" s="5"/>
      <c r="C35" s="49"/>
      <c r="D35" s="17"/>
      <c r="E35" s="17"/>
      <c r="F35" s="17"/>
      <c r="G35" s="17"/>
      <c r="H35" s="180"/>
      <c r="I35" s="180"/>
      <c r="J35" s="180"/>
      <c r="K35" s="180"/>
      <c r="L35" s="180"/>
      <c r="M35" s="180"/>
      <c r="N35" s="180"/>
      <c r="O35" s="180"/>
    </row>
    <row r="36" spans="1:15" ht="12.75">
      <c r="A36" s="16" t="s">
        <v>44</v>
      </c>
      <c r="B36" s="5"/>
      <c r="C36" s="49"/>
      <c r="D36" s="17"/>
      <c r="E36" s="17"/>
      <c r="F36" s="17"/>
      <c r="G36" s="17"/>
      <c r="H36" s="180"/>
      <c r="I36" s="180"/>
      <c r="J36" s="180"/>
      <c r="K36" s="180"/>
      <c r="L36" s="180"/>
      <c r="M36" s="180"/>
      <c r="N36" s="180"/>
      <c r="O36" s="180"/>
    </row>
    <row r="37" spans="1:15" ht="12.75">
      <c r="A37" s="16"/>
      <c r="B37" s="16" t="s">
        <v>13</v>
      </c>
      <c r="C37" s="47">
        <v>184.925</v>
      </c>
      <c r="D37" s="17">
        <v>296.8</v>
      </c>
      <c r="E37" s="17">
        <v>395.6</v>
      </c>
      <c r="F37" s="17">
        <v>516.4</v>
      </c>
      <c r="G37" s="17">
        <v>473.6</v>
      </c>
      <c r="H37" s="178">
        <v>580.593385</v>
      </c>
      <c r="I37" s="179">
        <v>565</v>
      </c>
      <c r="J37" s="179">
        <v>636</v>
      </c>
      <c r="K37" s="179">
        <v>722</v>
      </c>
      <c r="L37" s="179">
        <v>823</v>
      </c>
      <c r="M37" s="179">
        <v>946</v>
      </c>
      <c r="N37" s="179">
        <v>1098</v>
      </c>
      <c r="O37" s="179">
        <v>1285</v>
      </c>
    </row>
    <row r="38" spans="1:15" ht="12.75">
      <c r="A38" s="16"/>
      <c r="B38" s="16" t="s">
        <v>14</v>
      </c>
      <c r="C38" s="47">
        <v>1069.025</v>
      </c>
      <c r="D38" s="17">
        <v>1135.5</v>
      </c>
      <c r="E38" s="17">
        <v>1112.7</v>
      </c>
      <c r="F38" s="17">
        <v>1231.2</v>
      </c>
      <c r="G38" s="17">
        <v>1195.4</v>
      </c>
      <c r="H38" s="178">
        <v>1501.2724226991152</v>
      </c>
      <c r="I38" s="179">
        <v>1427</v>
      </c>
      <c r="J38" s="179">
        <v>1605</v>
      </c>
      <c r="K38" s="179">
        <v>1814</v>
      </c>
      <c r="L38" s="179">
        <v>2050</v>
      </c>
      <c r="M38" s="179">
        <v>2316</v>
      </c>
      <c r="N38" s="179">
        <v>2617</v>
      </c>
      <c r="O38" s="179">
        <v>2810</v>
      </c>
    </row>
    <row r="39" spans="1:15" ht="12.75">
      <c r="A39" s="16"/>
      <c r="B39" s="19" t="s">
        <v>16</v>
      </c>
      <c r="C39" s="48">
        <v>229.9375</v>
      </c>
      <c r="D39" s="17">
        <v>231</v>
      </c>
      <c r="E39" s="17">
        <v>118.5</v>
      </c>
      <c r="F39" s="17">
        <v>210.7</v>
      </c>
      <c r="G39" s="17">
        <v>255.8</v>
      </c>
      <c r="H39" s="178">
        <v>243.27040363198387</v>
      </c>
      <c r="I39" s="179">
        <v>270</v>
      </c>
      <c r="J39" s="179">
        <v>293</v>
      </c>
      <c r="K39" s="179">
        <v>318</v>
      </c>
      <c r="L39" s="179">
        <v>348</v>
      </c>
      <c r="M39" s="179">
        <v>378</v>
      </c>
      <c r="N39" s="179">
        <v>411</v>
      </c>
      <c r="O39" s="179">
        <v>448</v>
      </c>
    </row>
    <row r="40" spans="1:15" ht="12.75">
      <c r="A40" s="16"/>
      <c r="B40" s="19" t="s">
        <v>17</v>
      </c>
      <c r="C40" s="48">
        <v>22.09375</v>
      </c>
      <c r="D40" s="17">
        <v>25.5</v>
      </c>
      <c r="E40" s="17">
        <v>26.3</v>
      </c>
      <c r="F40" s="17">
        <v>25.1</v>
      </c>
      <c r="G40" s="17">
        <v>26.8</v>
      </c>
      <c r="H40" s="178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0</v>
      </c>
    </row>
    <row r="41" spans="1:15" ht="12.75">
      <c r="A41" s="16"/>
      <c r="B41" s="5"/>
      <c r="C41" s="49"/>
      <c r="D41" s="17"/>
      <c r="E41" s="17"/>
      <c r="F41" s="17"/>
      <c r="G41" s="17"/>
      <c r="H41" s="180"/>
      <c r="I41" s="180"/>
      <c r="J41" s="180"/>
      <c r="K41" s="180"/>
      <c r="L41" s="180"/>
      <c r="M41" s="180"/>
      <c r="N41" s="180"/>
      <c r="O41" s="180"/>
    </row>
    <row r="42" spans="1:15" ht="12.75">
      <c r="A42" s="16" t="s">
        <v>32</v>
      </c>
      <c r="B42" s="16" t="s">
        <v>13</v>
      </c>
      <c r="C42" s="47">
        <v>10.825</v>
      </c>
      <c r="D42" s="17">
        <v>16</v>
      </c>
      <c r="E42" s="17">
        <v>104.5</v>
      </c>
      <c r="F42" s="17">
        <v>230.4</v>
      </c>
      <c r="G42" s="17">
        <v>352.1</v>
      </c>
      <c r="H42" s="179">
        <v>19.554615</v>
      </c>
      <c r="I42" s="179">
        <v>532</v>
      </c>
      <c r="J42" s="179">
        <v>570</v>
      </c>
      <c r="K42" s="179">
        <v>610</v>
      </c>
      <c r="L42" s="179">
        <v>652</v>
      </c>
      <c r="M42" s="179">
        <v>698</v>
      </c>
      <c r="N42" s="179">
        <v>747</v>
      </c>
      <c r="O42" s="179">
        <v>778</v>
      </c>
    </row>
    <row r="43" spans="1:15" ht="12.75">
      <c r="A43" s="16"/>
      <c r="B43" s="16" t="s">
        <v>14</v>
      </c>
      <c r="C43" s="47">
        <v>297.25</v>
      </c>
      <c r="D43" s="17">
        <v>401.1</v>
      </c>
      <c r="E43" s="17">
        <v>535.4</v>
      </c>
      <c r="F43" s="17">
        <v>639.4</v>
      </c>
      <c r="G43" s="17">
        <v>816.9</v>
      </c>
      <c r="H43" s="179">
        <v>496.524095</v>
      </c>
      <c r="I43" s="179">
        <v>1195</v>
      </c>
      <c r="J43" s="179">
        <v>1303</v>
      </c>
      <c r="K43" s="179">
        <v>1420</v>
      </c>
      <c r="L43" s="179">
        <v>1548</v>
      </c>
      <c r="M43" s="179">
        <v>1687</v>
      </c>
      <c r="N43" s="179">
        <v>1839</v>
      </c>
      <c r="O43" s="179">
        <v>1854</v>
      </c>
    </row>
    <row r="44" spans="1:15" ht="12.75">
      <c r="A44" s="16"/>
      <c r="B44" s="19" t="s">
        <v>16</v>
      </c>
      <c r="C44" s="48">
        <v>419.0625</v>
      </c>
      <c r="D44" s="17">
        <v>553.3</v>
      </c>
      <c r="E44" s="17">
        <v>598</v>
      </c>
      <c r="F44" s="17">
        <v>600.4</v>
      </c>
      <c r="G44" s="17">
        <v>715.1</v>
      </c>
      <c r="H44" s="179">
        <v>185.80864062499995</v>
      </c>
      <c r="I44" s="179">
        <v>827</v>
      </c>
      <c r="J44" s="179">
        <v>877</v>
      </c>
      <c r="K44" s="179">
        <v>930</v>
      </c>
      <c r="L44" s="179">
        <v>986</v>
      </c>
      <c r="M44" s="179">
        <v>1045</v>
      </c>
      <c r="N44" s="179">
        <v>1107</v>
      </c>
      <c r="O44" s="179">
        <v>1127</v>
      </c>
    </row>
    <row r="45" spans="1:15" ht="12.75">
      <c r="A45" s="16"/>
      <c r="B45" s="19" t="s">
        <v>17</v>
      </c>
      <c r="C45" s="48">
        <v>21.90625</v>
      </c>
      <c r="D45" s="17">
        <v>19.4</v>
      </c>
      <c r="E45" s="17">
        <v>25.3</v>
      </c>
      <c r="F45" s="17">
        <v>20.6</v>
      </c>
      <c r="G45" s="17">
        <v>23.1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</row>
    <row r="46" spans="1:15" ht="12.75">
      <c r="A46" s="16"/>
      <c r="B46" s="5"/>
      <c r="C46" s="49"/>
      <c r="D46" s="17"/>
      <c r="E46" s="17"/>
      <c r="F46" s="17"/>
      <c r="G46" s="17"/>
      <c r="H46" s="180"/>
      <c r="I46" s="180"/>
      <c r="J46" s="180"/>
      <c r="K46" s="180"/>
      <c r="L46" s="180"/>
      <c r="M46" s="180"/>
      <c r="N46" s="180"/>
      <c r="O46" s="180"/>
    </row>
    <row r="47" spans="1:15" ht="12.75">
      <c r="A47" s="16" t="s">
        <v>45</v>
      </c>
      <c r="B47" s="5"/>
      <c r="C47" s="49"/>
      <c r="D47" s="17"/>
      <c r="E47" s="17"/>
      <c r="F47" s="17"/>
      <c r="G47" s="17"/>
      <c r="H47" s="180"/>
      <c r="I47" s="180"/>
      <c r="J47" s="180"/>
      <c r="K47" s="180"/>
      <c r="L47" s="180"/>
      <c r="M47" s="180"/>
      <c r="N47" s="180"/>
      <c r="O47" s="180"/>
    </row>
    <row r="48" spans="1:15" ht="12.75">
      <c r="A48" s="16"/>
      <c r="B48" s="16" t="s">
        <v>13</v>
      </c>
      <c r="C48" s="49">
        <f aca="true" t="shared" si="0" ref="C48:O48">C8+C14+C20+C25+C37+C42+C31</f>
        <v>6545.925</v>
      </c>
      <c r="D48" s="49">
        <f t="shared" si="0"/>
        <v>7445.6</v>
      </c>
      <c r="E48" s="49">
        <f t="shared" si="0"/>
        <v>8069.6</v>
      </c>
      <c r="F48" s="49">
        <f t="shared" si="0"/>
        <v>8701.3</v>
      </c>
      <c r="G48" s="49">
        <f t="shared" si="0"/>
        <v>8980.5</v>
      </c>
      <c r="H48" s="49">
        <f t="shared" si="0"/>
        <v>9438.948</v>
      </c>
      <c r="I48" s="49">
        <f t="shared" si="0"/>
        <v>10217</v>
      </c>
      <c r="J48" s="49">
        <f t="shared" si="0"/>
        <v>10875</v>
      </c>
      <c r="K48" s="49">
        <f t="shared" si="0"/>
        <v>11527</v>
      </c>
      <c r="L48" s="49">
        <f t="shared" si="0"/>
        <v>12248</v>
      </c>
      <c r="M48" s="49">
        <f t="shared" si="0"/>
        <v>13314</v>
      </c>
      <c r="N48" s="49">
        <f t="shared" si="0"/>
        <v>14295</v>
      </c>
      <c r="O48" s="49">
        <f t="shared" si="0"/>
        <v>14929</v>
      </c>
    </row>
    <row r="49" spans="1:15" ht="12.75">
      <c r="A49" s="16"/>
      <c r="B49" s="16" t="s">
        <v>14</v>
      </c>
      <c r="C49" s="49">
        <f aca="true" t="shared" si="1" ref="C49:O49">C9+C15+C21+C26+C38+C43+C32</f>
        <v>9462.2</v>
      </c>
      <c r="D49" s="49">
        <f t="shared" si="1"/>
        <v>9850.900000000001</v>
      </c>
      <c r="E49" s="49">
        <f t="shared" si="1"/>
        <v>10156.199999999999</v>
      </c>
      <c r="F49" s="49">
        <f t="shared" si="1"/>
        <v>11050.400000000001</v>
      </c>
      <c r="G49" s="49">
        <f t="shared" si="1"/>
        <v>11584.8</v>
      </c>
      <c r="H49" s="49">
        <f t="shared" si="1"/>
        <v>12523.796517699115</v>
      </c>
      <c r="I49" s="49">
        <f t="shared" si="1"/>
        <v>13492</v>
      </c>
      <c r="J49" s="49">
        <f t="shared" si="1"/>
        <v>14406</v>
      </c>
      <c r="K49" s="49">
        <f t="shared" si="1"/>
        <v>15444</v>
      </c>
      <c r="L49" s="49">
        <f t="shared" si="1"/>
        <v>16548</v>
      </c>
      <c r="M49" s="49">
        <f t="shared" si="1"/>
        <v>17754</v>
      </c>
      <c r="N49" s="49">
        <f t="shared" si="1"/>
        <v>19135</v>
      </c>
      <c r="O49" s="49">
        <f t="shared" si="1"/>
        <v>20327</v>
      </c>
    </row>
    <row r="50" spans="1:15" ht="12.75">
      <c r="A50" s="16"/>
      <c r="B50" s="19" t="s">
        <v>16</v>
      </c>
      <c r="C50" s="49">
        <f aca="true" t="shared" si="2" ref="C50:O50">C10+C16+C22+C27+C39+C44+C33</f>
        <v>2802.8125</v>
      </c>
      <c r="D50" s="49">
        <f t="shared" si="2"/>
        <v>3068</v>
      </c>
      <c r="E50" s="49">
        <f t="shared" si="2"/>
        <v>3129.4</v>
      </c>
      <c r="F50" s="49">
        <f t="shared" si="2"/>
        <v>3200.7000000000003</v>
      </c>
      <c r="G50" s="49">
        <f t="shared" si="2"/>
        <v>3181.9000000000005</v>
      </c>
      <c r="H50" s="49">
        <f t="shared" si="2"/>
        <v>4163.579044256983</v>
      </c>
      <c r="I50" s="49">
        <f t="shared" si="2"/>
        <v>4116</v>
      </c>
      <c r="J50" s="49">
        <f t="shared" si="2"/>
        <v>4324</v>
      </c>
      <c r="K50" s="49">
        <f t="shared" si="2"/>
        <v>4865</v>
      </c>
      <c r="L50" s="49">
        <f t="shared" si="2"/>
        <v>5441</v>
      </c>
      <c r="M50" s="49">
        <f t="shared" si="2"/>
        <v>6143</v>
      </c>
      <c r="N50" s="49">
        <f t="shared" si="2"/>
        <v>6893</v>
      </c>
      <c r="O50" s="49">
        <f t="shared" si="2"/>
        <v>7238</v>
      </c>
    </row>
    <row r="51" spans="1:15" ht="13.5" thickBot="1">
      <c r="A51" s="16"/>
      <c r="B51" s="19" t="s">
        <v>17</v>
      </c>
      <c r="C51" s="142">
        <f aca="true" t="shared" si="3" ref="C51:O51">C11+C17+C23+C28+C40+C45+C34</f>
        <v>568.28125</v>
      </c>
      <c r="D51" s="142">
        <f t="shared" si="3"/>
        <v>595.1999999999999</v>
      </c>
      <c r="E51" s="142">
        <f t="shared" si="3"/>
        <v>641.8999999999999</v>
      </c>
      <c r="F51" s="142">
        <f t="shared" si="3"/>
        <v>683.6</v>
      </c>
      <c r="G51" s="142">
        <f t="shared" si="3"/>
        <v>742.5</v>
      </c>
      <c r="H51" s="142">
        <f t="shared" si="3"/>
        <v>871</v>
      </c>
      <c r="I51" s="142">
        <f t="shared" si="3"/>
        <v>884</v>
      </c>
      <c r="J51" s="142">
        <f t="shared" si="3"/>
        <v>990</v>
      </c>
      <c r="K51" s="142">
        <f t="shared" si="3"/>
        <v>1110</v>
      </c>
      <c r="L51" s="142">
        <f t="shared" si="3"/>
        <v>1243</v>
      </c>
      <c r="M51" s="142">
        <f t="shared" si="3"/>
        <v>1392</v>
      </c>
      <c r="N51" s="142">
        <f t="shared" si="3"/>
        <v>1559</v>
      </c>
      <c r="O51" s="142">
        <f t="shared" si="3"/>
        <v>1762</v>
      </c>
    </row>
    <row r="52" spans="1:15" ht="12.75">
      <c r="A52" s="16"/>
      <c r="B52" s="22" t="s">
        <v>18</v>
      </c>
      <c r="C52" s="49">
        <f aca="true" t="shared" si="4" ref="C52:O52">SUM(C48:C51)</f>
        <v>19379.21875</v>
      </c>
      <c r="D52" s="17">
        <f t="shared" si="4"/>
        <v>20959.7</v>
      </c>
      <c r="E52" s="17">
        <f t="shared" si="4"/>
        <v>21997.100000000002</v>
      </c>
      <c r="F52" s="17">
        <f t="shared" si="4"/>
        <v>23636</v>
      </c>
      <c r="G52" s="17">
        <f t="shared" si="4"/>
        <v>24489.7</v>
      </c>
      <c r="H52" s="17">
        <f t="shared" si="4"/>
        <v>26997.323561956102</v>
      </c>
      <c r="I52" s="17">
        <f t="shared" si="4"/>
        <v>28709</v>
      </c>
      <c r="J52" s="17">
        <f t="shared" si="4"/>
        <v>30595</v>
      </c>
      <c r="K52" s="17">
        <f t="shared" si="4"/>
        <v>32946</v>
      </c>
      <c r="L52" s="17">
        <f t="shared" si="4"/>
        <v>35480</v>
      </c>
      <c r="M52" s="17">
        <f t="shared" si="4"/>
        <v>38603</v>
      </c>
      <c r="N52" s="17">
        <f t="shared" si="4"/>
        <v>41882</v>
      </c>
      <c r="O52" s="17">
        <f t="shared" si="4"/>
        <v>44256</v>
      </c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</sheetData>
  <printOptions horizontalCentered="1"/>
  <pageMargins left="0.25" right="0.25" top="1" bottom="1" header="0.5" footer="0.5"/>
  <pageSetup fitToHeight="1" fitToWidth="1" horizontalDpi="600" verticalDpi="600" orientation="landscape" scale="67" r:id="rId3"/>
  <headerFooter alignWithMargins="0">
    <oddFooter>&amp;L&amp;A&amp;R&amp;8Prepared by Office of Planning, Budgeting and Policy Analysis, DCU,  &amp;F  &amp;D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zoomScale="75" zoomScaleNormal="75" workbookViewId="0" topLeftCell="A1">
      <pane xSplit="2" ySplit="5" topLeftCell="C23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2.75"/>
  <cols>
    <col min="2" max="2" width="15.00390625" style="0" customWidth="1"/>
    <col min="3" max="3" width="12.00390625" style="0" customWidth="1"/>
  </cols>
  <sheetData>
    <row r="1" spans="1:13" ht="15.75">
      <c r="A1" s="1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2.75">
      <c r="A2" s="3"/>
    </row>
    <row r="3" spans="1:7" ht="13.5" thickBot="1">
      <c r="A3" s="4" t="s">
        <v>46</v>
      </c>
      <c r="B3" s="5"/>
      <c r="C3" s="5"/>
      <c r="D3" s="5"/>
      <c r="E3" s="5"/>
      <c r="F3" s="5"/>
      <c r="G3" s="5"/>
    </row>
    <row r="4" spans="1:15" ht="58.5" customHeight="1" thickBot="1">
      <c r="A4" s="5"/>
      <c r="B4" s="5"/>
      <c r="C4" s="6" t="s">
        <v>0</v>
      </c>
      <c r="D4" s="7" t="s">
        <v>0</v>
      </c>
      <c r="E4" s="7" t="s">
        <v>0</v>
      </c>
      <c r="F4" s="7" t="s">
        <v>0</v>
      </c>
      <c r="G4" s="51" t="s">
        <v>91</v>
      </c>
      <c r="H4" s="50"/>
      <c r="I4" s="8" t="s">
        <v>92</v>
      </c>
      <c r="J4" s="8"/>
      <c r="K4" s="9"/>
      <c r="L4" s="9"/>
      <c r="M4" s="9"/>
      <c r="N4" s="9"/>
      <c r="O4" s="9"/>
    </row>
    <row r="5" spans="1:15" ht="13.5" thickBot="1">
      <c r="A5" s="5"/>
      <c r="B5" s="5"/>
      <c r="C5" s="10" t="s">
        <v>1</v>
      </c>
      <c r="D5" s="11" t="s">
        <v>2</v>
      </c>
      <c r="E5" s="11" t="s">
        <v>3</v>
      </c>
      <c r="F5" s="12" t="s">
        <v>94</v>
      </c>
      <c r="G5" s="13" t="s">
        <v>4</v>
      </c>
      <c r="H5" s="13" t="s">
        <v>5</v>
      </c>
      <c r="I5" s="13" t="s">
        <v>6</v>
      </c>
      <c r="J5" s="14" t="s">
        <v>7</v>
      </c>
      <c r="K5" s="15" t="s">
        <v>8</v>
      </c>
      <c r="L5" s="15" t="s">
        <v>9</v>
      </c>
      <c r="M5" s="15" t="s">
        <v>10</v>
      </c>
      <c r="N5" s="15" t="s">
        <v>11</v>
      </c>
      <c r="O5" s="15" t="s">
        <v>12</v>
      </c>
    </row>
    <row r="6" spans="1:13" ht="12.75">
      <c r="A6" s="23" t="s">
        <v>98</v>
      </c>
      <c r="B6" s="5"/>
      <c r="C6" s="5"/>
      <c r="D6" s="26"/>
      <c r="E6" s="26"/>
      <c r="F6" s="26"/>
      <c r="G6" s="29"/>
      <c r="H6" s="30"/>
      <c r="I6" s="30"/>
      <c r="J6" s="30"/>
      <c r="K6" s="30"/>
      <c r="L6" s="31"/>
      <c r="M6" s="31"/>
    </row>
    <row r="7" spans="1:15" ht="12.75">
      <c r="A7" s="23"/>
      <c r="B7" s="16" t="s">
        <v>13</v>
      </c>
      <c r="C7" s="47">
        <v>53.625</v>
      </c>
      <c r="D7" s="17">
        <v>45.525</v>
      </c>
      <c r="E7" s="17">
        <v>82.2</v>
      </c>
      <c r="F7" s="17">
        <v>99.2</v>
      </c>
      <c r="G7" s="17">
        <v>4.9</v>
      </c>
      <c r="H7" s="18">
        <v>104</v>
      </c>
      <c r="I7" s="18">
        <v>147</v>
      </c>
      <c r="J7" s="18">
        <v>154</v>
      </c>
      <c r="K7" s="18">
        <v>160</v>
      </c>
      <c r="L7" s="18">
        <v>167</v>
      </c>
      <c r="M7" s="18">
        <v>172</v>
      </c>
      <c r="N7" s="18">
        <v>177</v>
      </c>
      <c r="O7" s="18">
        <v>182</v>
      </c>
    </row>
    <row r="8" spans="1:15" ht="12.75">
      <c r="A8" s="23"/>
      <c r="B8" s="16" t="s">
        <v>14</v>
      </c>
      <c r="C8" s="47">
        <v>223.725</v>
      </c>
      <c r="D8" s="17">
        <v>249.325</v>
      </c>
      <c r="E8" s="17">
        <v>283.4</v>
      </c>
      <c r="F8" s="17">
        <v>391.7</v>
      </c>
      <c r="G8" s="17">
        <v>18.2</v>
      </c>
      <c r="H8" s="18">
        <v>391</v>
      </c>
      <c r="I8" s="18">
        <v>469</v>
      </c>
      <c r="J8" s="18">
        <v>537</v>
      </c>
      <c r="K8" s="18">
        <v>582</v>
      </c>
      <c r="L8" s="18">
        <v>645</v>
      </c>
      <c r="M8" s="18">
        <v>704</v>
      </c>
      <c r="N8" s="18">
        <v>758</v>
      </c>
      <c r="O8" s="18">
        <v>795</v>
      </c>
    </row>
    <row r="9" spans="1:15" ht="12.75">
      <c r="A9" s="32" t="s">
        <v>47</v>
      </c>
      <c r="B9" s="19" t="s">
        <v>16</v>
      </c>
      <c r="C9" s="48">
        <v>444.2</v>
      </c>
      <c r="D9" s="17">
        <v>468.3375</v>
      </c>
      <c r="E9" s="17">
        <v>490.8</v>
      </c>
      <c r="F9" s="17">
        <v>477</v>
      </c>
      <c r="G9" s="17">
        <v>43.6</v>
      </c>
      <c r="H9" s="18">
        <v>457</v>
      </c>
      <c r="I9" s="18">
        <v>460</v>
      </c>
      <c r="J9" s="18">
        <v>505</v>
      </c>
      <c r="K9" s="18">
        <v>553</v>
      </c>
      <c r="L9" s="18">
        <v>578</v>
      </c>
      <c r="M9" s="18">
        <v>606</v>
      </c>
      <c r="N9" s="18">
        <v>632</v>
      </c>
      <c r="O9" s="18">
        <v>655</v>
      </c>
    </row>
    <row r="10" spans="1:15" ht="12.75">
      <c r="A10" s="32"/>
      <c r="B10" s="19" t="s">
        <v>17</v>
      </c>
      <c r="C10" s="48">
        <v>88.65625</v>
      </c>
      <c r="D10" s="17">
        <v>98.6875</v>
      </c>
      <c r="E10" s="17">
        <v>104.2</v>
      </c>
      <c r="F10" s="17">
        <v>121.7</v>
      </c>
      <c r="G10" s="17">
        <v>77.6</v>
      </c>
      <c r="H10" s="18">
        <v>161</v>
      </c>
      <c r="I10" s="18">
        <v>138</v>
      </c>
      <c r="J10" s="18">
        <v>143</v>
      </c>
      <c r="K10" s="18">
        <v>148</v>
      </c>
      <c r="L10" s="18">
        <v>182</v>
      </c>
      <c r="M10" s="18">
        <v>221</v>
      </c>
      <c r="N10" s="18">
        <v>266</v>
      </c>
      <c r="O10" s="18">
        <v>312</v>
      </c>
    </row>
    <row r="11" spans="1:15" ht="12.75">
      <c r="A11" s="23"/>
      <c r="B11" s="27" t="s">
        <v>19</v>
      </c>
      <c r="C11" s="28"/>
      <c r="D11" s="17">
        <v>401</v>
      </c>
      <c r="E11" s="17">
        <v>400</v>
      </c>
      <c r="F11" s="17">
        <v>410</v>
      </c>
      <c r="G11" s="17">
        <v>446</v>
      </c>
      <c r="H11" s="18">
        <v>458</v>
      </c>
      <c r="I11" s="18">
        <v>480</v>
      </c>
      <c r="J11" s="18">
        <v>480</v>
      </c>
      <c r="K11" s="18">
        <v>480</v>
      </c>
      <c r="L11" s="18">
        <v>560</v>
      </c>
      <c r="M11" s="18">
        <v>639</v>
      </c>
      <c r="N11" s="18">
        <v>719</v>
      </c>
      <c r="O11" s="18">
        <v>799</v>
      </c>
    </row>
    <row r="12" spans="1:15" ht="12.75">
      <c r="A12" s="23"/>
      <c r="B12" s="5"/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</row>
    <row r="13" spans="1:15" ht="12.75">
      <c r="A13" s="23" t="s">
        <v>48</v>
      </c>
      <c r="B13" s="5"/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</row>
    <row r="14" spans="1:15" ht="12.75">
      <c r="A14" s="23"/>
      <c r="B14" s="16" t="s">
        <v>13</v>
      </c>
      <c r="C14" s="33"/>
      <c r="D14" s="17"/>
      <c r="E14" s="17"/>
      <c r="F14" s="17"/>
      <c r="G14" s="17">
        <v>0</v>
      </c>
      <c r="H14" s="18"/>
      <c r="I14" s="18"/>
      <c r="J14" s="18"/>
      <c r="K14" s="18"/>
      <c r="L14" s="18"/>
      <c r="M14" s="18"/>
      <c r="N14" s="18"/>
      <c r="O14" s="18"/>
    </row>
    <row r="15" spans="1:15" ht="12.75">
      <c r="A15" s="23"/>
      <c r="B15" s="16" t="s">
        <v>14</v>
      </c>
      <c r="C15" s="33"/>
      <c r="D15" s="17"/>
      <c r="E15" s="17"/>
      <c r="F15" s="17"/>
      <c r="G15" s="17">
        <v>1.4</v>
      </c>
      <c r="H15" s="18"/>
      <c r="I15" s="18"/>
      <c r="J15" s="18"/>
      <c r="K15" s="18"/>
      <c r="L15" s="18"/>
      <c r="M15" s="18"/>
      <c r="N15" s="18"/>
      <c r="O15" s="18"/>
    </row>
    <row r="16" spans="1:15" ht="12.75">
      <c r="A16" s="23"/>
      <c r="B16" s="19" t="s">
        <v>16</v>
      </c>
      <c r="C16" s="34"/>
      <c r="D16" s="17"/>
      <c r="E16" s="17"/>
      <c r="F16" s="17"/>
      <c r="G16" s="17">
        <v>0</v>
      </c>
      <c r="H16" s="18"/>
      <c r="I16" s="18"/>
      <c r="J16" s="18"/>
      <c r="K16" s="18"/>
      <c r="L16" s="18"/>
      <c r="M16" s="18"/>
      <c r="N16" s="18"/>
      <c r="O16" s="18"/>
    </row>
    <row r="17" spans="1:15" ht="12.75">
      <c r="A17" s="23"/>
      <c r="B17" s="19" t="s">
        <v>17</v>
      </c>
      <c r="C17" s="34"/>
      <c r="D17" s="17"/>
      <c r="E17" s="17"/>
      <c r="F17" s="17"/>
      <c r="G17" s="17">
        <v>0</v>
      </c>
      <c r="H17" s="18"/>
      <c r="I17" s="18"/>
      <c r="J17" s="18"/>
      <c r="K17" s="18"/>
      <c r="L17" s="18"/>
      <c r="M17" s="18"/>
      <c r="N17" s="18"/>
      <c r="O17" s="18"/>
    </row>
    <row r="18" spans="1:15" ht="12.75">
      <c r="A18" s="23"/>
      <c r="B18" s="5"/>
      <c r="C18" s="17"/>
      <c r="D18" s="17"/>
      <c r="E18" s="17"/>
      <c r="F18" s="17"/>
      <c r="G18" s="17"/>
      <c r="H18" s="18"/>
      <c r="I18" s="18"/>
      <c r="J18" s="18"/>
      <c r="K18" s="18"/>
      <c r="L18" s="18"/>
      <c r="M18" s="18"/>
      <c r="N18" s="18"/>
      <c r="O18" s="18"/>
    </row>
    <row r="19" spans="1:15" ht="12.75">
      <c r="A19" s="23" t="s">
        <v>49</v>
      </c>
      <c r="B19" s="5"/>
      <c r="C19" s="17"/>
      <c r="D19" s="17"/>
      <c r="E19" s="17"/>
      <c r="F19" s="17"/>
      <c r="G19" s="17"/>
      <c r="H19" s="18"/>
      <c r="I19" s="18"/>
      <c r="J19" s="18"/>
      <c r="K19" s="18"/>
      <c r="L19" s="18"/>
      <c r="M19" s="18"/>
      <c r="N19" s="18"/>
      <c r="O19" s="18"/>
    </row>
    <row r="20" spans="1:15" ht="12.75">
      <c r="A20" s="23"/>
      <c r="B20" s="16" t="s">
        <v>13</v>
      </c>
      <c r="C20" s="33"/>
      <c r="D20" s="17"/>
      <c r="E20" s="17"/>
      <c r="F20" s="17"/>
      <c r="G20" s="17">
        <v>0</v>
      </c>
      <c r="H20" s="18"/>
      <c r="I20" s="18"/>
      <c r="J20" s="18"/>
      <c r="K20" s="18"/>
      <c r="L20" s="18"/>
      <c r="M20" s="18"/>
      <c r="N20" s="18"/>
      <c r="O20" s="18"/>
    </row>
    <row r="21" spans="1:15" ht="12.75">
      <c r="A21" s="23"/>
      <c r="B21" s="16" t="s">
        <v>14</v>
      </c>
      <c r="C21" s="33"/>
      <c r="D21" s="17"/>
      <c r="E21" s="17"/>
      <c r="F21" s="17"/>
      <c r="G21" s="17">
        <v>0.6</v>
      </c>
      <c r="H21" s="18"/>
      <c r="I21" s="18"/>
      <c r="J21" s="18"/>
      <c r="K21" s="18"/>
      <c r="L21" s="18"/>
      <c r="M21" s="18"/>
      <c r="N21" s="18"/>
      <c r="O21" s="18"/>
    </row>
    <row r="22" spans="1:15" ht="12.75">
      <c r="A22" s="23"/>
      <c r="B22" s="19" t="s">
        <v>16</v>
      </c>
      <c r="C22" s="34"/>
      <c r="D22" s="17"/>
      <c r="E22" s="17"/>
      <c r="F22" s="17"/>
      <c r="G22" s="17">
        <v>0.7</v>
      </c>
      <c r="H22" s="18"/>
      <c r="I22" s="18"/>
      <c r="J22" s="18"/>
      <c r="K22" s="18"/>
      <c r="L22" s="18"/>
      <c r="M22" s="18"/>
      <c r="N22" s="18"/>
      <c r="O22" s="18"/>
    </row>
    <row r="23" spans="1:15" ht="12.75">
      <c r="A23" s="23"/>
      <c r="B23" s="19" t="s">
        <v>17</v>
      </c>
      <c r="C23" s="34"/>
      <c r="D23" s="17"/>
      <c r="E23" s="17"/>
      <c r="F23" s="17"/>
      <c r="G23" s="17">
        <v>0</v>
      </c>
      <c r="H23" s="18"/>
      <c r="I23" s="18"/>
      <c r="J23" s="18"/>
      <c r="K23" s="18"/>
      <c r="L23" s="18"/>
      <c r="M23" s="18"/>
      <c r="N23" s="18"/>
      <c r="O23" s="18"/>
    </row>
    <row r="24" spans="1:15" ht="12.75">
      <c r="A24" s="23"/>
      <c r="B24" s="5"/>
      <c r="C24" s="17"/>
      <c r="D24" s="17"/>
      <c r="E24" s="17"/>
      <c r="F24" s="17"/>
      <c r="G24" s="17"/>
      <c r="H24" s="18"/>
      <c r="I24" s="18"/>
      <c r="J24" s="18"/>
      <c r="K24" s="18"/>
      <c r="L24" s="18"/>
      <c r="M24" s="18"/>
      <c r="N24" s="18"/>
      <c r="O24" s="18"/>
    </row>
    <row r="25" spans="1:15" ht="12.75">
      <c r="A25" s="23" t="s">
        <v>99</v>
      </c>
      <c r="B25" s="5"/>
      <c r="C25" s="17"/>
      <c r="D25" s="17"/>
      <c r="E25" s="17"/>
      <c r="F25" s="17"/>
      <c r="G25" s="17"/>
      <c r="H25" s="18"/>
      <c r="I25" s="18"/>
      <c r="J25" s="18"/>
      <c r="K25" s="18"/>
      <c r="L25" s="18"/>
      <c r="M25" s="18"/>
      <c r="N25" s="18"/>
      <c r="O25" s="18"/>
    </row>
    <row r="26" spans="1:15" ht="12.75">
      <c r="A26" s="23"/>
      <c r="B26" s="16" t="s">
        <v>13</v>
      </c>
      <c r="C26" s="33"/>
      <c r="D26" s="17"/>
      <c r="E26" s="17"/>
      <c r="F26" s="17"/>
      <c r="G26" s="17">
        <v>104.7</v>
      </c>
      <c r="H26" s="18"/>
      <c r="I26" s="18"/>
      <c r="J26" s="18"/>
      <c r="K26" s="18"/>
      <c r="L26" s="18"/>
      <c r="M26" s="18"/>
      <c r="N26" s="18"/>
      <c r="O26" s="18"/>
    </row>
    <row r="27" spans="1:15" ht="12.75">
      <c r="A27" s="23"/>
      <c r="B27" s="16" t="s">
        <v>14</v>
      </c>
      <c r="C27" s="33"/>
      <c r="D27" s="17"/>
      <c r="E27" s="17"/>
      <c r="F27" s="17"/>
      <c r="G27" s="17">
        <v>310.1</v>
      </c>
      <c r="H27" s="18"/>
      <c r="I27" s="18"/>
      <c r="J27" s="18"/>
      <c r="K27" s="18"/>
      <c r="L27" s="18"/>
      <c r="M27" s="18"/>
      <c r="N27" s="18"/>
      <c r="O27" s="18"/>
    </row>
    <row r="28" spans="1:15" ht="12.75">
      <c r="A28" s="23"/>
      <c r="B28" s="19" t="s">
        <v>16</v>
      </c>
      <c r="C28" s="34"/>
      <c r="D28" s="17"/>
      <c r="E28" s="17"/>
      <c r="F28" s="17"/>
      <c r="G28" s="17">
        <v>338.2</v>
      </c>
      <c r="H28" s="18"/>
      <c r="I28" s="18"/>
      <c r="J28" s="18"/>
      <c r="K28" s="18"/>
      <c r="L28" s="18"/>
      <c r="M28" s="18"/>
      <c r="N28" s="18"/>
      <c r="O28" s="18"/>
    </row>
    <row r="29" spans="1:15" ht="12.75">
      <c r="A29" s="23"/>
      <c r="B29" s="19" t="s">
        <v>17</v>
      </c>
      <c r="C29" s="34"/>
      <c r="D29" s="17"/>
      <c r="E29" s="17"/>
      <c r="F29" s="17"/>
      <c r="G29" s="17">
        <v>40.5</v>
      </c>
      <c r="H29" s="18"/>
      <c r="I29" s="18"/>
      <c r="J29" s="18"/>
      <c r="K29" s="18"/>
      <c r="L29" s="18"/>
      <c r="M29" s="18"/>
      <c r="N29" s="18"/>
      <c r="O29" s="18"/>
    </row>
    <row r="30" spans="1:15" ht="12.75">
      <c r="A30" s="23"/>
      <c r="B30" s="5"/>
      <c r="C30" s="17"/>
      <c r="D30" s="17"/>
      <c r="E30" s="17"/>
      <c r="F30" s="17"/>
      <c r="G30" s="17"/>
      <c r="H30" s="18"/>
      <c r="I30" s="18"/>
      <c r="J30" s="18"/>
      <c r="K30" s="18"/>
      <c r="L30" s="18"/>
      <c r="M30" s="18"/>
      <c r="N30" s="18"/>
      <c r="O30" s="18"/>
    </row>
    <row r="31" spans="1:15" ht="12.75">
      <c r="A31" s="23" t="s">
        <v>100</v>
      </c>
      <c r="B31" s="5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  <c r="N31" s="18"/>
      <c r="O31" s="18"/>
    </row>
    <row r="32" spans="1:15" ht="12.75">
      <c r="A32" s="23"/>
      <c r="B32" s="16" t="s">
        <v>13</v>
      </c>
      <c r="C32" s="33"/>
      <c r="D32" s="17"/>
      <c r="E32" s="17"/>
      <c r="F32" s="17"/>
      <c r="G32" s="17">
        <v>44</v>
      </c>
      <c r="H32" s="18">
        <v>10</v>
      </c>
      <c r="I32" s="18">
        <v>22</v>
      </c>
      <c r="J32" s="18">
        <v>22</v>
      </c>
      <c r="K32" s="18">
        <v>23</v>
      </c>
      <c r="L32" s="18">
        <v>24</v>
      </c>
      <c r="M32" s="18">
        <v>24</v>
      </c>
      <c r="N32" s="18">
        <v>24</v>
      </c>
      <c r="O32" s="18">
        <v>24</v>
      </c>
    </row>
    <row r="33" spans="1:15" ht="12.75">
      <c r="A33" s="32" t="s">
        <v>51</v>
      </c>
      <c r="B33" s="16" t="s">
        <v>14</v>
      </c>
      <c r="C33" s="33"/>
      <c r="D33" s="17"/>
      <c r="E33" s="17"/>
      <c r="F33" s="17"/>
      <c r="G33" s="17">
        <v>202.1</v>
      </c>
      <c r="H33" s="18">
        <v>93</v>
      </c>
      <c r="I33" s="18">
        <v>203</v>
      </c>
      <c r="J33" s="18">
        <v>211</v>
      </c>
      <c r="K33" s="18">
        <v>239</v>
      </c>
      <c r="L33" s="18">
        <v>247</v>
      </c>
      <c r="M33" s="18">
        <v>255</v>
      </c>
      <c r="N33" s="18">
        <v>262</v>
      </c>
      <c r="O33" s="18">
        <v>290</v>
      </c>
    </row>
    <row r="34" spans="1:15" ht="12.75">
      <c r="A34" s="24" t="s">
        <v>52</v>
      </c>
      <c r="B34" s="19" t="s">
        <v>16</v>
      </c>
      <c r="C34" s="34"/>
      <c r="D34" s="17"/>
      <c r="E34" s="17"/>
      <c r="F34" s="17"/>
      <c r="G34" s="17">
        <v>116.6</v>
      </c>
      <c r="H34" s="18">
        <v>122</v>
      </c>
      <c r="I34" s="18">
        <v>139</v>
      </c>
      <c r="J34" s="18">
        <v>143</v>
      </c>
      <c r="K34" s="18">
        <v>148</v>
      </c>
      <c r="L34" s="18">
        <v>152</v>
      </c>
      <c r="M34" s="18">
        <v>158</v>
      </c>
      <c r="N34" s="18">
        <v>163</v>
      </c>
      <c r="O34" s="18">
        <v>168</v>
      </c>
    </row>
    <row r="35" spans="1:15" ht="12.75">
      <c r="A35" s="24"/>
      <c r="B35" s="19" t="s">
        <v>17</v>
      </c>
      <c r="C35" s="34"/>
      <c r="D35" s="17"/>
      <c r="E35" s="17"/>
      <c r="F35" s="17"/>
      <c r="G35" s="17">
        <v>11.5</v>
      </c>
      <c r="H35" s="18">
        <v>5</v>
      </c>
      <c r="I35" s="18">
        <v>80</v>
      </c>
      <c r="J35" s="18">
        <v>117</v>
      </c>
      <c r="K35" s="18">
        <v>118</v>
      </c>
      <c r="L35" s="18">
        <v>118</v>
      </c>
      <c r="M35" s="18">
        <v>119</v>
      </c>
      <c r="N35" s="18">
        <v>120</v>
      </c>
      <c r="O35" s="18">
        <v>120</v>
      </c>
    </row>
    <row r="36" spans="1:15" ht="12.75">
      <c r="A36" s="23"/>
      <c r="B36" s="5"/>
      <c r="C36" s="17"/>
      <c r="D36" s="17"/>
      <c r="E36" s="17"/>
      <c r="F36" s="17"/>
      <c r="G36" s="17"/>
      <c r="H36" s="18"/>
      <c r="I36" s="18"/>
      <c r="J36" s="18"/>
      <c r="K36" s="18"/>
      <c r="L36" s="18"/>
      <c r="M36" s="18"/>
      <c r="N36" s="18"/>
      <c r="O36" s="18"/>
    </row>
    <row r="37" spans="1:15" ht="12.75">
      <c r="A37" s="23" t="s">
        <v>53</v>
      </c>
      <c r="B37" s="5"/>
      <c r="C37" s="17"/>
      <c r="D37" s="17"/>
      <c r="E37" s="17"/>
      <c r="F37" s="17"/>
      <c r="G37" s="17"/>
      <c r="H37" s="18"/>
      <c r="I37" s="18"/>
      <c r="J37" s="18"/>
      <c r="K37" s="18"/>
      <c r="L37" s="18"/>
      <c r="M37" s="18"/>
      <c r="N37" s="18"/>
      <c r="O37" s="18"/>
    </row>
    <row r="38" spans="1:15" ht="12.75">
      <c r="A38" s="5"/>
      <c r="B38" s="16" t="s">
        <v>13</v>
      </c>
      <c r="C38" s="17">
        <f aca="true" t="shared" si="0" ref="C38:O38">+C7+C14+C20+C32+C26</f>
        <v>53.625</v>
      </c>
      <c r="D38" s="17">
        <f t="shared" si="0"/>
        <v>45.525</v>
      </c>
      <c r="E38" s="17">
        <f t="shared" si="0"/>
        <v>82.2</v>
      </c>
      <c r="F38" s="17">
        <f t="shared" si="0"/>
        <v>99.2</v>
      </c>
      <c r="G38" s="17">
        <f t="shared" si="0"/>
        <v>153.6</v>
      </c>
      <c r="H38" s="17">
        <f t="shared" si="0"/>
        <v>114</v>
      </c>
      <c r="I38" s="17">
        <f t="shared" si="0"/>
        <v>169</v>
      </c>
      <c r="J38" s="17">
        <f t="shared" si="0"/>
        <v>176</v>
      </c>
      <c r="K38" s="17">
        <f t="shared" si="0"/>
        <v>183</v>
      </c>
      <c r="L38" s="17">
        <f t="shared" si="0"/>
        <v>191</v>
      </c>
      <c r="M38" s="17">
        <f t="shared" si="0"/>
        <v>196</v>
      </c>
      <c r="N38" s="17">
        <f t="shared" si="0"/>
        <v>201</v>
      </c>
      <c r="O38" s="17">
        <f t="shared" si="0"/>
        <v>206</v>
      </c>
    </row>
    <row r="39" spans="1:15" ht="12.75">
      <c r="A39" s="5"/>
      <c r="B39" s="16" t="s">
        <v>14</v>
      </c>
      <c r="C39" s="17">
        <f aca="true" t="shared" si="1" ref="C39:O39">+C8+C15+C21+C33+C27</f>
        <v>223.725</v>
      </c>
      <c r="D39" s="17">
        <f t="shared" si="1"/>
        <v>249.325</v>
      </c>
      <c r="E39" s="17">
        <f t="shared" si="1"/>
        <v>283.4</v>
      </c>
      <c r="F39" s="17">
        <f t="shared" si="1"/>
        <v>391.7</v>
      </c>
      <c r="G39" s="17">
        <f t="shared" si="1"/>
        <v>532.4</v>
      </c>
      <c r="H39" s="17">
        <f t="shared" si="1"/>
        <v>484</v>
      </c>
      <c r="I39" s="17">
        <f t="shared" si="1"/>
        <v>672</v>
      </c>
      <c r="J39" s="17">
        <f t="shared" si="1"/>
        <v>748</v>
      </c>
      <c r="K39" s="17">
        <f t="shared" si="1"/>
        <v>821</v>
      </c>
      <c r="L39" s="17">
        <f t="shared" si="1"/>
        <v>892</v>
      </c>
      <c r="M39" s="17">
        <f t="shared" si="1"/>
        <v>959</v>
      </c>
      <c r="N39" s="17">
        <f t="shared" si="1"/>
        <v>1020</v>
      </c>
      <c r="O39" s="17">
        <f t="shared" si="1"/>
        <v>1085</v>
      </c>
    </row>
    <row r="40" spans="1:15" ht="12.75">
      <c r="A40" s="5"/>
      <c r="B40" s="19" t="s">
        <v>16</v>
      </c>
      <c r="C40" s="17">
        <f aca="true" t="shared" si="2" ref="C40:O40">+C9+C16+C22+C34+C28</f>
        <v>444.2</v>
      </c>
      <c r="D40" s="17">
        <f t="shared" si="2"/>
        <v>468.3375</v>
      </c>
      <c r="E40" s="17">
        <f t="shared" si="2"/>
        <v>490.8</v>
      </c>
      <c r="F40" s="17">
        <f t="shared" si="2"/>
        <v>477</v>
      </c>
      <c r="G40" s="17">
        <f t="shared" si="2"/>
        <v>499.1</v>
      </c>
      <c r="H40" s="17">
        <f t="shared" si="2"/>
        <v>579</v>
      </c>
      <c r="I40" s="17">
        <f t="shared" si="2"/>
        <v>599</v>
      </c>
      <c r="J40" s="17">
        <f t="shared" si="2"/>
        <v>648</v>
      </c>
      <c r="K40" s="17">
        <f t="shared" si="2"/>
        <v>701</v>
      </c>
      <c r="L40" s="17">
        <f t="shared" si="2"/>
        <v>730</v>
      </c>
      <c r="M40" s="17">
        <f t="shared" si="2"/>
        <v>764</v>
      </c>
      <c r="N40" s="17">
        <f t="shared" si="2"/>
        <v>795</v>
      </c>
      <c r="O40" s="17">
        <f t="shared" si="2"/>
        <v>823</v>
      </c>
    </row>
    <row r="41" spans="1:15" ht="13.5" thickBot="1">
      <c r="A41" s="5"/>
      <c r="B41" s="19" t="s">
        <v>17</v>
      </c>
      <c r="C41" s="20">
        <f aca="true" t="shared" si="3" ref="C41:O41">+C10+C17+C23+C35+C29</f>
        <v>88.65625</v>
      </c>
      <c r="D41" s="20">
        <f t="shared" si="3"/>
        <v>98.6875</v>
      </c>
      <c r="E41" s="20">
        <f t="shared" si="3"/>
        <v>104.2</v>
      </c>
      <c r="F41" s="20">
        <f t="shared" si="3"/>
        <v>121.7</v>
      </c>
      <c r="G41" s="20">
        <f t="shared" si="3"/>
        <v>129.6</v>
      </c>
      <c r="H41" s="20">
        <f t="shared" si="3"/>
        <v>166</v>
      </c>
      <c r="I41" s="20">
        <f t="shared" si="3"/>
        <v>218</v>
      </c>
      <c r="J41" s="20">
        <f t="shared" si="3"/>
        <v>260</v>
      </c>
      <c r="K41" s="20">
        <f t="shared" si="3"/>
        <v>266</v>
      </c>
      <c r="L41" s="20">
        <f t="shared" si="3"/>
        <v>300</v>
      </c>
      <c r="M41" s="20">
        <f t="shared" si="3"/>
        <v>340</v>
      </c>
      <c r="N41" s="20">
        <f t="shared" si="3"/>
        <v>386</v>
      </c>
      <c r="O41" s="20">
        <f t="shared" si="3"/>
        <v>432</v>
      </c>
    </row>
    <row r="42" spans="1:15" ht="12.75">
      <c r="A42" s="5"/>
      <c r="B42" s="22" t="s">
        <v>29</v>
      </c>
      <c r="C42" s="17">
        <f aca="true" t="shared" si="4" ref="C42:O42">SUM(C38:C41)</f>
        <v>810.20625</v>
      </c>
      <c r="D42" s="17">
        <f t="shared" si="4"/>
        <v>861.875</v>
      </c>
      <c r="E42" s="17">
        <f t="shared" si="4"/>
        <v>960.6</v>
      </c>
      <c r="F42" s="17">
        <f t="shared" si="4"/>
        <v>1089.6</v>
      </c>
      <c r="G42" s="17">
        <f t="shared" si="4"/>
        <v>1314.6999999999998</v>
      </c>
      <c r="H42" s="17">
        <f t="shared" si="4"/>
        <v>1343</v>
      </c>
      <c r="I42" s="17">
        <f t="shared" si="4"/>
        <v>1658</v>
      </c>
      <c r="J42" s="17">
        <f t="shared" si="4"/>
        <v>1832</v>
      </c>
      <c r="K42" s="17">
        <f t="shared" si="4"/>
        <v>1971</v>
      </c>
      <c r="L42" s="17">
        <f t="shared" si="4"/>
        <v>2113</v>
      </c>
      <c r="M42" s="17">
        <f t="shared" si="4"/>
        <v>2259</v>
      </c>
      <c r="N42" s="17">
        <f t="shared" si="4"/>
        <v>2402</v>
      </c>
      <c r="O42" s="17">
        <f t="shared" si="4"/>
        <v>2546</v>
      </c>
    </row>
    <row r="43" spans="1:15" ht="12.75">
      <c r="A43" s="5"/>
      <c r="B43" s="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2.75">
      <c r="A44" s="5"/>
      <c r="B44" s="23" t="s">
        <v>19</v>
      </c>
      <c r="C44" s="49">
        <v>395</v>
      </c>
      <c r="D44" s="17">
        <f aca="true" t="shared" si="5" ref="D44:O44">+D11</f>
        <v>401</v>
      </c>
      <c r="E44" s="17">
        <f t="shared" si="5"/>
        <v>400</v>
      </c>
      <c r="F44" s="17">
        <f t="shared" si="5"/>
        <v>410</v>
      </c>
      <c r="G44" s="17">
        <f t="shared" si="5"/>
        <v>446</v>
      </c>
      <c r="H44" s="17">
        <f t="shared" si="5"/>
        <v>458</v>
      </c>
      <c r="I44" s="17">
        <f t="shared" si="5"/>
        <v>480</v>
      </c>
      <c r="J44" s="17">
        <f t="shared" si="5"/>
        <v>480</v>
      </c>
      <c r="K44" s="17">
        <f t="shared" si="5"/>
        <v>480</v>
      </c>
      <c r="L44" s="17">
        <f t="shared" si="5"/>
        <v>560</v>
      </c>
      <c r="M44" s="17">
        <f t="shared" si="5"/>
        <v>639</v>
      </c>
      <c r="N44" s="17">
        <f t="shared" si="5"/>
        <v>719</v>
      </c>
      <c r="O44" s="17">
        <f t="shared" si="5"/>
        <v>799</v>
      </c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24" t="s">
        <v>47</v>
      </c>
      <c r="B48" s="35" t="s">
        <v>54</v>
      </c>
      <c r="C48" s="35"/>
      <c r="D48" s="5"/>
      <c r="E48" s="5"/>
      <c r="F48" s="5"/>
      <c r="G48" s="5"/>
    </row>
    <row r="49" spans="1:7" ht="12.75">
      <c r="A49" s="24" t="s">
        <v>51</v>
      </c>
      <c r="B49" s="35" t="s">
        <v>55</v>
      </c>
      <c r="C49" s="35"/>
      <c r="D49" s="5"/>
      <c r="E49" s="5"/>
      <c r="F49" s="5"/>
      <c r="G49" s="5"/>
    </row>
    <row r="50" spans="1:7" ht="12.75">
      <c r="A50" s="24" t="s">
        <v>52</v>
      </c>
      <c r="B50" s="35" t="s">
        <v>56</v>
      </c>
      <c r="C50" s="3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  <row r="64" spans="1:7" ht="12.75">
      <c r="A64" s="5"/>
      <c r="B64" s="5"/>
      <c r="C64" s="5"/>
      <c r="D64" s="5"/>
      <c r="E64" s="5"/>
      <c r="F64" s="5"/>
      <c r="G64" s="5"/>
    </row>
    <row r="65" spans="1:7" ht="12.75">
      <c r="A65" s="5"/>
      <c r="B65" s="5"/>
      <c r="C65" s="5"/>
      <c r="D65" s="5"/>
      <c r="E65" s="5"/>
      <c r="F65" s="5"/>
      <c r="G65" s="5"/>
    </row>
    <row r="66" spans="1:7" ht="12.75">
      <c r="A66" s="5"/>
      <c r="B66" s="5"/>
      <c r="C66" s="5"/>
      <c r="D66" s="5"/>
      <c r="E66" s="5"/>
      <c r="F66" s="5"/>
      <c r="G66" s="5"/>
    </row>
    <row r="67" spans="1:7" ht="12.75">
      <c r="A67" s="5"/>
      <c r="B67" s="5"/>
      <c r="C67" s="5"/>
      <c r="D67" s="5"/>
      <c r="E67" s="5"/>
      <c r="F67" s="5"/>
      <c r="G67" s="5"/>
    </row>
    <row r="68" spans="1:7" ht="12.75">
      <c r="A68" s="5"/>
      <c r="B68" s="5"/>
      <c r="C68" s="5"/>
      <c r="D68" s="5"/>
      <c r="E68" s="5"/>
      <c r="F68" s="5"/>
      <c r="G68" s="5"/>
    </row>
    <row r="69" spans="1:7" ht="12.75">
      <c r="A69" s="5"/>
      <c r="B69" s="5"/>
      <c r="C69" s="5"/>
      <c r="D69" s="5"/>
      <c r="E69" s="5"/>
      <c r="F69" s="5"/>
      <c r="G69" s="5"/>
    </row>
    <row r="70" spans="1:7" ht="12.75">
      <c r="A70" s="5"/>
      <c r="B70" s="5"/>
      <c r="C70" s="5"/>
      <c r="D70" s="5"/>
      <c r="E70" s="5"/>
      <c r="F70" s="5"/>
      <c r="G70" s="5"/>
    </row>
    <row r="71" spans="1:7" ht="12.75">
      <c r="A71" s="5"/>
      <c r="B71" s="5"/>
      <c r="C71" s="5"/>
      <c r="D71" s="5"/>
      <c r="E71" s="5"/>
      <c r="F71" s="5"/>
      <c r="G71" s="5"/>
    </row>
    <row r="72" spans="1:7" ht="12.75">
      <c r="A72" s="5"/>
      <c r="B72" s="5"/>
      <c r="C72" s="5"/>
      <c r="D72" s="5"/>
      <c r="E72" s="5"/>
      <c r="F72" s="5"/>
      <c r="G72" s="5"/>
    </row>
    <row r="73" spans="1:7" ht="12.75">
      <c r="A73" s="5"/>
      <c r="B73" s="5"/>
      <c r="C73" s="5"/>
      <c r="D73" s="5"/>
      <c r="E73" s="5"/>
      <c r="F73" s="5"/>
      <c r="G73" s="5"/>
    </row>
    <row r="74" spans="1:7" ht="12.75">
      <c r="A74" s="5"/>
      <c r="B74" s="5"/>
      <c r="C74" s="5"/>
      <c r="D74" s="5"/>
      <c r="E74" s="5"/>
      <c r="F74" s="5"/>
      <c r="G74" s="5"/>
    </row>
    <row r="75" spans="1:7" ht="12.75">
      <c r="A75" s="5"/>
      <c r="B75" s="5"/>
      <c r="C75" s="5"/>
      <c r="D75" s="5"/>
      <c r="E75" s="5"/>
      <c r="F75" s="5"/>
      <c r="G75" s="5"/>
    </row>
    <row r="76" spans="1:7" ht="12.75">
      <c r="A76" s="5"/>
      <c r="B76" s="5"/>
      <c r="C76" s="5"/>
      <c r="D76" s="5"/>
      <c r="E76" s="5"/>
      <c r="F76" s="5"/>
      <c r="G76" s="5"/>
    </row>
  </sheetData>
  <printOptions horizontalCentered="1"/>
  <pageMargins left="0.25" right="0.25" top="1" bottom="1" header="0.5" footer="0.5"/>
  <pageSetup fitToHeight="1" fitToWidth="1" horizontalDpi="600" verticalDpi="600" orientation="landscape" scale="70" r:id="rId3"/>
  <headerFooter alignWithMargins="0">
    <oddFooter>&amp;L&amp;A&amp;R&amp;8Prepared by Office of Planning, Budgeting and Policy Analysis, DCU,  &amp;F  &amp;D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75" zoomScaleNormal="75" workbookViewId="0" topLeftCell="A1">
      <pane xSplit="2" ySplit="5" topLeftCell="C6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2.75"/>
  <cols>
    <col min="2" max="2" width="15.00390625" style="0" customWidth="1"/>
    <col min="3" max="3" width="9.421875" style="0" customWidth="1"/>
  </cols>
  <sheetData>
    <row r="1" spans="1:13" ht="15.75">
      <c r="A1" s="1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7" ht="13.5" thickBot="1">
      <c r="A3" s="23" t="s">
        <v>57</v>
      </c>
      <c r="B3" s="5"/>
      <c r="C3" s="5"/>
      <c r="D3" s="5"/>
      <c r="E3" s="5"/>
      <c r="F3" s="5"/>
      <c r="G3" s="5"/>
    </row>
    <row r="4" spans="1:15" ht="58.5" customHeight="1" thickBot="1">
      <c r="A4" s="5"/>
      <c r="B4" s="5"/>
      <c r="C4" s="6" t="s">
        <v>0</v>
      </c>
      <c r="D4" s="7" t="s">
        <v>0</v>
      </c>
      <c r="E4" s="7" t="s">
        <v>0</v>
      </c>
      <c r="F4" s="7" t="s">
        <v>0</v>
      </c>
      <c r="G4" s="51" t="s">
        <v>91</v>
      </c>
      <c r="H4" s="50"/>
      <c r="I4" s="8" t="s">
        <v>92</v>
      </c>
      <c r="J4" s="8"/>
      <c r="K4" s="9"/>
      <c r="L4" s="9"/>
      <c r="M4" s="9"/>
      <c r="N4" s="9"/>
      <c r="O4" s="9"/>
    </row>
    <row r="5" spans="1:15" ht="13.5" thickBot="1">
      <c r="A5" s="5"/>
      <c r="B5" s="5"/>
      <c r="C5" s="10" t="s">
        <v>1</v>
      </c>
      <c r="D5" s="11" t="s">
        <v>2</v>
      </c>
      <c r="E5" s="11" t="s">
        <v>3</v>
      </c>
      <c r="F5" s="12" t="s">
        <v>94</v>
      </c>
      <c r="G5" s="13" t="s">
        <v>4</v>
      </c>
      <c r="H5" s="13" t="s">
        <v>5</v>
      </c>
      <c r="I5" s="13" t="s">
        <v>6</v>
      </c>
      <c r="J5" s="14" t="s">
        <v>7</v>
      </c>
      <c r="K5" s="15" t="s">
        <v>8</v>
      </c>
      <c r="L5" s="15" t="s">
        <v>9</v>
      </c>
      <c r="M5" s="15" t="s">
        <v>10</v>
      </c>
      <c r="N5" s="15" t="s">
        <v>11</v>
      </c>
      <c r="O5" s="15" t="s">
        <v>12</v>
      </c>
    </row>
    <row r="6" spans="1:7" ht="12.75">
      <c r="A6" s="23" t="s">
        <v>101</v>
      </c>
      <c r="B6" s="5"/>
      <c r="C6" s="5"/>
      <c r="D6" s="5"/>
      <c r="E6" s="5"/>
      <c r="F6" s="5"/>
      <c r="G6" s="5"/>
    </row>
    <row r="7" spans="1:7" ht="12.75">
      <c r="A7" s="23"/>
      <c r="B7" s="5"/>
      <c r="C7" s="5"/>
      <c r="D7" s="5"/>
      <c r="E7" s="5"/>
      <c r="F7" s="5"/>
      <c r="G7" s="5"/>
    </row>
    <row r="8" spans="1:15" ht="12.75">
      <c r="A8" s="23"/>
      <c r="B8" s="16" t="s">
        <v>13</v>
      </c>
      <c r="C8" s="47">
        <v>3600.25</v>
      </c>
      <c r="D8" s="17">
        <v>3876.6</v>
      </c>
      <c r="E8" s="17">
        <v>3996.1</v>
      </c>
      <c r="F8" s="17">
        <v>4204.2</v>
      </c>
      <c r="G8" s="17">
        <v>4461.8</v>
      </c>
      <c r="H8" s="18">
        <v>4900.6104</v>
      </c>
      <c r="I8" s="18">
        <v>5046.2663999999995</v>
      </c>
      <c r="J8" s="18">
        <v>5139.5624</v>
      </c>
      <c r="K8" s="18">
        <v>5302.354399999999</v>
      </c>
      <c r="L8" s="18">
        <v>5484.1864</v>
      </c>
      <c r="M8" s="18">
        <v>5557.4904</v>
      </c>
      <c r="N8" s="18">
        <v>5692.6744</v>
      </c>
      <c r="O8" s="18">
        <v>5782.162399999999</v>
      </c>
    </row>
    <row r="9" spans="1:15" ht="12.75">
      <c r="A9" s="23"/>
      <c r="B9" s="16" t="s">
        <v>14</v>
      </c>
      <c r="C9" s="47">
        <v>3627.125</v>
      </c>
      <c r="D9" s="17">
        <v>4026.1</v>
      </c>
      <c r="E9" s="17">
        <v>4234.6</v>
      </c>
      <c r="F9" s="17">
        <v>4423.2</v>
      </c>
      <c r="G9" s="17">
        <v>4501.3</v>
      </c>
      <c r="H9" s="18">
        <v>4666.0405</v>
      </c>
      <c r="I9" s="18">
        <v>4821.1185</v>
      </c>
      <c r="J9" s="18">
        <v>4921.394499999999</v>
      </c>
      <c r="K9" s="18">
        <v>5095.711499999999</v>
      </c>
      <c r="L9" s="18">
        <v>5289.2675</v>
      </c>
      <c r="M9" s="18">
        <v>5368.5554999999995</v>
      </c>
      <c r="N9" s="18">
        <v>5513.139499999999</v>
      </c>
      <c r="O9" s="18">
        <v>5609.3345</v>
      </c>
    </row>
    <row r="10" spans="1:15" ht="12.75">
      <c r="A10" s="23"/>
      <c r="B10" s="19" t="s">
        <v>16</v>
      </c>
      <c r="C10" s="48">
        <v>794.34375</v>
      </c>
      <c r="D10" s="17">
        <v>860.2</v>
      </c>
      <c r="E10" s="17">
        <v>929.9</v>
      </c>
      <c r="F10" s="17">
        <v>1012.3</v>
      </c>
      <c r="G10" s="17">
        <v>1033.5</v>
      </c>
      <c r="H10" s="18">
        <v>1034.2939999999999</v>
      </c>
      <c r="I10" s="18">
        <v>1075.384</v>
      </c>
      <c r="J10" s="18">
        <v>1107.6689999999999</v>
      </c>
      <c r="K10" s="18">
        <v>1161.086</v>
      </c>
      <c r="L10" s="18">
        <v>1218.6119999999999</v>
      </c>
      <c r="M10" s="18">
        <v>1246.201</v>
      </c>
      <c r="N10" s="18">
        <v>1290.8129999999999</v>
      </c>
      <c r="O10" s="18">
        <v>1322.511</v>
      </c>
    </row>
    <row r="11" spans="1:15" ht="12.75">
      <c r="A11" s="23"/>
      <c r="B11" s="19" t="s">
        <v>17</v>
      </c>
      <c r="C11" s="48">
        <v>135.34375</v>
      </c>
      <c r="D11" s="17">
        <v>166.3</v>
      </c>
      <c r="E11" s="17">
        <v>168.8</v>
      </c>
      <c r="F11" s="17">
        <v>177.9</v>
      </c>
      <c r="G11" s="17">
        <v>206.9</v>
      </c>
      <c r="H11" s="18">
        <v>214.9641</v>
      </c>
      <c r="I11" s="18">
        <v>214.89</v>
      </c>
      <c r="J11" s="18">
        <v>221.559</v>
      </c>
      <c r="K11" s="18">
        <v>231.933</v>
      </c>
      <c r="L11" s="18">
        <v>243.048</v>
      </c>
      <c r="M11" s="18">
        <v>248.235</v>
      </c>
      <c r="N11" s="18">
        <v>257.127</v>
      </c>
      <c r="O11" s="18">
        <v>263.055</v>
      </c>
    </row>
    <row r="12" spans="1:15" ht="12.75">
      <c r="A12" s="23"/>
      <c r="B12" s="5"/>
      <c r="C12" s="49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2.75">
      <c r="A13" s="23" t="s">
        <v>58</v>
      </c>
      <c r="B13" s="5"/>
      <c r="C13" s="49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</row>
    <row r="14" spans="1:15" ht="12.75">
      <c r="A14" s="23" t="s">
        <v>89</v>
      </c>
      <c r="B14" s="16" t="s">
        <v>13</v>
      </c>
      <c r="C14" s="47">
        <v>15.725</v>
      </c>
      <c r="D14" s="17">
        <v>8.8</v>
      </c>
      <c r="E14" s="17">
        <v>5.6</v>
      </c>
      <c r="F14" s="17">
        <v>7.4</v>
      </c>
      <c r="G14" s="18">
        <v>14.9</v>
      </c>
      <c r="H14" s="17">
        <v>15.4431</v>
      </c>
      <c r="I14" s="17">
        <v>15.902099999999999</v>
      </c>
      <c r="J14" s="18">
        <v>16.1961</v>
      </c>
      <c r="K14" s="18">
        <v>16.7091</v>
      </c>
      <c r="L14" s="18">
        <v>17.2821</v>
      </c>
      <c r="M14" s="18">
        <v>17.5131</v>
      </c>
      <c r="N14" s="18">
        <v>17.9391</v>
      </c>
      <c r="O14" s="18">
        <v>18.2211</v>
      </c>
    </row>
    <row r="15" spans="1:15" ht="12.75">
      <c r="A15" s="23" t="s">
        <v>90</v>
      </c>
      <c r="B15" s="16" t="s">
        <v>14</v>
      </c>
      <c r="C15" s="47">
        <v>1854.45</v>
      </c>
      <c r="D15" s="17">
        <v>2070.8</v>
      </c>
      <c r="E15" s="17">
        <v>2051.9</v>
      </c>
      <c r="F15" s="17">
        <v>2000.5</v>
      </c>
      <c r="G15" s="18">
        <v>2028.8</v>
      </c>
      <c r="H15" s="17">
        <v>2104.9205</v>
      </c>
      <c r="I15" s="17">
        <v>2174.8785000000003</v>
      </c>
      <c r="J15" s="18">
        <v>2220.1145</v>
      </c>
      <c r="K15" s="18">
        <v>2298.7515000000003</v>
      </c>
      <c r="L15" s="18">
        <v>2386.0675</v>
      </c>
      <c r="M15" s="18">
        <v>2421.8355</v>
      </c>
      <c r="N15" s="18">
        <v>2487.0595000000003</v>
      </c>
      <c r="O15" s="18">
        <v>2530.4545000000003</v>
      </c>
    </row>
    <row r="16" spans="1:15" ht="12.75">
      <c r="A16" s="23"/>
      <c r="B16" s="19" t="s">
        <v>16</v>
      </c>
      <c r="C16" s="48">
        <v>207.40625</v>
      </c>
      <c r="D16" s="17">
        <v>246.7</v>
      </c>
      <c r="E16" s="17">
        <v>241.6</v>
      </c>
      <c r="F16" s="17">
        <v>215.9</v>
      </c>
      <c r="G16" s="18">
        <v>192.7</v>
      </c>
      <c r="H16" s="17">
        <v>192.058</v>
      </c>
      <c r="I16" s="17">
        <v>199.688</v>
      </c>
      <c r="J16" s="18">
        <v>205.683</v>
      </c>
      <c r="K16" s="18">
        <v>215.602</v>
      </c>
      <c r="L16" s="18">
        <v>226.284</v>
      </c>
      <c r="M16" s="18">
        <v>231.407</v>
      </c>
      <c r="N16" s="18">
        <v>239.691</v>
      </c>
      <c r="O16" s="18">
        <v>245.577</v>
      </c>
    </row>
    <row r="17" spans="1:15" ht="12.75">
      <c r="A17" s="23"/>
      <c r="B17" s="19" t="s">
        <v>17</v>
      </c>
      <c r="C17" s="48">
        <v>22.71875</v>
      </c>
      <c r="D17" s="17">
        <v>21.3</v>
      </c>
      <c r="E17" s="17">
        <v>25.5</v>
      </c>
      <c r="F17" s="17">
        <v>32.9</v>
      </c>
      <c r="G17" s="18">
        <v>31.3</v>
      </c>
      <c r="H17" s="17">
        <v>32.491200000000006</v>
      </c>
      <c r="I17" s="17">
        <v>32.48</v>
      </c>
      <c r="J17" s="18">
        <v>33.488</v>
      </c>
      <c r="K17" s="18">
        <v>35.056</v>
      </c>
      <c r="L17" s="18">
        <v>36.736000000000004</v>
      </c>
      <c r="M17" s="18">
        <v>37.52</v>
      </c>
      <c r="N17" s="18">
        <v>38.864000000000004</v>
      </c>
      <c r="O17" s="18">
        <v>39.76</v>
      </c>
    </row>
    <row r="18" spans="1:15" ht="12.75">
      <c r="A18" s="23"/>
      <c r="B18" s="5"/>
      <c r="C18" s="49"/>
      <c r="D18" s="17"/>
      <c r="E18" s="17"/>
      <c r="F18" s="17"/>
      <c r="G18" s="17"/>
      <c r="H18" s="18"/>
      <c r="I18" s="18"/>
      <c r="J18" s="18"/>
      <c r="K18" s="18"/>
      <c r="L18" s="18"/>
      <c r="M18" s="18"/>
      <c r="N18" s="18"/>
      <c r="O18" s="18"/>
    </row>
    <row r="19" spans="1:15" ht="12.75">
      <c r="A19" s="23" t="s">
        <v>59</v>
      </c>
      <c r="B19" s="5"/>
      <c r="C19" s="49"/>
      <c r="D19" s="17"/>
      <c r="E19" s="17"/>
      <c r="F19" s="17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2.75">
      <c r="A20" s="23" t="s">
        <v>60</v>
      </c>
      <c r="B20" s="5"/>
      <c r="C20" s="49"/>
      <c r="D20" s="17"/>
      <c r="E20" s="17"/>
      <c r="F20" s="17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2.75">
      <c r="A21" s="23"/>
      <c r="B21" s="16" t="s">
        <v>13</v>
      </c>
      <c r="C21" s="47">
        <v>80.3</v>
      </c>
      <c r="D21" s="17">
        <v>116.5</v>
      </c>
      <c r="E21" s="17">
        <v>106.7</v>
      </c>
      <c r="F21" s="17">
        <f>146+25.9</f>
        <v>171.9</v>
      </c>
      <c r="G21" s="18">
        <f>155.1+27.5</f>
        <v>182.6</v>
      </c>
      <c r="H21" s="18">
        <v>200.7603</v>
      </c>
      <c r="I21" s="18">
        <v>206.72729999999999</v>
      </c>
      <c r="J21" s="18">
        <v>210.5493</v>
      </c>
      <c r="K21" s="18">
        <v>217.2183</v>
      </c>
      <c r="L21" s="18">
        <v>224.66729999999998</v>
      </c>
      <c r="M21" s="18">
        <v>227.6703</v>
      </c>
      <c r="N21" s="18">
        <v>233.20829999999998</v>
      </c>
      <c r="O21" s="18">
        <v>236.8743</v>
      </c>
    </row>
    <row r="22" spans="1:15" ht="12.75">
      <c r="A22" s="23"/>
      <c r="B22" s="16" t="s">
        <v>14</v>
      </c>
      <c r="C22" s="47">
        <v>641.5</v>
      </c>
      <c r="D22" s="17">
        <v>785.8</v>
      </c>
      <c r="E22" s="17">
        <f>617.7+240.8</f>
        <v>858.5</v>
      </c>
      <c r="F22" s="17">
        <f>605+308.9</f>
        <v>913.9</v>
      </c>
      <c r="G22" s="18">
        <f>616.4+342.4</f>
        <v>958.8</v>
      </c>
      <c r="H22" s="18">
        <v>1000.4375</v>
      </c>
      <c r="I22" s="18">
        <v>1033.6875</v>
      </c>
      <c r="J22" s="18">
        <v>1055.1875</v>
      </c>
      <c r="K22" s="18">
        <v>1092.5625</v>
      </c>
      <c r="L22" s="18">
        <v>1134.0625</v>
      </c>
      <c r="M22" s="18">
        <v>1151.0625</v>
      </c>
      <c r="N22" s="18">
        <v>1182.0625</v>
      </c>
      <c r="O22" s="18">
        <v>1202.6875</v>
      </c>
    </row>
    <row r="23" spans="1:15" ht="12.75">
      <c r="A23" s="23"/>
      <c r="B23" s="19" t="s">
        <v>16</v>
      </c>
      <c r="C23" s="48">
        <v>129.21875</v>
      </c>
      <c r="D23" s="17">
        <v>164.9</v>
      </c>
      <c r="E23" s="17">
        <f>116.2+48.2</f>
        <v>164.4</v>
      </c>
      <c r="F23" s="17">
        <f>117.5+72.1</f>
        <v>189.6</v>
      </c>
      <c r="G23" s="18">
        <f>88.6+88.7</f>
        <v>177.3</v>
      </c>
      <c r="H23" s="18">
        <v>177.96200000000002</v>
      </c>
      <c r="I23" s="18">
        <v>185.032</v>
      </c>
      <c r="J23" s="18">
        <v>190.58700000000002</v>
      </c>
      <c r="K23" s="18">
        <v>199.77800000000002</v>
      </c>
      <c r="L23" s="18">
        <v>209.67600000000002</v>
      </c>
      <c r="M23" s="18">
        <v>214.423</v>
      </c>
      <c r="N23" s="18">
        <v>222.09900000000002</v>
      </c>
      <c r="O23" s="18">
        <v>227.55300000000003</v>
      </c>
    </row>
    <row r="24" spans="1:15" ht="12.75">
      <c r="A24" s="23"/>
      <c r="B24" s="19" t="s">
        <v>17</v>
      </c>
      <c r="C24" s="48">
        <v>11.3125</v>
      </c>
      <c r="D24" s="17">
        <v>7.9</v>
      </c>
      <c r="E24" s="17">
        <f>3.6+5.8</f>
        <v>9.4</v>
      </c>
      <c r="F24" s="17">
        <f>5.1+7.4</f>
        <v>12.5</v>
      </c>
      <c r="G24" s="18">
        <f>5+8.2</f>
        <v>13.2</v>
      </c>
      <c r="H24" s="18">
        <v>13.6347</v>
      </c>
      <c r="I24" s="18">
        <v>13.63</v>
      </c>
      <c r="J24" s="18">
        <v>14.053</v>
      </c>
      <c r="K24" s="18">
        <v>14.711</v>
      </c>
      <c r="L24" s="18">
        <v>15.416</v>
      </c>
      <c r="M24" s="18">
        <v>15.745</v>
      </c>
      <c r="N24" s="18">
        <v>16.309</v>
      </c>
      <c r="O24" s="18">
        <v>16.685</v>
      </c>
    </row>
    <row r="25" spans="1:15" ht="12.75">
      <c r="A25" s="23"/>
      <c r="B25" s="5"/>
      <c r="C25" s="49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2.75">
      <c r="A26" s="23" t="s">
        <v>50</v>
      </c>
      <c r="B26" s="16" t="s">
        <v>13</v>
      </c>
      <c r="C26" s="47">
        <v>23.575</v>
      </c>
      <c r="D26" s="17">
        <v>34.5</v>
      </c>
      <c r="E26" s="17">
        <f>0+0+25</f>
        <v>25</v>
      </c>
      <c r="F26" s="17">
        <f>0+0+15.9</f>
        <v>15.9</v>
      </c>
      <c r="G26" s="18">
        <f>0+0+29.4</f>
        <v>29.4</v>
      </c>
      <c r="H26" s="18">
        <v>30.8862</v>
      </c>
      <c r="I26" s="18">
        <v>31.804199999999998</v>
      </c>
      <c r="J26" s="18">
        <v>32.3922</v>
      </c>
      <c r="K26" s="18">
        <v>33.4182</v>
      </c>
      <c r="L26" s="18">
        <v>34.5642</v>
      </c>
      <c r="M26" s="18">
        <v>35.0262</v>
      </c>
      <c r="N26" s="18">
        <v>35.8782</v>
      </c>
      <c r="O26" s="18">
        <v>36.4422</v>
      </c>
    </row>
    <row r="27" spans="1:15" ht="12.75">
      <c r="A27" s="23" t="s">
        <v>86</v>
      </c>
      <c r="B27" s="16" t="s">
        <v>14</v>
      </c>
      <c r="C27" s="47">
        <v>96.325</v>
      </c>
      <c r="D27" s="17">
        <v>118</v>
      </c>
      <c r="E27" s="17">
        <f>84.6+0+37.9</f>
        <v>122.5</v>
      </c>
      <c r="F27" s="17">
        <f>109.6+0+38.7</f>
        <v>148.3</v>
      </c>
      <c r="G27" s="18">
        <f>161+0+66.6</f>
        <v>227.6</v>
      </c>
      <c r="H27" s="18">
        <v>232.10150000000004</v>
      </c>
      <c r="I27" s="18">
        <v>239.81550000000001</v>
      </c>
      <c r="J27" s="18">
        <v>244.8035</v>
      </c>
      <c r="K27" s="18">
        <v>253.4745</v>
      </c>
      <c r="L27" s="18">
        <v>263.1025</v>
      </c>
      <c r="M27" s="18">
        <v>267.04650000000004</v>
      </c>
      <c r="N27" s="18">
        <v>274.2385</v>
      </c>
      <c r="O27" s="18">
        <v>279.0235</v>
      </c>
    </row>
    <row r="28" spans="1:15" ht="12.75">
      <c r="A28" s="23" t="s">
        <v>87</v>
      </c>
      <c r="B28" s="19" t="s">
        <v>16</v>
      </c>
      <c r="C28" s="48">
        <v>271.21875</v>
      </c>
      <c r="D28" s="17">
        <v>374</v>
      </c>
      <c r="E28" s="17">
        <f>240.1+45.2+85.3</f>
        <v>370.6</v>
      </c>
      <c r="F28" s="17">
        <f>278.8+18.3+83.3</f>
        <v>380.40000000000003</v>
      </c>
      <c r="G28" s="18">
        <f>288+9.8+60.7</f>
        <v>358.5</v>
      </c>
      <c r="H28" s="18">
        <v>357.68600000000004</v>
      </c>
      <c r="I28" s="18">
        <v>371.896</v>
      </c>
      <c r="J28" s="18">
        <v>383.06100000000004</v>
      </c>
      <c r="K28" s="18">
        <v>401.53400000000005</v>
      </c>
      <c r="L28" s="18">
        <v>421.42800000000005</v>
      </c>
      <c r="M28" s="18">
        <v>430.96900000000005</v>
      </c>
      <c r="N28" s="18">
        <v>446.39700000000005</v>
      </c>
      <c r="O28" s="18">
        <v>457.35900000000004</v>
      </c>
    </row>
    <row r="29" spans="1:15" ht="12.75">
      <c r="A29" s="23" t="s">
        <v>88</v>
      </c>
      <c r="B29" s="19" t="s">
        <v>17</v>
      </c>
      <c r="C29" s="48">
        <v>30.875</v>
      </c>
      <c r="D29" s="17">
        <v>27.9</v>
      </c>
      <c r="E29" s="17">
        <f>24.1+0.1+5.7</f>
        <v>29.900000000000002</v>
      </c>
      <c r="F29" s="17">
        <f>22.9+0+3.5</f>
        <v>26.4</v>
      </c>
      <c r="G29" s="18">
        <f>24.1+0+3.6</f>
        <v>27.700000000000003</v>
      </c>
      <c r="H29" s="18">
        <v>28.719900000000003</v>
      </c>
      <c r="I29" s="18">
        <v>28.71</v>
      </c>
      <c r="J29" s="18">
        <v>29.601000000000003</v>
      </c>
      <c r="K29" s="18">
        <v>30.987000000000002</v>
      </c>
      <c r="L29" s="18">
        <v>32.472</v>
      </c>
      <c r="M29" s="18">
        <v>33.165</v>
      </c>
      <c r="N29" s="18">
        <v>34.353</v>
      </c>
      <c r="O29" s="18">
        <v>35.145</v>
      </c>
    </row>
    <row r="30" spans="1:15" ht="12.75">
      <c r="A30" s="23"/>
      <c r="B30" s="5"/>
      <c r="C30" s="17"/>
      <c r="D30" s="17"/>
      <c r="E30" s="17"/>
      <c r="F30" s="17"/>
      <c r="G30" s="17"/>
      <c r="H30" s="18"/>
      <c r="I30" s="18"/>
      <c r="J30" s="18"/>
      <c r="K30" s="18"/>
      <c r="L30" s="18"/>
      <c r="M30" s="18"/>
      <c r="N30" s="18"/>
      <c r="O30" s="18"/>
    </row>
    <row r="31" spans="1:15" ht="12.75">
      <c r="A31" s="23" t="s">
        <v>61</v>
      </c>
      <c r="B31" s="5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  <c r="N31" s="18"/>
      <c r="O31" s="18"/>
    </row>
    <row r="32" spans="1:15" ht="12.75">
      <c r="A32" s="5"/>
      <c r="B32" s="16" t="s">
        <v>13</v>
      </c>
      <c r="C32" s="17">
        <f aca="true" t="shared" si="0" ref="C32:O32">+C8+C14+C21+C26</f>
        <v>3719.85</v>
      </c>
      <c r="D32" s="17">
        <f t="shared" si="0"/>
        <v>4036.4</v>
      </c>
      <c r="E32" s="17">
        <f t="shared" si="0"/>
        <v>4133.4</v>
      </c>
      <c r="F32" s="17">
        <f t="shared" si="0"/>
        <v>4399.399999999999</v>
      </c>
      <c r="G32" s="17">
        <f t="shared" si="0"/>
        <v>4688.7</v>
      </c>
      <c r="H32" s="17">
        <f t="shared" si="0"/>
        <v>5147.7</v>
      </c>
      <c r="I32" s="17">
        <f t="shared" si="0"/>
        <v>5300.699999999999</v>
      </c>
      <c r="J32" s="17">
        <f t="shared" si="0"/>
        <v>5398.7</v>
      </c>
      <c r="K32" s="17">
        <f t="shared" si="0"/>
        <v>5569.699999999999</v>
      </c>
      <c r="L32" s="17">
        <f t="shared" si="0"/>
        <v>5760.7</v>
      </c>
      <c r="M32" s="17">
        <f t="shared" si="0"/>
        <v>5837.7</v>
      </c>
      <c r="N32" s="17">
        <f t="shared" si="0"/>
        <v>5979.7</v>
      </c>
      <c r="O32" s="17">
        <f t="shared" si="0"/>
        <v>6073.7</v>
      </c>
    </row>
    <row r="33" spans="1:15" ht="12.75">
      <c r="A33" s="5"/>
      <c r="B33" s="16" t="s">
        <v>14</v>
      </c>
      <c r="C33" s="17">
        <f aca="true" t="shared" si="1" ref="C33:O33">+C9+C15+C22+C27</f>
        <v>6219.4</v>
      </c>
      <c r="D33" s="17">
        <f t="shared" si="1"/>
        <v>7000.7</v>
      </c>
      <c r="E33" s="17">
        <f t="shared" si="1"/>
        <v>7267.5</v>
      </c>
      <c r="F33" s="17">
        <f t="shared" si="1"/>
        <v>7485.9</v>
      </c>
      <c r="G33" s="17">
        <f t="shared" si="1"/>
        <v>7716.500000000001</v>
      </c>
      <c r="H33" s="17">
        <f t="shared" si="1"/>
        <v>8003.5</v>
      </c>
      <c r="I33" s="17">
        <f t="shared" si="1"/>
        <v>8269.5</v>
      </c>
      <c r="J33" s="17">
        <f t="shared" si="1"/>
        <v>8441.5</v>
      </c>
      <c r="K33" s="17">
        <f t="shared" si="1"/>
        <v>8740.5</v>
      </c>
      <c r="L33" s="17">
        <f t="shared" si="1"/>
        <v>9072.5</v>
      </c>
      <c r="M33" s="17">
        <f t="shared" si="1"/>
        <v>9208.5</v>
      </c>
      <c r="N33" s="17">
        <f t="shared" si="1"/>
        <v>9456.5</v>
      </c>
      <c r="O33" s="17">
        <f t="shared" si="1"/>
        <v>9621.5</v>
      </c>
    </row>
    <row r="34" spans="1:15" ht="12.75">
      <c r="A34" s="5"/>
      <c r="B34" s="19" t="s">
        <v>16</v>
      </c>
      <c r="C34" s="17">
        <f aca="true" t="shared" si="2" ref="C34:O34">+C10+C16+C23+C28</f>
        <v>1402.1875</v>
      </c>
      <c r="D34" s="17">
        <f t="shared" si="2"/>
        <v>1645.8000000000002</v>
      </c>
      <c r="E34" s="17">
        <f t="shared" si="2"/>
        <v>1706.5</v>
      </c>
      <c r="F34" s="17">
        <f t="shared" si="2"/>
        <v>1798.2</v>
      </c>
      <c r="G34" s="17">
        <f t="shared" si="2"/>
        <v>1762</v>
      </c>
      <c r="H34" s="17">
        <f t="shared" si="2"/>
        <v>1762</v>
      </c>
      <c r="I34" s="17">
        <f t="shared" si="2"/>
        <v>1832</v>
      </c>
      <c r="J34" s="17">
        <f t="shared" si="2"/>
        <v>1887</v>
      </c>
      <c r="K34" s="17">
        <f t="shared" si="2"/>
        <v>1978.0000000000002</v>
      </c>
      <c r="L34" s="17">
        <f t="shared" si="2"/>
        <v>2075.9999999999995</v>
      </c>
      <c r="M34" s="17">
        <f t="shared" si="2"/>
        <v>2123</v>
      </c>
      <c r="N34" s="17">
        <f t="shared" si="2"/>
        <v>2199</v>
      </c>
      <c r="O34" s="17">
        <f t="shared" si="2"/>
        <v>2253</v>
      </c>
    </row>
    <row r="35" spans="1:15" ht="13.5" thickBot="1">
      <c r="A35" s="5"/>
      <c r="B35" s="19" t="s">
        <v>17</v>
      </c>
      <c r="C35" s="20">
        <f aca="true" t="shared" si="3" ref="C35:O35">+C11+C17+C24+C29</f>
        <v>200.25</v>
      </c>
      <c r="D35" s="20">
        <f t="shared" si="3"/>
        <v>223.40000000000003</v>
      </c>
      <c r="E35" s="20">
        <f t="shared" si="3"/>
        <v>233.60000000000002</v>
      </c>
      <c r="F35" s="20">
        <f t="shared" si="3"/>
        <v>249.70000000000002</v>
      </c>
      <c r="G35" s="20">
        <f t="shared" si="3"/>
        <v>279.1</v>
      </c>
      <c r="H35" s="20">
        <f t="shared" si="3"/>
        <v>289.8099</v>
      </c>
      <c r="I35" s="20">
        <f t="shared" si="3"/>
        <v>289.71</v>
      </c>
      <c r="J35" s="20">
        <f t="shared" si="3"/>
        <v>298.701</v>
      </c>
      <c r="K35" s="20">
        <f t="shared" si="3"/>
        <v>312.687</v>
      </c>
      <c r="L35" s="20">
        <f t="shared" si="3"/>
        <v>327.67199999999997</v>
      </c>
      <c r="M35" s="20">
        <f t="shared" si="3"/>
        <v>334.665</v>
      </c>
      <c r="N35" s="20">
        <f t="shared" si="3"/>
        <v>346.653</v>
      </c>
      <c r="O35" s="20">
        <f t="shared" si="3"/>
        <v>354.645</v>
      </c>
    </row>
    <row r="36" spans="1:15" ht="12.75">
      <c r="A36" s="5"/>
      <c r="B36" s="22" t="s">
        <v>29</v>
      </c>
      <c r="C36" s="17">
        <f aca="true" t="shared" si="4" ref="C36:O36">SUM(C32:C35)</f>
        <v>11541.6875</v>
      </c>
      <c r="D36" s="17">
        <f t="shared" si="4"/>
        <v>12906.300000000001</v>
      </c>
      <c r="E36" s="17">
        <f t="shared" si="4"/>
        <v>13341</v>
      </c>
      <c r="F36" s="17">
        <f t="shared" si="4"/>
        <v>13933.2</v>
      </c>
      <c r="G36" s="17">
        <f t="shared" si="4"/>
        <v>14446.300000000001</v>
      </c>
      <c r="H36" s="17">
        <f t="shared" si="4"/>
        <v>15203.009900000001</v>
      </c>
      <c r="I36" s="17">
        <f t="shared" si="4"/>
        <v>15691.909999999998</v>
      </c>
      <c r="J36" s="17">
        <f t="shared" si="4"/>
        <v>16025.901000000002</v>
      </c>
      <c r="K36" s="17">
        <f t="shared" si="4"/>
        <v>16600.887</v>
      </c>
      <c r="L36" s="17">
        <f t="shared" si="4"/>
        <v>17236.872</v>
      </c>
      <c r="M36" s="17">
        <f t="shared" si="4"/>
        <v>17503.865</v>
      </c>
      <c r="N36" s="17">
        <f t="shared" si="4"/>
        <v>17981.853</v>
      </c>
      <c r="O36" s="17">
        <f t="shared" si="4"/>
        <v>18302.845</v>
      </c>
    </row>
    <row r="37" spans="1:7" ht="12.75">
      <c r="A37" s="5"/>
      <c r="B37" s="5"/>
      <c r="C37" s="5"/>
      <c r="D37" s="5"/>
      <c r="E37" s="5"/>
      <c r="F37" s="5"/>
      <c r="G37" s="5"/>
    </row>
  </sheetData>
  <printOptions horizontalCentered="1"/>
  <pageMargins left="0.25" right="0.25" top="1" bottom="1" header="0.5" footer="0.5"/>
  <pageSetup fitToHeight="1" fitToWidth="1" horizontalDpi="600" verticalDpi="600" orientation="landscape" scale="94" r:id="rId3"/>
  <headerFooter alignWithMargins="0">
    <oddFooter>&amp;L&amp;A&amp;R&amp;8Prepared by Office of Planning, Budgeting and Policy Analysis, DCU,  &amp;F 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75" zoomScaleNormal="75" workbookViewId="0" topLeftCell="A1">
      <selection activeCell="A1" sqref="A1:D24"/>
    </sheetView>
  </sheetViews>
  <sheetFormatPr defaultColWidth="9.140625" defaultRowHeight="12.75"/>
  <cols>
    <col min="1" max="1" width="14.421875" style="0" customWidth="1"/>
    <col min="4" max="4" width="11.57421875" style="0" bestFit="1" customWidth="1"/>
  </cols>
  <sheetData>
    <row r="1" spans="1:8" ht="15.75">
      <c r="A1" s="198" t="s">
        <v>20</v>
      </c>
      <c r="B1" s="44"/>
      <c r="C1" s="80"/>
      <c r="D1" s="80"/>
      <c r="E1" s="80"/>
      <c r="F1" s="80"/>
      <c r="G1" s="80"/>
      <c r="H1" s="80"/>
    </row>
    <row r="2" spans="1:8" ht="15.75">
      <c r="A2" s="198"/>
      <c r="B2" s="44"/>
      <c r="C2" s="80"/>
      <c r="D2" s="80"/>
      <c r="E2" s="80"/>
      <c r="F2" s="80"/>
      <c r="G2" s="80"/>
      <c r="H2" s="80"/>
    </row>
    <row r="3" spans="1:8" ht="15.75">
      <c r="A3" s="198" t="s">
        <v>157</v>
      </c>
      <c r="B3" s="44"/>
      <c r="C3" s="80"/>
      <c r="D3" s="177"/>
      <c r="E3" s="80"/>
      <c r="F3" s="80"/>
      <c r="G3" s="80"/>
      <c r="H3" s="80"/>
    </row>
    <row r="4" spans="2:8" ht="13.5" thickBot="1">
      <c r="B4" s="44"/>
      <c r="C4" s="80"/>
      <c r="D4" s="241"/>
      <c r="E4" s="80"/>
      <c r="F4" s="80"/>
      <c r="G4" s="80"/>
      <c r="H4" s="80"/>
    </row>
    <row r="5" spans="1:8" ht="12.75">
      <c r="A5" s="200"/>
      <c r="B5" s="201" t="s">
        <v>0</v>
      </c>
      <c r="C5" s="202" t="s">
        <v>92</v>
      </c>
      <c r="D5" s="199" t="s">
        <v>167</v>
      </c>
      <c r="E5" s="80"/>
      <c r="F5" s="80"/>
      <c r="G5" s="80"/>
      <c r="H5" s="80"/>
    </row>
    <row r="6" spans="1:8" ht="13.5" thickBot="1">
      <c r="A6" s="200"/>
      <c r="B6" s="203" t="s">
        <v>4</v>
      </c>
      <c r="C6" s="186" t="s">
        <v>12</v>
      </c>
      <c r="D6" s="188" t="s">
        <v>168</v>
      </c>
      <c r="E6" s="80"/>
      <c r="F6" s="80"/>
      <c r="G6" s="80"/>
      <c r="H6" s="80"/>
    </row>
    <row r="7" spans="1:8" ht="12.75">
      <c r="A7" s="204" t="s">
        <v>13</v>
      </c>
      <c r="B7" s="205">
        <v>11384</v>
      </c>
      <c r="C7" s="206">
        <v>11400</v>
      </c>
      <c r="D7" s="240">
        <f>+C7/B7-1</f>
        <v>0.0014054813773718422</v>
      </c>
      <c r="E7" s="80"/>
      <c r="F7" s="80"/>
      <c r="G7" s="80"/>
      <c r="H7" s="80"/>
    </row>
    <row r="8" spans="1:8" ht="12.75">
      <c r="A8" s="196" t="s">
        <v>14</v>
      </c>
      <c r="B8" s="190">
        <v>13160</v>
      </c>
      <c r="C8" s="191">
        <v>13465</v>
      </c>
      <c r="D8" s="197">
        <f>+C8/B8-1</f>
        <v>0.023176291793313153</v>
      </c>
      <c r="E8" s="80"/>
      <c r="F8" s="80"/>
      <c r="G8" s="80"/>
      <c r="H8" s="80"/>
    </row>
    <row r="9" spans="1:8" ht="12.75">
      <c r="A9" s="189" t="s">
        <v>16</v>
      </c>
      <c r="B9" s="190">
        <v>6165</v>
      </c>
      <c r="C9" s="191">
        <v>7751</v>
      </c>
      <c r="D9" s="197">
        <f>+C9/B9-1</f>
        <v>0.2572587185725872</v>
      </c>
      <c r="E9" s="80"/>
      <c r="F9" s="80"/>
      <c r="G9" s="80"/>
      <c r="H9" s="80"/>
    </row>
    <row r="10" spans="1:8" ht="12.75">
      <c r="A10" s="189" t="s">
        <v>17</v>
      </c>
      <c r="B10" s="190">
        <v>2356</v>
      </c>
      <c r="C10" s="191">
        <v>3361</v>
      </c>
      <c r="D10" s="197">
        <f>+C10/B10-1</f>
        <v>0.4265704584040746</v>
      </c>
      <c r="E10" s="80"/>
      <c r="F10" s="80"/>
      <c r="G10" s="80"/>
      <c r="H10" s="80"/>
    </row>
    <row r="11" spans="1:8" ht="13.5" thickBot="1">
      <c r="A11" s="207" t="s">
        <v>29</v>
      </c>
      <c r="B11" s="208">
        <v>33065</v>
      </c>
      <c r="C11" s="209">
        <v>35977</v>
      </c>
      <c r="D11" s="210">
        <f>+C11/B11-1</f>
        <v>0.08806895508846213</v>
      </c>
      <c r="E11" s="80"/>
      <c r="F11" s="80"/>
      <c r="G11" s="80"/>
      <c r="H11" s="80"/>
    </row>
    <row r="12" spans="1:8" ht="13.5" thickBot="1">
      <c r="A12" s="211"/>
      <c r="B12" s="80"/>
      <c r="C12" s="80"/>
      <c r="D12" s="212"/>
      <c r="E12" s="80"/>
      <c r="F12" s="80"/>
      <c r="G12" s="80"/>
      <c r="H12" s="80"/>
    </row>
    <row r="13" spans="1:8" ht="13.5" thickBot="1">
      <c r="A13" s="213" t="s">
        <v>19</v>
      </c>
      <c r="B13" s="214">
        <v>1103</v>
      </c>
      <c r="C13" s="215">
        <v>1244</v>
      </c>
      <c r="D13" s="216" t="e">
        <f>+C13/#REF!</f>
        <v>#REF!</v>
      </c>
      <c r="E13" s="80"/>
      <c r="F13" s="80"/>
      <c r="G13" s="80"/>
      <c r="H13" s="80"/>
    </row>
    <row r="14" spans="1:8" ht="12.75">
      <c r="A14" s="80"/>
      <c r="B14" s="80"/>
      <c r="C14" s="80"/>
      <c r="D14" s="80"/>
      <c r="E14" s="80"/>
      <c r="F14" s="80"/>
      <c r="G14" s="80"/>
      <c r="H14" s="80"/>
    </row>
    <row r="15" spans="1:8" ht="12.75">
      <c r="A15" s="80"/>
      <c r="B15" s="80"/>
      <c r="C15" s="80"/>
      <c r="D15" s="80"/>
      <c r="E15" s="80"/>
      <c r="F15" s="80"/>
      <c r="G15" s="80"/>
      <c r="H15" s="80"/>
    </row>
    <row r="16" spans="1:8" ht="15.75">
      <c r="A16" s="218" t="s">
        <v>158</v>
      </c>
      <c r="B16" s="80"/>
      <c r="C16" s="80"/>
      <c r="D16" s="80"/>
      <c r="E16" s="80"/>
      <c r="F16" s="80"/>
      <c r="G16" s="80"/>
      <c r="H16" s="80"/>
    </row>
    <row r="17" spans="1:8" ht="16.5" thickBot="1">
      <c r="A17" s="218"/>
      <c r="B17" s="80"/>
      <c r="C17" s="80"/>
      <c r="D17" s="80"/>
      <c r="E17" s="80"/>
      <c r="F17" s="80"/>
      <c r="G17" s="80"/>
      <c r="H17" s="80"/>
    </row>
    <row r="18" spans="1:8" ht="12.75">
      <c r="A18" s="217"/>
      <c r="B18" s="201" t="s">
        <v>0</v>
      </c>
      <c r="C18" s="219" t="s">
        <v>92</v>
      </c>
      <c r="D18" s="80"/>
      <c r="E18" s="80"/>
      <c r="F18" s="80"/>
      <c r="G18" s="80"/>
      <c r="H18" s="80"/>
    </row>
    <row r="19" spans="1:8" ht="13.5" thickBot="1">
      <c r="A19" s="217"/>
      <c r="B19" s="203" t="s">
        <v>4</v>
      </c>
      <c r="C19" s="185" t="s">
        <v>12</v>
      </c>
      <c r="D19" s="80"/>
      <c r="E19" s="80"/>
      <c r="F19" s="80"/>
      <c r="G19" s="80"/>
      <c r="H19" s="80"/>
    </row>
    <row r="20" spans="1:8" ht="12.75">
      <c r="A20" s="204" t="s">
        <v>148</v>
      </c>
      <c r="B20" s="220">
        <v>8416</v>
      </c>
      <c r="C20" s="221">
        <v>8350</v>
      </c>
      <c r="D20" s="222" t="e">
        <f>+C20/#REF!</f>
        <v>#REF!</v>
      </c>
      <c r="E20" s="80"/>
      <c r="F20" s="80"/>
      <c r="G20" s="80"/>
      <c r="H20" s="80"/>
    </row>
    <row r="21" spans="1:8" ht="25.5">
      <c r="A21" s="196" t="s">
        <v>160</v>
      </c>
      <c r="B21" s="194">
        <v>3667</v>
      </c>
      <c r="C21" s="239">
        <v>5087</v>
      </c>
      <c r="D21" s="192" t="e">
        <f>+C21/#REF!</f>
        <v>#REF!</v>
      </c>
      <c r="E21" s="80"/>
      <c r="F21" s="80"/>
      <c r="G21" s="80"/>
      <c r="H21" s="80"/>
    </row>
    <row r="22" spans="1:8" ht="12.75">
      <c r="A22" s="196" t="s">
        <v>149</v>
      </c>
      <c r="B22" s="194">
        <v>702</v>
      </c>
      <c r="C22" s="195">
        <v>1050</v>
      </c>
      <c r="D22" s="192" t="e">
        <f>+C22/#REF!</f>
        <v>#REF!</v>
      </c>
      <c r="E22" s="80"/>
      <c r="F22" s="80"/>
      <c r="G22" s="80"/>
      <c r="H22" s="80"/>
    </row>
    <row r="23" spans="1:8" ht="12.75">
      <c r="A23" s="196" t="s">
        <v>161</v>
      </c>
      <c r="B23" s="194">
        <v>255</v>
      </c>
      <c r="C23" s="239">
        <v>290</v>
      </c>
      <c r="D23" s="192" t="e">
        <f>+C23/#REF!</f>
        <v>#REF!</v>
      </c>
      <c r="E23" s="80"/>
      <c r="F23" s="80"/>
      <c r="G23" s="80"/>
      <c r="H23" s="80"/>
    </row>
    <row r="24" spans="1:8" ht="13.5" thickBot="1">
      <c r="A24" s="207" t="s">
        <v>152</v>
      </c>
      <c r="B24" s="223">
        <v>13040</v>
      </c>
      <c r="C24" s="224">
        <v>14777</v>
      </c>
      <c r="D24" s="225" t="e">
        <f>+C24/#REF!</f>
        <v>#REF!</v>
      </c>
      <c r="E24" s="80"/>
      <c r="F24" s="80"/>
      <c r="G24" s="80"/>
      <c r="H24" s="80"/>
    </row>
    <row r="25" spans="1:8" ht="12.75">
      <c r="A25" s="80"/>
      <c r="B25" s="82"/>
      <c r="C25" s="82"/>
      <c r="D25" s="80"/>
      <c r="E25" s="80"/>
      <c r="F25" s="80"/>
      <c r="G25" s="80"/>
      <c r="H25" s="80"/>
    </row>
    <row r="26" spans="1:8" ht="12.75">
      <c r="A26" s="80"/>
      <c r="B26" s="80"/>
      <c r="C26" s="80"/>
      <c r="D26" s="80"/>
      <c r="E26" s="80"/>
      <c r="F26" s="80"/>
      <c r="G26" s="80"/>
      <c r="H26" s="80"/>
    </row>
    <row r="27" spans="1:8" ht="12.75">
      <c r="A27" s="80"/>
      <c r="B27" s="82"/>
      <c r="C27" s="82"/>
      <c r="D27" s="82"/>
      <c r="E27" s="80"/>
      <c r="F27" s="80"/>
      <c r="G27" s="80"/>
      <c r="H27" s="80"/>
    </row>
    <row r="28" spans="1:8" ht="12.75">
      <c r="A28" s="80"/>
      <c r="B28" s="82"/>
      <c r="C28" s="82"/>
      <c r="D28" s="82"/>
      <c r="E28" s="80"/>
      <c r="F28" s="80"/>
      <c r="G28" s="80"/>
      <c r="H28" s="80"/>
    </row>
    <row r="29" spans="1:8" ht="12.75">
      <c r="A29" s="80"/>
      <c r="B29" s="82"/>
      <c r="C29" s="82"/>
      <c r="D29" s="82"/>
      <c r="E29" s="80"/>
      <c r="F29" s="80"/>
      <c r="G29" s="80"/>
      <c r="H29" s="80"/>
    </row>
    <row r="30" spans="1:8" ht="12.75">
      <c r="A30" s="80"/>
      <c r="B30" s="82"/>
      <c r="C30" s="82"/>
      <c r="D30" s="82"/>
      <c r="E30" s="80"/>
      <c r="F30" s="80"/>
      <c r="G30" s="80"/>
      <c r="H30" s="80"/>
    </row>
    <row r="31" spans="1:8" ht="12.75">
      <c r="A31" s="80"/>
      <c r="B31" s="82"/>
      <c r="C31" s="82"/>
      <c r="D31" s="82"/>
      <c r="E31" s="80"/>
      <c r="F31" s="80"/>
      <c r="G31" s="80"/>
      <c r="H31" s="80"/>
    </row>
    <row r="32" spans="1:8" ht="12.75">
      <c r="A32" s="80"/>
      <c r="B32" s="82"/>
      <c r="C32" s="82"/>
      <c r="D32" s="82"/>
      <c r="E32" s="80"/>
      <c r="F32" s="80"/>
      <c r="G32" s="80"/>
      <c r="H32" s="80"/>
    </row>
    <row r="33" spans="1:8" ht="12.75">
      <c r="A33" s="80"/>
      <c r="B33" s="80"/>
      <c r="C33" s="80"/>
      <c r="D33" s="80"/>
      <c r="E33" s="80"/>
      <c r="F33" s="80"/>
      <c r="G33" s="80"/>
      <c r="H33" s="80"/>
    </row>
    <row r="34" spans="1:8" ht="12.75">
      <c r="A34" s="80"/>
      <c r="B34" s="82"/>
      <c r="C34" s="82"/>
      <c r="D34" s="82"/>
      <c r="E34" s="80"/>
      <c r="F34" s="80"/>
      <c r="G34" s="80"/>
      <c r="H34" s="80"/>
    </row>
    <row r="35" spans="1:8" ht="12.75">
      <c r="A35" s="80"/>
      <c r="B35" s="82"/>
      <c r="C35" s="82"/>
      <c r="D35" s="82"/>
      <c r="E35" s="80"/>
      <c r="F35" s="80"/>
      <c r="G35" s="80"/>
      <c r="H35" s="80"/>
    </row>
    <row r="36" spans="1:8" ht="12.75">
      <c r="A36" s="80"/>
      <c r="B36" s="82"/>
      <c r="C36" s="82"/>
      <c r="D36" s="82"/>
      <c r="E36" s="80"/>
      <c r="F36" s="80"/>
      <c r="G36" s="80"/>
      <c r="H36" s="80"/>
    </row>
    <row r="37" spans="1:8" ht="12.75">
      <c r="A37" s="80"/>
      <c r="B37" s="82"/>
      <c r="C37" s="82"/>
      <c r="D37" s="82"/>
      <c r="E37" s="80"/>
      <c r="F37" s="80"/>
      <c r="G37" s="80"/>
      <c r="H37" s="80"/>
    </row>
    <row r="38" spans="1:8" ht="12.75">
      <c r="A38" s="80"/>
      <c r="B38" s="82"/>
      <c r="C38" s="82"/>
      <c r="D38" s="82"/>
      <c r="E38" s="80"/>
      <c r="F38" s="80"/>
      <c r="G38" s="80"/>
      <c r="H38" s="80"/>
    </row>
    <row r="39" spans="1:8" ht="12.75">
      <c r="A39" s="80"/>
      <c r="B39" s="82"/>
      <c r="C39" s="82"/>
      <c r="D39" s="82"/>
      <c r="E39" s="80"/>
      <c r="F39" s="80"/>
      <c r="G39" s="80"/>
      <c r="H39" s="80"/>
    </row>
    <row r="40" spans="1:8" ht="12.75">
      <c r="A40" s="80"/>
      <c r="B40" s="80"/>
      <c r="C40" s="80"/>
      <c r="D40" s="80"/>
      <c r="E40" s="80"/>
      <c r="F40" s="80"/>
      <c r="G40" s="80"/>
      <c r="H40" s="80"/>
    </row>
    <row r="41" spans="1:8" ht="12.75">
      <c r="A41" s="80"/>
      <c r="B41" s="80"/>
      <c r="C41" s="80"/>
      <c r="D41" s="80"/>
      <c r="E41" s="80"/>
      <c r="F41" s="80"/>
      <c r="G41" s="80"/>
      <c r="H41" s="80"/>
    </row>
    <row r="42" spans="1:8" ht="12.75">
      <c r="A42" s="80"/>
      <c r="B42" s="82"/>
      <c r="C42" s="82"/>
      <c r="D42" s="82"/>
      <c r="E42" s="80"/>
      <c r="F42" s="80"/>
      <c r="G42" s="80"/>
      <c r="H42" s="80"/>
    </row>
    <row r="43" spans="1:8" ht="12.75">
      <c r="A43" s="80"/>
      <c r="B43" s="82"/>
      <c r="C43" s="82"/>
      <c r="D43" s="82"/>
      <c r="E43" s="80"/>
      <c r="F43" s="80"/>
      <c r="G43" s="80"/>
      <c r="H43" s="80"/>
    </row>
    <row r="44" spans="1:8" ht="12.75">
      <c r="A44" s="80"/>
      <c r="B44" s="82"/>
      <c r="C44" s="82"/>
      <c r="D44" s="82"/>
      <c r="E44" s="80"/>
      <c r="F44" s="80"/>
      <c r="G44" s="80"/>
      <c r="H44" s="80"/>
    </row>
    <row r="45" spans="1:8" ht="12.75">
      <c r="A45" s="80"/>
      <c r="B45" s="80"/>
      <c r="C45" s="80"/>
      <c r="D45" s="80"/>
      <c r="E45" s="80"/>
      <c r="F45" s="80"/>
      <c r="G45" s="80"/>
      <c r="H45" s="80"/>
    </row>
    <row r="46" spans="1:8" ht="12.75">
      <c r="A46" s="80"/>
      <c r="B46" s="80"/>
      <c r="C46" s="80"/>
      <c r="D46" s="80"/>
      <c r="E46" s="80"/>
      <c r="F46" s="80"/>
      <c r="G46" s="80"/>
      <c r="H46" s="80"/>
    </row>
  </sheetData>
  <printOptions horizontalCentered="1"/>
  <pageMargins left="0.27" right="0.31" top="0.25" bottom="0.3" header="0.17" footer="0.18"/>
  <pageSetup fitToHeight="1" fitToWidth="1"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75" zoomScaleNormal="75" workbookViewId="0" topLeftCell="A1">
      <pane xSplit="2" ySplit="5" topLeftCell="C6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2.75"/>
  <cols>
    <col min="1" max="1" width="13.7109375" style="0" customWidth="1"/>
    <col min="2" max="2" width="20.00390625" style="0" customWidth="1"/>
    <col min="3" max="3" width="9.421875" style="0" customWidth="1"/>
    <col min="12" max="12" width="11.28125" style="0" customWidth="1"/>
  </cols>
  <sheetData>
    <row r="1" spans="1:13" ht="15.75">
      <c r="A1" s="1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7" ht="13.5" thickBot="1">
      <c r="A3" s="23" t="s">
        <v>62</v>
      </c>
      <c r="B3" s="5"/>
      <c r="C3" s="5"/>
      <c r="D3" s="5"/>
      <c r="E3" s="5"/>
      <c r="F3" s="5"/>
      <c r="G3" s="5"/>
    </row>
    <row r="4" spans="1:15" ht="58.5" customHeight="1" thickBot="1">
      <c r="A4" s="5"/>
      <c r="B4" s="5"/>
      <c r="C4" s="6" t="s">
        <v>0</v>
      </c>
      <c r="D4" s="7" t="s">
        <v>0</v>
      </c>
      <c r="E4" s="7" t="s">
        <v>0</v>
      </c>
      <c r="F4" s="7" t="s">
        <v>0</v>
      </c>
      <c r="G4" s="51" t="s">
        <v>91</v>
      </c>
      <c r="H4" s="50"/>
      <c r="I4" s="8" t="s">
        <v>92</v>
      </c>
      <c r="J4" s="8"/>
      <c r="K4" s="9"/>
      <c r="L4" s="9"/>
      <c r="M4" s="9"/>
      <c r="N4" s="9"/>
      <c r="O4" s="9"/>
    </row>
    <row r="5" spans="1:15" ht="13.5" thickBot="1">
      <c r="A5" s="5"/>
      <c r="B5" s="5"/>
      <c r="C5" s="10" t="s">
        <v>1</v>
      </c>
      <c r="D5" s="11" t="s">
        <v>2</v>
      </c>
      <c r="E5" s="11" t="s">
        <v>3</v>
      </c>
      <c r="F5" s="12" t="s">
        <v>94</v>
      </c>
      <c r="G5" s="13" t="s">
        <v>4</v>
      </c>
      <c r="H5" s="13" t="s">
        <v>5</v>
      </c>
      <c r="I5" s="13" t="s">
        <v>6</v>
      </c>
      <c r="J5" s="14" t="s">
        <v>7</v>
      </c>
      <c r="K5" s="15" t="s">
        <v>8</v>
      </c>
      <c r="L5" s="15" t="s">
        <v>9</v>
      </c>
      <c r="M5" s="15" t="s">
        <v>10</v>
      </c>
      <c r="N5" s="15" t="s">
        <v>11</v>
      </c>
      <c r="O5" s="15" t="s">
        <v>12</v>
      </c>
    </row>
    <row r="6" spans="1:7" ht="12.75">
      <c r="A6" s="23" t="s">
        <v>63</v>
      </c>
      <c r="B6" s="5"/>
      <c r="C6" s="5"/>
      <c r="D6" s="5"/>
      <c r="E6" s="5"/>
      <c r="F6" s="5"/>
      <c r="G6" s="5"/>
    </row>
    <row r="7" spans="1:15" ht="12.75">
      <c r="A7" s="23"/>
      <c r="B7" s="16" t="s">
        <v>13</v>
      </c>
      <c r="C7" s="47">
        <v>1562.7</v>
      </c>
      <c r="D7" s="17">
        <v>1726.4</v>
      </c>
      <c r="E7" s="17">
        <v>1785.8</v>
      </c>
      <c r="F7" s="17">
        <v>1917.1</v>
      </c>
      <c r="G7" s="17">
        <v>1937.6</v>
      </c>
      <c r="H7" s="18">
        <v>2002</v>
      </c>
      <c r="I7" s="18">
        <v>2088</v>
      </c>
      <c r="J7" s="18">
        <v>2182</v>
      </c>
      <c r="K7" s="18">
        <v>2285</v>
      </c>
      <c r="L7" s="18">
        <v>2397</v>
      </c>
      <c r="M7" s="18">
        <v>2519</v>
      </c>
      <c r="N7" s="18">
        <v>2652</v>
      </c>
      <c r="O7" s="18">
        <v>2798</v>
      </c>
    </row>
    <row r="8" spans="1:15" ht="12.75">
      <c r="A8" s="23"/>
      <c r="B8" s="16" t="s">
        <v>14</v>
      </c>
      <c r="C8" s="47">
        <v>2354.575</v>
      </c>
      <c r="D8" s="17">
        <v>2560</v>
      </c>
      <c r="E8" s="17">
        <v>2593.1</v>
      </c>
      <c r="F8" s="17">
        <v>2687</v>
      </c>
      <c r="G8" s="17">
        <v>2769</v>
      </c>
      <c r="H8" s="18">
        <v>2851</v>
      </c>
      <c r="I8" s="18">
        <v>2958</v>
      </c>
      <c r="J8" s="18">
        <v>3085</v>
      </c>
      <c r="K8" s="18">
        <v>3225</v>
      </c>
      <c r="L8" s="18">
        <v>3378</v>
      </c>
      <c r="M8" s="18">
        <v>3540</v>
      </c>
      <c r="N8" s="18">
        <v>3720</v>
      </c>
      <c r="O8" s="18">
        <v>3920</v>
      </c>
    </row>
    <row r="9" spans="1:16" ht="12.75">
      <c r="A9" s="23"/>
      <c r="B9" s="19" t="s">
        <v>16</v>
      </c>
      <c r="C9" s="48">
        <v>456.71875</v>
      </c>
      <c r="D9" s="17">
        <v>483.7</v>
      </c>
      <c r="E9" s="36">
        <v>467.6</v>
      </c>
      <c r="F9" s="36">
        <v>475.1</v>
      </c>
      <c r="G9" s="36">
        <v>465.1</v>
      </c>
      <c r="H9" s="37">
        <v>480</v>
      </c>
      <c r="I9" s="37">
        <v>498</v>
      </c>
      <c r="J9" s="37">
        <v>520</v>
      </c>
      <c r="K9" s="37">
        <v>545</v>
      </c>
      <c r="L9" s="37">
        <v>572</v>
      </c>
      <c r="M9" s="37">
        <v>602</v>
      </c>
      <c r="N9" s="37">
        <v>634</v>
      </c>
      <c r="O9" s="37">
        <v>669</v>
      </c>
      <c r="P9" s="18" t="s">
        <v>119</v>
      </c>
    </row>
    <row r="10" spans="1:15" ht="12.75">
      <c r="A10" s="23"/>
      <c r="B10" s="19" t="s">
        <v>17</v>
      </c>
      <c r="C10" s="48">
        <v>72.65625</v>
      </c>
      <c r="D10" s="17">
        <v>82.7</v>
      </c>
      <c r="E10" s="36">
        <v>85.7</v>
      </c>
      <c r="F10" s="36">
        <v>64.9</v>
      </c>
      <c r="G10" s="36">
        <v>55.6</v>
      </c>
      <c r="H10" s="37">
        <v>61</v>
      </c>
      <c r="I10" s="37">
        <v>67</v>
      </c>
      <c r="J10" s="37">
        <v>72</v>
      </c>
      <c r="K10" s="37">
        <v>77</v>
      </c>
      <c r="L10" s="37">
        <v>82</v>
      </c>
      <c r="M10" s="37">
        <v>88</v>
      </c>
      <c r="N10" s="37">
        <v>94</v>
      </c>
      <c r="O10" s="37">
        <v>100</v>
      </c>
    </row>
    <row r="11" spans="1:15" ht="12.75">
      <c r="A11" s="23"/>
      <c r="B11" s="5"/>
      <c r="C11" s="49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</row>
    <row r="12" spans="1:15" ht="12.75">
      <c r="A12" s="23"/>
      <c r="B12" s="5"/>
      <c r="C12" s="49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</row>
    <row r="13" spans="1:15" ht="12.75">
      <c r="A13" s="23" t="s">
        <v>64</v>
      </c>
      <c r="B13" s="5"/>
      <c r="C13" s="49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</row>
    <row r="14" spans="1:15" ht="12.75">
      <c r="A14" s="23"/>
      <c r="B14" s="16" t="s">
        <v>13</v>
      </c>
      <c r="C14" s="49">
        <v>0.825</v>
      </c>
      <c r="D14" s="17">
        <v>2.4</v>
      </c>
      <c r="E14" s="17">
        <v>3</v>
      </c>
      <c r="F14" s="17">
        <v>2.2</v>
      </c>
      <c r="G14" s="17">
        <v>1.9</v>
      </c>
      <c r="H14" s="18">
        <v>2</v>
      </c>
      <c r="I14" s="18">
        <v>2</v>
      </c>
      <c r="J14" s="18">
        <v>3</v>
      </c>
      <c r="K14" s="18">
        <v>3</v>
      </c>
      <c r="L14" s="18">
        <v>3</v>
      </c>
      <c r="M14" s="18">
        <v>3</v>
      </c>
      <c r="N14" s="18">
        <v>4</v>
      </c>
      <c r="O14" s="18">
        <v>4</v>
      </c>
    </row>
    <row r="15" spans="1:15" ht="12.75">
      <c r="A15" s="23"/>
      <c r="B15" s="16" t="s">
        <v>14</v>
      </c>
      <c r="C15" s="47">
        <v>262.85</v>
      </c>
      <c r="D15" s="17">
        <v>314.6</v>
      </c>
      <c r="E15" s="17">
        <v>355.6</v>
      </c>
      <c r="F15" s="17">
        <v>354.5</v>
      </c>
      <c r="G15" s="17">
        <v>384.5</v>
      </c>
      <c r="H15" s="18">
        <v>410</v>
      </c>
      <c r="I15" s="18">
        <v>442</v>
      </c>
      <c r="J15" s="18">
        <v>478</v>
      </c>
      <c r="K15" s="18">
        <v>516</v>
      </c>
      <c r="L15" s="18">
        <v>551</v>
      </c>
      <c r="M15" s="18">
        <v>587</v>
      </c>
      <c r="N15" s="18">
        <v>624</v>
      </c>
      <c r="O15" s="18">
        <v>656</v>
      </c>
    </row>
    <row r="16" spans="1:16" ht="12.75">
      <c r="A16" s="23"/>
      <c r="B16" s="19" t="s">
        <v>16</v>
      </c>
      <c r="C16" s="48">
        <v>121.625</v>
      </c>
      <c r="D16" s="17">
        <v>132.9</v>
      </c>
      <c r="E16" s="36">
        <v>110.4</v>
      </c>
      <c r="F16" s="36">
        <v>77.5</v>
      </c>
      <c r="G16" s="36">
        <v>65.2</v>
      </c>
      <c r="H16" s="37">
        <v>75</v>
      </c>
      <c r="I16" s="37">
        <v>87</v>
      </c>
      <c r="J16" s="37">
        <v>101</v>
      </c>
      <c r="K16" s="37">
        <v>118</v>
      </c>
      <c r="L16" s="37">
        <v>136</v>
      </c>
      <c r="M16" s="37">
        <v>156</v>
      </c>
      <c r="N16" s="18">
        <v>172</v>
      </c>
      <c r="O16" s="18">
        <v>188</v>
      </c>
      <c r="P16" s="18" t="s">
        <v>119</v>
      </c>
    </row>
    <row r="17" spans="1:15" ht="12.75">
      <c r="A17" s="23"/>
      <c r="B17" s="19" t="s">
        <v>17</v>
      </c>
      <c r="C17" s="48">
        <v>45.34375</v>
      </c>
      <c r="D17" s="17">
        <v>36.4</v>
      </c>
      <c r="E17" s="36">
        <v>25.8</v>
      </c>
      <c r="F17" s="36">
        <v>9.4</v>
      </c>
      <c r="G17" s="36">
        <v>15.5</v>
      </c>
      <c r="H17" s="37">
        <v>17</v>
      </c>
      <c r="I17" s="37">
        <v>22</v>
      </c>
      <c r="J17" s="37">
        <v>25</v>
      </c>
      <c r="K17" s="37">
        <v>27</v>
      </c>
      <c r="L17" s="37">
        <v>30</v>
      </c>
      <c r="M17" s="37">
        <v>33</v>
      </c>
      <c r="N17" s="18">
        <v>37</v>
      </c>
      <c r="O17" s="18">
        <v>41</v>
      </c>
    </row>
    <row r="18" spans="1:15" ht="12.75">
      <c r="A18" s="23"/>
      <c r="B18" s="5"/>
      <c r="C18" s="49"/>
      <c r="D18" s="17"/>
      <c r="E18" s="17"/>
      <c r="F18" s="17"/>
      <c r="G18" s="17"/>
      <c r="H18" s="18"/>
      <c r="I18" s="18"/>
      <c r="J18" s="18"/>
      <c r="K18" s="18"/>
      <c r="L18" s="18"/>
      <c r="M18" s="18"/>
      <c r="N18" s="18"/>
      <c r="O18" s="18"/>
    </row>
    <row r="19" spans="1:15" ht="12.75">
      <c r="A19" s="23" t="s">
        <v>22</v>
      </c>
      <c r="B19" s="16" t="s">
        <v>13</v>
      </c>
      <c r="C19" s="47">
        <v>0</v>
      </c>
      <c r="D19" s="17">
        <v>0</v>
      </c>
      <c r="E19" s="17">
        <v>0</v>
      </c>
      <c r="F19" s="17">
        <v>0</v>
      </c>
      <c r="G19" s="17">
        <v>0</v>
      </c>
      <c r="H19" s="18"/>
      <c r="I19" s="18"/>
      <c r="J19" s="18"/>
      <c r="K19" s="18"/>
      <c r="L19" s="18"/>
      <c r="M19" s="18"/>
      <c r="N19" s="18"/>
      <c r="O19" s="18"/>
    </row>
    <row r="20" spans="1:15" ht="12.75">
      <c r="A20" s="5"/>
      <c r="B20" s="16" t="s">
        <v>14</v>
      </c>
      <c r="C20" s="47">
        <v>1.125</v>
      </c>
      <c r="D20" s="17">
        <v>2.8</v>
      </c>
      <c r="E20" s="17">
        <v>4.9</v>
      </c>
      <c r="F20" s="17">
        <v>0.2</v>
      </c>
      <c r="G20" s="17">
        <v>0</v>
      </c>
      <c r="H20" s="18"/>
      <c r="I20" s="18"/>
      <c r="J20" s="18"/>
      <c r="K20" s="18"/>
      <c r="L20" s="18"/>
      <c r="M20" s="18"/>
      <c r="N20" s="18"/>
      <c r="O20" s="18"/>
    </row>
    <row r="21" spans="1:15" ht="12.75">
      <c r="A21" s="23"/>
      <c r="B21" s="19" t="s">
        <v>16</v>
      </c>
      <c r="C21" s="48">
        <v>3.9375</v>
      </c>
      <c r="D21" s="17">
        <v>0</v>
      </c>
      <c r="E21" s="36">
        <v>2</v>
      </c>
      <c r="F21" s="36">
        <v>4.3</v>
      </c>
      <c r="G21" s="36">
        <v>0</v>
      </c>
      <c r="H21" s="37"/>
      <c r="I21" s="37"/>
      <c r="J21" s="37"/>
      <c r="K21" s="37"/>
      <c r="L21" s="37"/>
      <c r="M21" s="37"/>
      <c r="N21" s="18"/>
      <c r="O21" s="18"/>
    </row>
    <row r="22" spans="1:15" ht="12.75">
      <c r="A22" s="23"/>
      <c r="B22" s="19" t="s">
        <v>17</v>
      </c>
      <c r="C22" s="48">
        <v>0.84375</v>
      </c>
      <c r="D22" s="17">
        <v>0.1</v>
      </c>
      <c r="E22" s="36">
        <v>6.4</v>
      </c>
      <c r="F22" s="36">
        <v>9.6</v>
      </c>
      <c r="G22" s="36">
        <v>0</v>
      </c>
      <c r="H22" s="37"/>
      <c r="I22" s="37"/>
      <c r="J22" s="37"/>
      <c r="K22" s="37"/>
      <c r="L22" s="37"/>
      <c r="M22" s="37"/>
      <c r="N22" s="18"/>
      <c r="O22" s="18"/>
    </row>
    <row r="23" spans="1:15" ht="12.75">
      <c r="A23" s="23"/>
      <c r="B23" s="5"/>
      <c r="C23" s="17"/>
      <c r="D23" s="17"/>
      <c r="E23" s="17"/>
      <c r="F23" s="17"/>
      <c r="G23" s="17"/>
      <c r="H23" s="18"/>
      <c r="I23" s="18"/>
      <c r="J23" s="18"/>
      <c r="K23" s="18"/>
      <c r="L23" s="18"/>
      <c r="M23" s="18"/>
      <c r="N23" s="18"/>
      <c r="O23" s="18"/>
    </row>
    <row r="24" spans="1:15" ht="12.75">
      <c r="A24" s="23"/>
      <c r="B24" s="5"/>
      <c r="C24" s="17"/>
      <c r="D24" s="17"/>
      <c r="E24" s="17"/>
      <c r="F24" s="17"/>
      <c r="G24" s="17"/>
      <c r="H24" s="18"/>
      <c r="I24" s="18"/>
      <c r="J24" s="18"/>
      <c r="K24" s="18"/>
      <c r="L24" s="18"/>
      <c r="M24" s="18"/>
      <c r="N24" s="18"/>
      <c r="O24" s="18"/>
    </row>
    <row r="25" spans="1:15" ht="12.75">
      <c r="A25" s="23" t="s">
        <v>65</v>
      </c>
      <c r="B25" s="16" t="s">
        <v>13</v>
      </c>
      <c r="C25" s="17">
        <f aca="true" t="shared" si="0" ref="C25:O25">+C7+C14+C19</f>
        <v>1563.525</v>
      </c>
      <c r="D25" s="17">
        <f t="shared" si="0"/>
        <v>1728.8000000000002</v>
      </c>
      <c r="E25" s="17">
        <f t="shared" si="0"/>
        <v>1788.8</v>
      </c>
      <c r="F25" s="17">
        <f t="shared" si="0"/>
        <v>1919.3</v>
      </c>
      <c r="G25" s="17">
        <f t="shared" si="0"/>
        <v>1939.5</v>
      </c>
      <c r="H25" s="17">
        <f t="shared" si="0"/>
        <v>2004</v>
      </c>
      <c r="I25" s="17">
        <f t="shared" si="0"/>
        <v>2090</v>
      </c>
      <c r="J25" s="17">
        <f t="shared" si="0"/>
        <v>2185</v>
      </c>
      <c r="K25" s="17">
        <f t="shared" si="0"/>
        <v>2288</v>
      </c>
      <c r="L25" s="17">
        <f t="shared" si="0"/>
        <v>2400</v>
      </c>
      <c r="M25" s="17">
        <f t="shared" si="0"/>
        <v>2522</v>
      </c>
      <c r="N25" s="17">
        <f t="shared" si="0"/>
        <v>2656</v>
      </c>
      <c r="O25" s="17">
        <f t="shared" si="0"/>
        <v>2802</v>
      </c>
    </row>
    <row r="26" spans="1:15" ht="12.75">
      <c r="A26" s="5"/>
      <c r="B26" s="16" t="s">
        <v>14</v>
      </c>
      <c r="C26" s="17">
        <f aca="true" t="shared" si="1" ref="C26:O26">+C8+C15+C20</f>
        <v>2618.5499999999997</v>
      </c>
      <c r="D26" s="17">
        <f t="shared" si="1"/>
        <v>2877.4</v>
      </c>
      <c r="E26" s="17">
        <f t="shared" si="1"/>
        <v>2953.6</v>
      </c>
      <c r="F26" s="17">
        <f t="shared" si="1"/>
        <v>3041.7</v>
      </c>
      <c r="G26" s="17">
        <f t="shared" si="1"/>
        <v>3153.5</v>
      </c>
      <c r="H26" s="17">
        <f t="shared" si="1"/>
        <v>3261</v>
      </c>
      <c r="I26" s="17">
        <f t="shared" si="1"/>
        <v>3400</v>
      </c>
      <c r="J26" s="17">
        <f t="shared" si="1"/>
        <v>3563</v>
      </c>
      <c r="K26" s="17">
        <f t="shared" si="1"/>
        <v>3741</v>
      </c>
      <c r="L26" s="17">
        <f t="shared" si="1"/>
        <v>3929</v>
      </c>
      <c r="M26" s="17">
        <f t="shared" si="1"/>
        <v>4127</v>
      </c>
      <c r="N26" s="17">
        <f t="shared" si="1"/>
        <v>4344</v>
      </c>
      <c r="O26" s="17">
        <f t="shared" si="1"/>
        <v>4576</v>
      </c>
    </row>
    <row r="27" spans="1:15" ht="12.75">
      <c r="A27" s="5"/>
      <c r="B27" s="19" t="s">
        <v>16</v>
      </c>
      <c r="C27" s="17">
        <f aca="true" t="shared" si="2" ref="C27:O27">+C9+C16+C21</f>
        <v>582.28125</v>
      </c>
      <c r="D27" s="17">
        <f t="shared" si="2"/>
        <v>616.6</v>
      </c>
      <c r="E27" s="17">
        <f t="shared" si="2"/>
        <v>580</v>
      </c>
      <c r="F27" s="17">
        <f t="shared" si="2"/>
        <v>556.9</v>
      </c>
      <c r="G27" s="17">
        <f t="shared" si="2"/>
        <v>530.3000000000001</v>
      </c>
      <c r="H27" s="17">
        <f t="shared" si="2"/>
        <v>555</v>
      </c>
      <c r="I27" s="17">
        <f t="shared" si="2"/>
        <v>585</v>
      </c>
      <c r="J27" s="17">
        <f t="shared" si="2"/>
        <v>621</v>
      </c>
      <c r="K27" s="17">
        <f t="shared" si="2"/>
        <v>663</v>
      </c>
      <c r="L27" s="17">
        <f t="shared" si="2"/>
        <v>708</v>
      </c>
      <c r="M27" s="17">
        <f t="shared" si="2"/>
        <v>758</v>
      </c>
      <c r="N27" s="17">
        <f t="shared" si="2"/>
        <v>806</v>
      </c>
      <c r="O27" s="17">
        <f t="shared" si="2"/>
        <v>857</v>
      </c>
    </row>
    <row r="28" spans="1:15" ht="13.5" thickBot="1">
      <c r="A28" s="5"/>
      <c r="B28" s="19" t="s">
        <v>17</v>
      </c>
      <c r="C28" s="20">
        <f aca="true" t="shared" si="3" ref="C28:O28">+C10+C17+C22</f>
        <v>118.84375</v>
      </c>
      <c r="D28" s="20">
        <f t="shared" si="3"/>
        <v>119.19999999999999</v>
      </c>
      <c r="E28" s="20">
        <f t="shared" si="3"/>
        <v>117.9</v>
      </c>
      <c r="F28" s="20">
        <f t="shared" si="3"/>
        <v>83.9</v>
      </c>
      <c r="G28" s="20">
        <f t="shared" si="3"/>
        <v>71.1</v>
      </c>
      <c r="H28" s="20">
        <f t="shared" si="3"/>
        <v>78</v>
      </c>
      <c r="I28" s="20">
        <f t="shared" si="3"/>
        <v>89</v>
      </c>
      <c r="J28" s="20">
        <f t="shared" si="3"/>
        <v>97</v>
      </c>
      <c r="K28" s="20">
        <f t="shared" si="3"/>
        <v>104</v>
      </c>
      <c r="L28" s="20">
        <f t="shared" si="3"/>
        <v>112</v>
      </c>
      <c r="M28" s="20">
        <f t="shared" si="3"/>
        <v>121</v>
      </c>
      <c r="N28" s="20">
        <f t="shared" si="3"/>
        <v>131</v>
      </c>
      <c r="O28" s="20">
        <f t="shared" si="3"/>
        <v>141</v>
      </c>
    </row>
    <row r="29" spans="1:15" ht="12.75">
      <c r="A29" s="5"/>
      <c r="B29" s="22" t="s">
        <v>29</v>
      </c>
      <c r="C29" s="17">
        <f aca="true" t="shared" si="4" ref="C29:O29">SUM(C25:C28)</f>
        <v>4883.2</v>
      </c>
      <c r="D29" s="17">
        <f t="shared" si="4"/>
        <v>5342.000000000001</v>
      </c>
      <c r="E29" s="17">
        <f t="shared" si="4"/>
        <v>5440.299999999999</v>
      </c>
      <c r="F29" s="17">
        <f t="shared" si="4"/>
        <v>5601.799999999999</v>
      </c>
      <c r="G29" s="17">
        <f t="shared" si="4"/>
        <v>5694.400000000001</v>
      </c>
      <c r="H29" s="17">
        <f t="shared" si="4"/>
        <v>5898</v>
      </c>
      <c r="I29" s="17">
        <f t="shared" si="4"/>
        <v>6164</v>
      </c>
      <c r="J29" s="17">
        <f t="shared" si="4"/>
        <v>6466</v>
      </c>
      <c r="K29" s="17">
        <f t="shared" si="4"/>
        <v>6796</v>
      </c>
      <c r="L29" s="17">
        <f t="shared" si="4"/>
        <v>7149</v>
      </c>
      <c r="M29" s="17">
        <f t="shared" si="4"/>
        <v>7528</v>
      </c>
      <c r="N29" s="17">
        <f t="shared" si="4"/>
        <v>7937</v>
      </c>
      <c r="O29" s="17">
        <f t="shared" si="4"/>
        <v>8376</v>
      </c>
    </row>
    <row r="30" spans="1:13" ht="12.75">
      <c r="A30" s="23"/>
      <c r="B30" s="5"/>
      <c r="C30" s="5"/>
      <c r="D30" s="5"/>
      <c r="E30" s="17"/>
      <c r="F30" s="17"/>
      <c r="G30" s="17"/>
      <c r="H30" s="18"/>
      <c r="I30" s="18"/>
      <c r="J30" s="18"/>
      <c r="K30" s="18"/>
      <c r="L30" s="18"/>
      <c r="M30" s="18"/>
    </row>
    <row r="31" spans="1:12" ht="12.75">
      <c r="A31" s="5"/>
      <c r="B31" s="5"/>
      <c r="C31" s="5"/>
      <c r="D31" s="5"/>
      <c r="E31" s="5"/>
      <c r="F31" s="5"/>
      <c r="G31" s="5"/>
      <c r="J31" s="38"/>
      <c r="K31" s="38"/>
      <c r="L31" s="38"/>
    </row>
    <row r="32" spans="1:7" ht="12.75">
      <c r="A32" s="5"/>
      <c r="B32" s="5"/>
      <c r="C32" s="5" t="s">
        <v>145</v>
      </c>
      <c r="D32" s="5"/>
      <c r="E32" s="5"/>
      <c r="F32" s="5"/>
      <c r="G32" s="5"/>
    </row>
    <row r="33" spans="1:12" ht="12.75">
      <c r="A33" s="5"/>
      <c r="B33" s="5"/>
      <c r="C33" s="5"/>
      <c r="D33" s="5"/>
      <c r="E33" s="5"/>
      <c r="F33" s="5"/>
      <c r="G33" s="5"/>
      <c r="K33" s="39"/>
      <c r="L33" s="39"/>
    </row>
    <row r="34" spans="1:7" ht="12.75">
      <c r="A34" s="5"/>
      <c r="B34" s="5"/>
      <c r="C34" s="5"/>
      <c r="D34" s="5"/>
      <c r="E34" s="5"/>
      <c r="F34" s="5"/>
      <c r="G34" s="5"/>
    </row>
    <row r="35" spans="1:12" ht="12.75">
      <c r="A35" s="5"/>
      <c r="B35" s="5"/>
      <c r="C35" s="5"/>
      <c r="D35" s="5"/>
      <c r="E35" s="5"/>
      <c r="F35" s="5"/>
      <c r="G35" s="5"/>
      <c r="K35" s="18"/>
      <c r="L35" s="18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</sheetData>
  <printOptions horizontalCentered="1"/>
  <pageMargins left="0.25" right="0.25" top="1" bottom="1" header="0.5" footer="0.5"/>
  <pageSetup fitToHeight="1" fitToWidth="1" horizontalDpi="600" verticalDpi="600" orientation="landscape" scale="88" r:id="rId3"/>
  <headerFooter alignWithMargins="0">
    <oddFooter>&amp;L&amp;A&amp;R&amp;8Prepared by Office of Planning, Budgeting and Policy Analysis, DCU,  &amp;F  &amp;D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="75" zoomScaleNormal="75" workbookViewId="0" topLeftCell="A1">
      <pane xSplit="2" ySplit="5" topLeftCell="C3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2.75"/>
  <cols>
    <col min="2" max="2" width="15.00390625" style="0" customWidth="1"/>
    <col min="3" max="3" width="9.421875" style="0" customWidth="1"/>
  </cols>
  <sheetData>
    <row r="1" spans="1:13" ht="15.75">
      <c r="A1" s="1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5.75">
      <c r="A2" s="1"/>
    </row>
    <row r="3" spans="1:7" ht="13.5" thickBot="1">
      <c r="A3" s="40" t="s">
        <v>66</v>
      </c>
      <c r="B3" s="5"/>
      <c r="C3" s="5"/>
      <c r="D3" s="5"/>
      <c r="E3" s="5"/>
      <c r="F3" s="5"/>
      <c r="G3" s="5"/>
    </row>
    <row r="4" spans="1:15" ht="58.5" customHeight="1" thickBot="1">
      <c r="A4" s="5"/>
      <c r="B4" s="5"/>
      <c r="C4" s="6" t="s">
        <v>0</v>
      </c>
      <c r="D4" s="7" t="s">
        <v>0</v>
      </c>
      <c r="E4" s="7" t="s">
        <v>0</v>
      </c>
      <c r="F4" s="7" t="s">
        <v>0</v>
      </c>
      <c r="G4" s="51" t="s">
        <v>91</v>
      </c>
      <c r="H4" s="50"/>
      <c r="I4" s="134" t="s">
        <v>92</v>
      </c>
      <c r="J4" s="8"/>
      <c r="K4" s="9"/>
      <c r="L4" s="9"/>
      <c r="M4" s="9"/>
      <c r="N4" s="9"/>
      <c r="O4" s="135"/>
    </row>
    <row r="5" spans="1:15" ht="13.5" thickBot="1">
      <c r="A5" s="5"/>
      <c r="B5" s="5"/>
      <c r="C5" s="181" t="s">
        <v>1</v>
      </c>
      <c r="D5" s="182" t="s">
        <v>2</v>
      </c>
      <c r="E5" s="14" t="s">
        <v>3</v>
      </c>
      <c r="F5" s="182" t="s">
        <v>94</v>
      </c>
      <c r="G5" s="11" t="s">
        <v>4</v>
      </c>
      <c r="H5" s="13" t="s">
        <v>5</v>
      </c>
      <c r="I5" s="13" t="s">
        <v>6</v>
      </c>
      <c r="J5" s="14" t="s">
        <v>7</v>
      </c>
      <c r="K5" s="15" t="s">
        <v>8</v>
      </c>
      <c r="L5" s="15" t="s">
        <v>9</v>
      </c>
      <c r="M5" s="15" t="s">
        <v>10</v>
      </c>
      <c r="N5" s="15" t="s">
        <v>11</v>
      </c>
      <c r="O5" s="183" t="s">
        <v>12</v>
      </c>
    </row>
    <row r="6" spans="1:7" ht="12.75">
      <c r="A6" s="23" t="s">
        <v>67</v>
      </c>
      <c r="B6" s="5"/>
      <c r="C6" s="5"/>
      <c r="D6" s="5"/>
      <c r="E6" s="5"/>
      <c r="F6" s="5"/>
      <c r="G6" s="136"/>
    </row>
    <row r="7" spans="1:15" ht="12.75">
      <c r="A7" s="5"/>
      <c r="B7" s="16" t="s">
        <v>13</v>
      </c>
      <c r="C7" s="47">
        <v>7430</v>
      </c>
      <c r="D7" s="17">
        <v>7962.6</v>
      </c>
      <c r="E7" s="17">
        <v>8561</v>
      </c>
      <c r="F7" s="17">
        <v>9170.7</v>
      </c>
      <c r="G7" s="137">
        <v>9331.6</v>
      </c>
      <c r="H7" s="38">
        <v>9844.733949179965</v>
      </c>
      <c r="I7" s="38">
        <v>10689.685273581768</v>
      </c>
      <c r="J7" s="38">
        <v>11449.127010486287</v>
      </c>
      <c r="K7" s="38">
        <v>12225.000185896875</v>
      </c>
      <c r="L7" s="38">
        <v>13006.38388875973</v>
      </c>
      <c r="M7" s="38">
        <v>13818.314226223423</v>
      </c>
      <c r="N7" s="38">
        <v>14067.962015135869</v>
      </c>
      <c r="O7" s="38">
        <v>14566.147027745796</v>
      </c>
    </row>
    <row r="8" spans="1:15" ht="12.75">
      <c r="A8" s="41"/>
      <c r="B8" s="16" t="s">
        <v>14</v>
      </c>
      <c r="C8" s="47">
        <v>8980.307499999999</v>
      </c>
      <c r="D8" s="17">
        <v>9779</v>
      </c>
      <c r="E8" s="17">
        <v>10431.8</v>
      </c>
      <c r="F8" s="17">
        <v>10709.3</v>
      </c>
      <c r="G8" s="137">
        <v>10391.7</v>
      </c>
      <c r="H8" s="38">
        <v>10737.550422841448</v>
      </c>
      <c r="I8" s="38">
        <v>11196.073709700933</v>
      </c>
      <c r="J8" s="38">
        <v>11448.570344347343</v>
      </c>
      <c r="K8" s="38">
        <v>11750.882184721086</v>
      </c>
      <c r="L8" s="38">
        <v>12093.356352471903</v>
      </c>
      <c r="M8" s="38">
        <v>12429.5972281757</v>
      </c>
      <c r="N8" s="38">
        <v>12536.067456784456</v>
      </c>
      <c r="O8" s="38">
        <v>12684.387602004468</v>
      </c>
    </row>
    <row r="9" spans="1:15" ht="12.75">
      <c r="A9" s="41"/>
      <c r="B9" s="19" t="s">
        <v>16</v>
      </c>
      <c r="C9" s="48">
        <v>1632.875</v>
      </c>
      <c r="D9" s="17">
        <v>1780.4</v>
      </c>
      <c r="E9" s="17">
        <v>1966.5</v>
      </c>
      <c r="F9" s="17">
        <v>2097.2</v>
      </c>
      <c r="G9" s="137">
        <v>2092.7</v>
      </c>
      <c r="H9" s="38">
        <v>2089.69424501335</v>
      </c>
      <c r="I9" s="38">
        <v>2144.4116618468943</v>
      </c>
      <c r="J9" s="38">
        <v>2174.2085981231085</v>
      </c>
      <c r="K9" s="38">
        <v>2192.112794835422</v>
      </c>
      <c r="L9" s="38">
        <v>2215.4611755739706</v>
      </c>
      <c r="M9" s="38">
        <v>2241.8582110973784</v>
      </c>
      <c r="N9" s="38">
        <v>2281.5320280741066</v>
      </c>
      <c r="O9" s="38">
        <v>2343.93740191469</v>
      </c>
    </row>
    <row r="10" spans="1:15" ht="12.75">
      <c r="A10" s="41"/>
      <c r="B10" s="19" t="s">
        <v>17</v>
      </c>
      <c r="C10" s="48">
        <v>312.46875</v>
      </c>
      <c r="D10" s="17">
        <v>415.7</v>
      </c>
      <c r="E10" s="17">
        <v>517</v>
      </c>
      <c r="F10" s="17">
        <v>618.5</v>
      </c>
      <c r="G10" s="137">
        <v>703.9</v>
      </c>
      <c r="H10" s="38">
        <v>741.240184349399</v>
      </c>
      <c r="I10" s="38">
        <v>801.6448936512993</v>
      </c>
      <c r="J10" s="38">
        <v>817.100082741361</v>
      </c>
      <c r="K10" s="38">
        <v>830.4562773857239</v>
      </c>
      <c r="L10" s="38">
        <v>842.715000318835</v>
      </c>
      <c r="M10" s="38">
        <v>854.5083178161403</v>
      </c>
      <c r="N10" s="38">
        <v>889.3946693772988</v>
      </c>
      <c r="O10" s="38">
        <v>924.3500584325428</v>
      </c>
    </row>
    <row r="11" spans="1:15" ht="12.75">
      <c r="A11" s="42" t="s">
        <v>68</v>
      </c>
      <c r="B11" s="5"/>
      <c r="C11" s="49"/>
      <c r="D11" s="17"/>
      <c r="E11" s="17"/>
      <c r="F11" s="17"/>
      <c r="G11" s="137"/>
      <c r="H11" s="38"/>
      <c r="I11" s="18"/>
      <c r="J11" s="18"/>
      <c r="K11" s="18"/>
      <c r="L11" s="18"/>
      <c r="M11" s="18"/>
      <c r="N11" s="18"/>
      <c r="O11" s="18"/>
    </row>
    <row r="12" spans="1:15" ht="12.75">
      <c r="A12" s="42"/>
      <c r="B12" s="16" t="s">
        <v>13</v>
      </c>
      <c r="C12" s="49">
        <v>0.15</v>
      </c>
      <c r="D12" s="17">
        <v>12.8</v>
      </c>
      <c r="E12" s="17">
        <v>42.4</v>
      </c>
      <c r="F12" s="17">
        <v>61.6</v>
      </c>
      <c r="G12" s="137">
        <v>46.6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</row>
    <row r="13" spans="1:15" ht="12.75">
      <c r="A13" s="41"/>
      <c r="B13" s="16" t="s">
        <v>14</v>
      </c>
      <c r="C13" s="47">
        <v>582.475</v>
      </c>
      <c r="D13" s="17">
        <v>689.5</v>
      </c>
      <c r="E13" s="17">
        <v>840.9</v>
      </c>
      <c r="F13" s="17">
        <v>967.5</v>
      </c>
      <c r="G13" s="137">
        <v>754.5</v>
      </c>
      <c r="H13" s="38">
        <v>850.92525</v>
      </c>
      <c r="I13" s="38">
        <v>900.7577250000002</v>
      </c>
      <c r="J13" s="38">
        <v>956.0873805000002</v>
      </c>
      <c r="K13" s="38">
        <v>867.7995666900002</v>
      </c>
      <c r="L13" s="38">
        <v>911.1895450245003</v>
      </c>
      <c r="M13" s="38">
        <v>956.7490222757253</v>
      </c>
      <c r="N13" s="38">
        <v>1004.5864733895116</v>
      </c>
      <c r="O13" s="38">
        <v>1054.8157970589873</v>
      </c>
    </row>
    <row r="14" spans="1:15" ht="12.75">
      <c r="A14" s="41"/>
      <c r="B14" s="19" t="s">
        <v>16</v>
      </c>
      <c r="C14" s="48">
        <v>146.3125</v>
      </c>
      <c r="D14" s="17">
        <v>212.5</v>
      </c>
      <c r="E14" s="17">
        <v>219.3</v>
      </c>
      <c r="F14" s="17">
        <v>227.2</v>
      </c>
      <c r="G14" s="137">
        <v>122.1</v>
      </c>
      <c r="H14" s="38">
        <v>143.71984375</v>
      </c>
      <c r="I14" s="38">
        <v>145.31866428125</v>
      </c>
      <c r="J14" s="38">
        <v>147.0983275534375</v>
      </c>
      <c r="K14" s="38">
        <v>132.8904767634375</v>
      </c>
      <c r="L14" s="38">
        <v>135.54828629870624</v>
      </c>
      <c r="M14" s="38">
        <v>138.25925202468036</v>
      </c>
      <c r="N14" s="38">
        <v>142.4070295854208</v>
      </c>
      <c r="O14" s="38">
        <v>146.67924047298342</v>
      </c>
    </row>
    <row r="15" spans="1:15" ht="12.75">
      <c r="A15" s="41"/>
      <c r="B15" s="19" t="s">
        <v>17</v>
      </c>
      <c r="C15" s="48">
        <v>11.53125</v>
      </c>
      <c r="D15" s="17">
        <v>15.6</v>
      </c>
      <c r="E15" s="17">
        <v>25.3</v>
      </c>
      <c r="F15" s="17">
        <v>21.5</v>
      </c>
      <c r="G15" s="137">
        <v>13.2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</row>
    <row r="16" spans="1:15" ht="12.75">
      <c r="A16" s="42" t="s">
        <v>137</v>
      </c>
      <c r="B16" s="5"/>
      <c r="C16" s="49"/>
      <c r="D16" s="17"/>
      <c r="E16" s="17"/>
      <c r="F16" s="17"/>
      <c r="G16" s="137"/>
      <c r="H16" s="38"/>
      <c r="I16" s="18"/>
      <c r="J16" s="18"/>
      <c r="K16" s="18"/>
      <c r="L16" s="18"/>
      <c r="M16" s="18"/>
      <c r="N16" s="18"/>
      <c r="O16" s="18"/>
    </row>
    <row r="17" spans="1:15" ht="12.75">
      <c r="A17" s="42"/>
      <c r="B17" s="16" t="s">
        <v>13</v>
      </c>
      <c r="C17" s="49"/>
      <c r="D17" s="17"/>
      <c r="E17" s="17"/>
      <c r="F17" s="17"/>
      <c r="G17" s="137"/>
      <c r="H17" s="38"/>
      <c r="I17" s="38"/>
      <c r="J17" s="38"/>
      <c r="K17" s="38">
        <v>0</v>
      </c>
      <c r="L17" s="38">
        <v>0</v>
      </c>
      <c r="M17" s="38">
        <v>0</v>
      </c>
      <c r="N17" s="38">
        <v>0</v>
      </c>
      <c r="O17" s="38">
        <v>0</v>
      </c>
    </row>
    <row r="18" spans="1:15" ht="12.75">
      <c r="A18" s="41"/>
      <c r="B18" s="16" t="s">
        <v>14</v>
      </c>
      <c r="C18" s="47"/>
      <c r="D18" s="17"/>
      <c r="E18" s="17"/>
      <c r="F18" s="17"/>
      <c r="G18" s="137"/>
      <c r="H18" s="38"/>
      <c r="I18" s="38"/>
      <c r="J18" s="38"/>
      <c r="K18" s="38">
        <v>151.14939840000005</v>
      </c>
      <c r="L18" s="38">
        <v>169.28732620800008</v>
      </c>
      <c r="M18" s="38">
        <v>182.8303123046401</v>
      </c>
      <c r="N18" s="38">
        <v>195.62843416596493</v>
      </c>
      <c r="O18" s="38">
        <v>209.32242455758248</v>
      </c>
    </row>
    <row r="19" spans="1:15" ht="12.75">
      <c r="A19" s="41"/>
      <c r="B19" s="19" t="s">
        <v>16</v>
      </c>
      <c r="C19" s="48"/>
      <c r="D19" s="17"/>
      <c r="E19" s="17"/>
      <c r="F19" s="17"/>
      <c r="G19" s="137"/>
      <c r="H19" s="38"/>
      <c r="I19" s="38"/>
      <c r="J19" s="38"/>
      <c r="K19" s="38">
        <v>17.65422373345313</v>
      </c>
      <c r="L19" s="38">
        <v>18.890019394794848</v>
      </c>
      <c r="M19" s="38">
        <v>19.645620170586643</v>
      </c>
      <c r="N19" s="38">
        <v>20.43144497741011</v>
      </c>
      <c r="O19" s="38">
        <v>21.453017226280615</v>
      </c>
    </row>
    <row r="20" spans="1:15" ht="12.75">
      <c r="A20" s="41"/>
      <c r="B20" s="19" t="s">
        <v>17</v>
      </c>
      <c r="C20" s="48"/>
      <c r="D20" s="17"/>
      <c r="E20" s="17"/>
      <c r="F20" s="17"/>
      <c r="G20" s="137"/>
      <c r="H20" s="38"/>
      <c r="I20" s="38"/>
      <c r="J20" s="38"/>
      <c r="K20" s="38">
        <v>0</v>
      </c>
      <c r="L20" s="38">
        <v>0</v>
      </c>
      <c r="M20" s="38">
        <v>0</v>
      </c>
      <c r="N20" s="38">
        <v>0</v>
      </c>
      <c r="O20" s="38">
        <v>0</v>
      </c>
    </row>
    <row r="21" spans="1:15" ht="12.75">
      <c r="A21" s="42" t="s">
        <v>69</v>
      </c>
      <c r="B21" s="5"/>
      <c r="C21" s="49"/>
      <c r="D21" s="17"/>
      <c r="E21" s="17"/>
      <c r="F21" s="17"/>
      <c r="G21" s="137"/>
      <c r="H21" s="38"/>
      <c r="I21" s="18"/>
      <c r="J21" s="18"/>
      <c r="K21" s="18"/>
      <c r="L21" s="18"/>
      <c r="M21" s="18"/>
      <c r="N21" s="18"/>
      <c r="O21" s="18"/>
    </row>
    <row r="22" spans="1:15" ht="12.75">
      <c r="A22" s="42"/>
      <c r="B22" s="16" t="s">
        <v>13</v>
      </c>
      <c r="C22" s="49">
        <v>5.475</v>
      </c>
      <c r="D22" s="17">
        <v>4.4</v>
      </c>
      <c r="E22" s="17">
        <v>26.3</v>
      </c>
      <c r="F22" s="17">
        <v>45.9</v>
      </c>
      <c r="G22" s="137">
        <v>43.1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138">
        <v>0</v>
      </c>
    </row>
    <row r="23" spans="1:15" ht="12.75">
      <c r="A23" s="41"/>
      <c r="B23" s="16" t="s">
        <v>14</v>
      </c>
      <c r="C23" s="47">
        <v>438.4</v>
      </c>
      <c r="D23" s="17">
        <v>523.9</v>
      </c>
      <c r="E23" s="17">
        <v>623</v>
      </c>
      <c r="F23" s="17">
        <v>763.6</v>
      </c>
      <c r="G23" s="137">
        <v>790</v>
      </c>
      <c r="H23" s="38">
        <v>885.2202500000001</v>
      </c>
      <c r="I23" s="38">
        <v>939.8175550000002</v>
      </c>
      <c r="J23" s="38">
        <v>997.7945846000002</v>
      </c>
      <c r="K23" s="38">
        <v>877.5539877300002</v>
      </c>
      <c r="L23" s="38">
        <v>921.4316871165003</v>
      </c>
      <c r="M23" s="38">
        <v>967.5032714723253</v>
      </c>
      <c r="N23" s="38">
        <v>1015.8784350459416</v>
      </c>
      <c r="O23" s="138">
        <v>1066.6723567982388</v>
      </c>
    </row>
    <row r="24" spans="1:15" ht="12.75">
      <c r="A24" s="41"/>
      <c r="B24" s="19" t="s">
        <v>16</v>
      </c>
      <c r="C24" s="48">
        <v>101.25</v>
      </c>
      <c r="D24" s="17">
        <v>138.1</v>
      </c>
      <c r="E24" s="17">
        <v>178.2</v>
      </c>
      <c r="F24" s="17">
        <v>181.2</v>
      </c>
      <c r="G24" s="137">
        <v>137.7</v>
      </c>
      <c r="H24" s="38">
        <v>151.67359375</v>
      </c>
      <c r="I24" s="38">
        <v>153.3645546875</v>
      </c>
      <c r="J24" s="38">
        <v>157.78778182812502</v>
      </c>
      <c r="K24" s="38">
        <v>146.64448346953125</v>
      </c>
      <c r="L24" s="38">
        <v>155.44315247770314</v>
      </c>
      <c r="M24" s="38">
        <v>160.10644705203424</v>
      </c>
      <c r="N24" s="38">
        <v>164.90964046359528</v>
      </c>
      <c r="O24" s="138">
        <v>171.5060260821391</v>
      </c>
    </row>
    <row r="25" spans="1:15" ht="12.75">
      <c r="A25" s="41"/>
      <c r="B25" s="19" t="s">
        <v>17</v>
      </c>
      <c r="C25" s="48">
        <v>2.875</v>
      </c>
      <c r="D25" s="17">
        <v>7.2</v>
      </c>
      <c r="E25" s="17">
        <v>5.2</v>
      </c>
      <c r="F25" s="17">
        <v>6</v>
      </c>
      <c r="G25" s="137">
        <v>3.9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138">
        <v>0</v>
      </c>
    </row>
    <row r="26" spans="1:15" ht="12.75">
      <c r="A26" s="42" t="s">
        <v>138</v>
      </c>
      <c r="B26" s="5"/>
      <c r="C26" s="49"/>
      <c r="D26" s="17"/>
      <c r="E26" s="17"/>
      <c r="F26" s="17"/>
      <c r="G26" s="137"/>
      <c r="H26" s="38"/>
      <c r="I26" s="38"/>
      <c r="J26" s="38"/>
      <c r="K26" s="38"/>
      <c r="L26" s="38"/>
      <c r="M26" s="38"/>
      <c r="N26" s="38"/>
      <c r="O26" s="138"/>
    </row>
    <row r="27" spans="1:15" ht="12.75">
      <c r="A27" s="42"/>
      <c r="B27" s="16" t="s">
        <v>13</v>
      </c>
      <c r="C27" s="49"/>
      <c r="D27" s="17"/>
      <c r="E27" s="17"/>
      <c r="F27" s="17"/>
      <c r="G27" s="137"/>
      <c r="H27" s="38"/>
      <c r="I27" s="38"/>
      <c r="J27" s="38"/>
      <c r="K27" s="38">
        <v>0</v>
      </c>
      <c r="L27" s="38">
        <v>0</v>
      </c>
      <c r="M27" s="38">
        <v>0</v>
      </c>
      <c r="N27" s="38">
        <v>0</v>
      </c>
      <c r="O27" s="138">
        <v>0</v>
      </c>
    </row>
    <row r="28" spans="1:15" ht="12.75">
      <c r="A28" s="41"/>
      <c r="B28" s="16" t="s">
        <v>14</v>
      </c>
      <c r="C28" s="47"/>
      <c r="D28" s="17"/>
      <c r="E28" s="17"/>
      <c r="F28" s="17"/>
      <c r="G28" s="137"/>
      <c r="H28" s="38"/>
      <c r="I28" s="38"/>
      <c r="J28" s="38"/>
      <c r="K28" s="38">
        <v>186.90481051</v>
      </c>
      <c r="L28" s="38">
        <v>209.33338777120002</v>
      </c>
      <c r="M28" s="38">
        <v>221.89339103747204</v>
      </c>
      <c r="N28" s="38">
        <v>235.20699449972037</v>
      </c>
      <c r="O28" s="138">
        <v>249.3194141697036</v>
      </c>
    </row>
    <row r="29" spans="1:15" ht="12.75">
      <c r="A29" s="41"/>
      <c r="B29" s="19" t="s">
        <v>16</v>
      </c>
      <c r="C29" s="48"/>
      <c r="D29" s="17"/>
      <c r="E29" s="17"/>
      <c r="F29" s="17"/>
      <c r="G29" s="137"/>
      <c r="H29" s="38"/>
      <c r="I29" s="38"/>
      <c r="J29" s="38"/>
      <c r="K29" s="38">
        <v>18.48889638</v>
      </c>
      <c r="L29" s="38">
        <v>18.8586743076</v>
      </c>
      <c r="M29" s="38">
        <v>19.235847793752</v>
      </c>
      <c r="N29" s="38">
        <v>19.81292322756456</v>
      </c>
      <c r="O29" s="138">
        <v>20.4073109243915</v>
      </c>
    </row>
    <row r="30" spans="1:15" ht="12.75">
      <c r="A30" s="41"/>
      <c r="B30" s="19" t="s">
        <v>17</v>
      </c>
      <c r="C30" s="48"/>
      <c r="D30" s="17"/>
      <c r="E30" s="17"/>
      <c r="F30" s="17"/>
      <c r="G30" s="137"/>
      <c r="H30" s="38"/>
      <c r="I30" s="38"/>
      <c r="J30" s="38"/>
      <c r="K30" s="38">
        <v>0</v>
      </c>
      <c r="L30" s="38">
        <v>0</v>
      </c>
      <c r="M30" s="38">
        <v>0</v>
      </c>
      <c r="N30" s="38">
        <v>0</v>
      </c>
      <c r="O30" s="138">
        <v>0</v>
      </c>
    </row>
    <row r="31" spans="1:15" ht="12.75">
      <c r="A31" s="42" t="s">
        <v>70</v>
      </c>
      <c r="B31" s="5"/>
      <c r="C31" s="49"/>
      <c r="D31" s="17"/>
      <c r="E31" s="17"/>
      <c r="F31" s="17"/>
      <c r="G31" s="137"/>
      <c r="H31" s="38"/>
      <c r="I31" s="18"/>
      <c r="J31" s="18"/>
      <c r="K31" s="18"/>
      <c r="L31" s="18"/>
      <c r="M31" s="18"/>
      <c r="N31" s="18"/>
      <c r="O31" s="138"/>
    </row>
    <row r="32" spans="1:15" ht="12.75">
      <c r="A32" s="42"/>
      <c r="B32" s="16" t="s">
        <v>13</v>
      </c>
      <c r="C32" s="49">
        <v>2.475</v>
      </c>
      <c r="D32" s="17">
        <v>2.5</v>
      </c>
      <c r="E32" s="17">
        <v>10.2</v>
      </c>
      <c r="F32" s="17">
        <v>8.3</v>
      </c>
      <c r="G32" s="137">
        <v>50.2</v>
      </c>
      <c r="H32" s="38"/>
      <c r="I32" s="18"/>
      <c r="J32" s="18"/>
      <c r="K32" s="18"/>
      <c r="L32" s="18"/>
      <c r="M32" s="18"/>
      <c r="N32" s="18"/>
      <c r="O32" s="138"/>
    </row>
    <row r="33" spans="1:15" ht="12.75">
      <c r="A33" s="41"/>
      <c r="B33" s="16" t="s">
        <v>14</v>
      </c>
      <c r="C33" s="47">
        <v>66.875</v>
      </c>
      <c r="D33" s="17">
        <v>49.3</v>
      </c>
      <c r="E33" s="17">
        <v>65.3</v>
      </c>
      <c r="F33" s="17">
        <v>221</v>
      </c>
      <c r="G33" s="137">
        <v>308.4</v>
      </c>
      <c r="H33" s="38"/>
      <c r="I33" s="18"/>
      <c r="J33" s="18"/>
      <c r="K33" s="18"/>
      <c r="L33" s="18"/>
      <c r="M33" s="18"/>
      <c r="N33" s="18"/>
      <c r="O33" s="138"/>
    </row>
    <row r="34" spans="1:15" ht="12.75">
      <c r="A34" s="41"/>
      <c r="B34" s="19" t="s">
        <v>16</v>
      </c>
      <c r="C34" s="48">
        <v>10.78125</v>
      </c>
      <c r="D34" s="17">
        <v>6.9</v>
      </c>
      <c r="E34" s="17">
        <v>14.9</v>
      </c>
      <c r="F34" s="17">
        <v>66.4</v>
      </c>
      <c r="G34" s="137">
        <v>35.9</v>
      </c>
      <c r="H34" s="38"/>
      <c r="I34" s="18"/>
      <c r="J34" s="18"/>
      <c r="K34" s="18"/>
      <c r="L34" s="18"/>
      <c r="M34" s="18"/>
      <c r="N34" s="18"/>
      <c r="O34" s="138"/>
    </row>
    <row r="35" spans="1:15" ht="12.75">
      <c r="A35" s="41"/>
      <c r="B35" s="19" t="s">
        <v>17</v>
      </c>
      <c r="C35" s="48">
        <v>0.65625</v>
      </c>
      <c r="D35" s="17">
        <v>0.4</v>
      </c>
      <c r="E35" s="17">
        <v>1.2</v>
      </c>
      <c r="F35" s="17">
        <v>3.2</v>
      </c>
      <c r="G35" s="137">
        <v>1.8</v>
      </c>
      <c r="H35" s="38"/>
      <c r="I35" s="18"/>
      <c r="J35" s="18"/>
      <c r="K35" s="18"/>
      <c r="L35" s="18"/>
      <c r="M35" s="18"/>
      <c r="N35" s="18"/>
      <c r="O35" s="138"/>
    </row>
    <row r="36" spans="1:15" ht="12.75">
      <c r="A36" s="42" t="s">
        <v>71</v>
      </c>
      <c r="B36" s="5"/>
      <c r="C36" s="49"/>
      <c r="D36" s="17"/>
      <c r="E36" s="17"/>
      <c r="F36" s="17"/>
      <c r="G36" s="137"/>
      <c r="H36" s="38"/>
      <c r="I36" s="18"/>
      <c r="J36" s="18"/>
      <c r="K36" s="18"/>
      <c r="L36" s="18"/>
      <c r="M36" s="18"/>
      <c r="N36" s="18"/>
      <c r="O36" s="138"/>
    </row>
    <row r="37" spans="1:15" ht="12.75">
      <c r="A37" s="42"/>
      <c r="B37" s="16" t="s">
        <v>13</v>
      </c>
      <c r="C37" s="49"/>
      <c r="D37" s="17"/>
      <c r="E37" s="17"/>
      <c r="F37" s="17"/>
      <c r="G37" s="137"/>
      <c r="H37" s="38"/>
      <c r="I37" s="18"/>
      <c r="J37" s="18"/>
      <c r="K37" s="18"/>
      <c r="L37" s="18"/>
      <c r="M37" s="18"/>
      <c r="N37" s="18"/>
      <c r="O37" s="138"/>
    </row>
    <row r="38" spans="1:15" ht="12.75">
      <c r="A38" s="43"/>
      <c r="B38" s="16" t="s">
        <v>14</v>
      </c>
      <c r="C38" s="47"/>
      <c r="D38" s="17"/>
      <c r="E38" s="17"/>
      <c r="F38" s="17"/>
      <c r="G38" s="137"/>
      <c r="H38" s="38"/>
      <c r="I38" s="18"/>
      <c r="J38" s="18"/>
      <c r="K38" s="18"/>
      <c r="L38" s="18"/>
      <c r="M38" s="18"/>
      <c r="N38" s="18"/>
      <c r="O38" s="138"/>
    </row>
    <row r="39" spans="1:15" ht="12.75">
      <c r="A39" s="43"/>
      <c r="B39" s="19" t="s">
        <v>16</v>
      </c>
      <c r="C39" s="48"/>
      <c r="D39" s="17"/>
      <c r="E39" s="17"/>
      <c r="F39" s="17"/>
      <c r="G39" s="137"/>
      <c r="H39" s="38"/>
      <c r="I39" s="18"/>
      <c r="J39" s="18"/>
      <c r="K39" s="18"/>
      <c r="L39" s="18"/>
      <c r="M39" s="18"/>
      <c r="N39" s="18"/>
      <c r="O39" s="138"/>
    </row>
    <row r="40" spans="1:15" ht="12.75">
      <c r="A40" s="43"/>
      <c r="B40" s="19" t="s">
        <v>17</v>
      </c>
      <c r="C40" s="48"/>
      <c r="D40" s="17"/>
      <c r="E40" s="17"/>
      <c r="F40" s="17"/>
      <c r="G40" s="137"/>
      <c r="H40" s="38"/>
      <c r="I40" s="18"/>
      <c r="J40" s="18"/>
      <c r="K40" s="18"/>
      <c r="L40" s="18"/>
      <c r="M40" s="18"/>
      <c r="N40" s="18"/>
      <c r="O40" s="138"/>
    </row>
    <row r="41" spans="1:15" ht="12.75">
      <c r="A41" s="42" t="s">
        <v>139</v>
      </c>
      <c r="B41" s="5"/>
      <c r="C41" s="49"/>
      <c r="D41" s="17"/>
      <c r="E41" s="17"/>
      <c r="F41" s="17"/>
      <c r="G41" s="137"/>
      <c r="O41" s="139"/>
    </row>
    <row r="42" spans="1:15" ht="12.75">
      <c r="A42" s="42"/>
      <c r="B42" s="16" t="s">
        <v>13</v>
      </c>
      <c r="C42" s="49"/>
      <c r="D42" s="17"/>
      <c r="E42" s="17"/>
      <c r="F42" s="17"/>
      <c r="G42" s="137"/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138">
        <v>0</v>
      </c>
    </row>
    <row r="43" spans="1:15" ht="12.75">
      <c r="A43" s="41"/>
      <c r="B43" s="16" t="s">
        <v>14</v>
      </c>
      <c r="C43" s="47"/>
      <c r="D43" s="17"/>
      <c r="E43" s="17"/>
      <c r="F43" s="17"/>
      <c r="G43" s="137"/>
      <c r="H43" s="38">
        <v>450.116</v>
      </c>
      <c r="I43" s="38">
        <v>481.2091650000001</v>
      </c>
      <c r="J43" s="38">
        <v>513.6025995000001</v>
      </c>
      <c r="K43" s="38">
        <v>551.2283796450001</v>
      </c>
      <c r="L43" s="38">
        <v>336.34417432245004</v>
      </c>
      <c r="M43" s="38">
        <v>353.6880726958846</v>
      </c>
      <c r="N43" s="38">
        <v>371.37247633067886</v>
      </c>
      <c r="O43" s="138">
        <v>389.9411001472128</v>
      </c>
    </row>
    <row r="44" spans="1:15" ht="12.75">
      <c r="A44" s="41"/>
      <c r="B44" s="19" t="s">
        <v>16</v>
      </c>
      <c r="C44" s="48"/>
      <c r="D44" s="17"/>
      <c r="E44" s="17"/>
      <c r="F44" s="17"/>
      <c r="G44" s="137"/>
      <c r="H44" s="38">
        <v>61.3259375</v>
      </c>
      <c r="I44" s="38">
        <v>62.884493750000004</v>
      </c>
      <c r="J44" s="38">
        <v>64.48418225</v>
      </c>
      <c r="K44" s="38">
        <v>66.4187077175</v>
      </c>
      <c r="L44" s="38">
        <v>31.040155798987502</v>
      </c>
      <c r="M44" s="38">
        <v>31.971360472957127</v>
      </c>
      <c r="N44" s="38">
        <v>32.93050128714584</v>
      </c>
      <c r="O44" s="138">
        <v>34.24772133863167</v>
      </c>
    </row>
    <row r="45" spans="1:15" ht="12.75">
      <c r="A45" s="41"/>
      <c r="B45" s="19" t="s">
        <v>17</v>
      </c>
      <c r="C45" s="48"/>
      <c r="D45" s="17"/>
      <c r="E45" s="17"/>
      <c r="F45" s="17"/>
      <c r="G45" s="137"/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138">
        <v>0</v>
      </c>
    </row>
    <row r="46" spans="1:15" ht="12.75">
      <c r="A46" s="42" t="s">
        <v>140</v>
      </c>
      <c r="B46" s="5"/>
      <c r="C46" s="49"/>
      <c r="D46" s="17"/>
      <c r="E46" s="17"/>
      <c r="F46" s="17"/>
      <c r="G46" s="137"/>
      <c r="H46" s="38"/>
      <c r="I46" s="38"/>
      <c r="J46" s="38"/>
      <c r="K46" s="38"/>
      <c r="L46" s="38"/>
      <c r="M46" s="38"/>
      <c r="N46" s="38"/>
      <c r="O46" s="138"/>
    </row>
    <row r="47" spans="1:15" ht="12.75">
      <c r="A47" s="42"/>
      <c r="B47" s="16" t="s">
        <v>13</v>
      </c>
      <c r="C47" s="49"/>
      <c r="D47" s="17"/>
      <c r="E47" s="17"/>
      <c r="F47" s="17"/>
      <c r="G47" s="137"/>
      <c r="H47" s="38"/>
      <c r="I47" s="38"/>
      <c r="J47" s="38"/>
      <c r="K47" s="38"/>
      <c r="L47" s="38">
        <v>0</v>
      </c>
      <c r="M47" s="38">
        <v>0</v>
      </c>
      <c r="N47" s="38">
        <v>0</v>
      </c>
      <c r="O47" s="138">
        <v>0</v>
      </c>
    </row>
    <row r="48" spans="1:15" ht="12.75">
      <c r="A48" s="43"/>
      <c r="B48" s="16" t="s">
        <v>14</v>
      </c>
      <c r="C48" s="47"/>
      <c r="D48" s="17"/>
      <c r="E48" s="17"/>
      <c r="F48" s="17"/>
      <c r="G48" s="137"/>
      <c r="H48" s="38"/>
      <c r="I48" s="38"/>
      <c r="J48" s="38"/>
      <c r="K48" s="38"/>
      <c r="L48" s="38">
        <v>249.88371566400008</v>
      </c>
      <c r="M48" s="38">
        <v>269.8744129171201</v>
      </c>
      <c r="N48" s="38">
        <v>291.4643659504897</v>
      </c>
      <c r="O48" s="138">
        <v>314.7815152265289</v>
      </c>
    </row>
    <row r="49" spans="1:15" ht="12.75">
      <c r="A49" s="43"/>
      <c r="B49" s="19" t="s">
        <v>16</v>
      </c>
      <c r="C49" s="48"/>
      <c r="D49" s="17"/>
      <c r="E49" s="17"/>
      <c r="F49" s="17"/>
      <c r="G49" s="137"/>
      <c r="H49" s="38"/>
      <c r="I49" s="38"/>
      <c r="J49" s="38"/>
      <c r="K49" s="38"/>
      <c r="L49" s="38">
        <v>37.733939491300006</v>
      </c>
      <c r="M49" s="38">
        <v>39.24329707095201</v>
      </c>
      <c r="N49" s="38">
        <v>40.813028953790095</v>
      </c>
      <c r="O49" s="138">
        <v>42.8536804014796</v>
      </c>
    </row>
    <row r="50" spans="1:15" ht="12.75">
      <c r="A50" s="43"/>
      <c r="B50" s="19" t="s">
        <v>17</v>
      </c>
      <c r="C50" s="48"/>
      <c r="D50" s="17"/>
      <c r="E50" s="17"/>
      <c r="F50" s="17"/>
      <c r="G50" s="137"/>
      <c r="H50" s="38"/>
      <c r="I50" s="38"/>
      <c r="J50" s="38"/>
      <c r="K50" s="38"/>
      <c r="L50" s="38">
        <v>0</v>
      </c>
      <c r="M50" s="38">
        <v>0</v>
      </c>
      <c r="N50" s="38">
        <v>0</v>
      </c>
      <c r="O50" s="138">
        <v>0</v>
      </c>
    </row>
    <row r="51" spans="1:15" ht="12.75">
      <c r="A51" s="42" t="s">
        <v>32</v>
      </c>
      <c r="B51" s="5"/>
      <c r="C51" s="49"/>
      <c r="D51" s="17"/>
      <c r="E51" s="17"/>
      <c r="F51" s="17"/>
      <c r="G51" s="137"/>
      <c r="H51" s="38"/>
      <c r="I51" s="18"/>
      <c r="J51" s="18"/>
      <c r="K51" s="18"/>
      <c r="L51" s="18"/>
      <c r="M51" s="18"/>
      <c r="N51" s="18"/>
      <c r="O51" s="138"/>
    </row>
    <row r="52" spans="1:15" ht="12.75">
      <c r="A52" s="42"/>
      <c r="B52" s="16" t="s">
        <v>13</v>
      </c>
      <c r="C52" s="49">
        <v>155.725</v>
      </c>
      <c r="D52" s="17">
        <v>155.4</v>
      </c>
      <c r="E52" s="17">
        <v>89.9</v>
      </c>
      <c r="F52" s="17">
        <v>190.7</v>
      </c>
      <c r="G52" s="137">
        <f>343.5-G57</f>
        <v>27.80000000000001</v>
      </c>
      <c r="H52" s="38">
        <v>113.55257297837373</v>
      </c>
      <c r="I52" s="38">
        <v>123.19685475114275</v>
      </c>
      <c r="J52" s="38">
        <v>132.0220014961756</v>
      </c>
      <c r="K52" s="38">
        <v>141.10419919535843</v>
      </c>
      <c r="L52" s="38">
        <v>150.06432371322543</v>
      </c>
      <c r="M52" s="38">
        <v>159.34420669522916</v>
      </c>
      <c r="N52" s="38">
        <v>162.25977312580088</v>
      </c>
      <c r="O52" s="138">
        <v>167.93885627990207</v>
      </c>
    </row>
    <row r="53" spans="1:15" ht="12.75">
      <c r="A53" s="43"/>
      <c r="B53" s="16" t="s">
        <v>14</v>
      </c>
      <c r="C53" s="47">
        <v>607.325</v>
      </c>
      <c r="D53" s="17">
        <v>635.4</v>
      </c>
      <c r="E53" s="17">
        <v>634.7</v>
      </c>
      <c r="F53" s="17">
        <v>814.1</v>
      </c>
      <c r="G53" s="137">
        <f>1708.4-G58</f>
        <v>1203.3000000000002</v>
      </c>
      <c r="H53" s="38">
        <v>957.8691742196089</v>
      </c>
      <c r="I53" s="38">
        <v>1002.4796781321032</v>
      </c>
      <c r="J53" s="38">
        <v>1034.542697004147</v>
      </c>
      <c r="K53" s="38">
        <v>1072.420490058384</v>
      </c>
      <c r="L53" s="38">
        <v>1110.9711011718018</v>
      </c>
      <c r="M53" s="38">
        <v>1148.3218682820582</v>
      </c>
      <c r="N53" s="38">
        <v>1168.7454618305096</v>
      </c>
      <c r="O53" s="138">
        <v>1192.7589352780496</v>
      </c>
    </row>
    <row r="54" spans="1:15" ht="12.75">
      <c r="A54" s="43"/>
      <c r="B54" s="19" t="s">
        <v>16</v>
      </c>
      <c r="C54" s="48">
        <v>385.75</v>
      </c>
      <c r="D54" s="17">
        <v>363.2</v>
      </c>
      <c r="E54" s="17">
        <v>349.5</v>
      </c>
      <c r="F54" s="17">
        <v>362.2</v>
      </c>
      <c r="G54" s="137">
        <f>490.6-G59</f>
        <v>456.19375</v>
      </c>
      <c r="H54" s="38">
        <v>406.35298154914983</v>
      </c>
      <c r="I54" s="38">
        <v>422.77038310960563</v>
      </c>
      <c r="J54" s="38">
        <v>430.8537657812667</v>
      </c>
      <c r="K54" s="38">
        <v>437.8656473070883</v>
      </c>
      <c r="L54" s="38">
        <v>444.27570593438156</v>
      </c>
      <c r="M54" s="38">
        <v>450.4487880022522</v>
      </c>
      <c r="N54" s="38">
        <v>461.3941244772589</v>
      </c>
      <c r="O54" s="138">
        <v>475.5960427607759</v>
      </c>
    </row>
    <row r="55" spans="1:15" ht="12.75">
      <c r="A55" s="44"/>
      <c r="B55" s="19" t="s">
        <v>17</v>
      </c>
      <c r="C55" s="48">
        <v>62.625</v>
      </c>
      <c r="D55" s="17">
        <v>69.9</v>
      </c>
      <c r="E55" s="17">
        <v>87</v>
      </c>
      <c r="F55" s="17">
        <v>41</v>
      </c>
      <c r="G55" s="137">
        <f>46.1-G60</f>
        <v>45.35</v>
      </c>
      <c r="H55" s="38">
        <v>58.75981565060103</v>
      </c>
      <c r="I55" s="38">
        <v>60.52874568455079</v>
      </c>
      <c r="J55" s="38">
        <v>61.68351994442095</v>
      </c>
      <c r="K55" s="38">
        <v>62.686221500168465</v>
      </c>
      <c r="L55" s="38">
        <v>63.60189115386508</v>
      </c>
      <c r="M55" s="38">
        <v>64.48395147676939</v>
      </c>
      <c r="N55" s="38">
        <v>65.77026033838057</v>
      </c>
      <c r="O55" s="138">
        <v>67.6441232250868</v>
      </c>
    </row>
    <row r="56" spans="1:15" ht="12.75">
      <c r="A56" s="23" t="s">
        <v>141</v>
      </c>
      <c r="B56" s="5"/>
      <c r="C56" s="5"/>
      <c r="D56" s="5"/>
      <c r="E56" s="5"/>
      <c r="F56" s="5"/>
      <c r="G56" s="140"/>
      <c r="H56" s="141"/>
      <c r="O56" s="139"/>
    </row>
    <row r="57" spans="1:15" ht="12.75">
      <c r="A57" s="5"/>
      <c r="B57" s="16" t="s">
        <v>13</v>
      </c>
      <c r="C57" s="47"/>
      <c r="D57" s="17"/>
      <c r="E57" s="17"/>
      <c r="F57" s="17"/>
      <c r="G57" s="137">
        <v>315.7</v>
      </c>
      <c r="H57" s="38">
        <v>357.713477841663</v>
      </c>
      <c r="I57" s="38">
        <v>379.2795310495965</v>
      </c>
      <c r="J57" s="38">
        <v>412.7577019933685</v>
      </c>
      <c r="K57" s="38">
        <v>452.8998938909011</v>
      </c>
      <c r="L57" s="38">
        <v>476.5635531033697</v>
      </c>
      <c r="M57" s="38">
        <v>498.41016819571865</v>
      </c>
      <c r="N57" s="38">
        <v>510.7195718654434</v>
      </c>
      <c r="O57" s="138">
        <v>522.7876146788991</v>
      </c>
    </row>
    <row r="58" spans="1:15" ht="12.75">
      <c r="A58" s="41"/>
      <c r="B58" s="16" t="s">
        <v>14</v>
      </c>
      <c r="C58" s="47"/>
      <c r="D58" s="17"/>
      <c r="E58" s="17"/>
      <c r="F58" s="17"/>
      <c r="G58" s="137">
        <v>505.1</v>
      </c>
      <c r="H58" s="38">
        <v>572.318902938942</v>
      </c>
      <c r="I58" s="38">
        <v>606.8232218344988</v>
      </c>
      <c r="J58" s="38">
        <v>660.3861744594567</v>
      </c>
      <c r="K58" s="38">
        <v>724.6111384361551</v>
      </c>
      <c r="L58" s="38">
        <v>762.4714940529365</v>
      </c>
      <c r="M58" s="38">
        <v>797.4246941896026</v>
      </c>
      <c r="N58" s="38">
        <v>817.1189602446484</v>
      </c>
      <c r="O58" s="138">
        <v>836.4270642201835</v>
      </c>
    </row>
    <row r="59" spans="1:15" ht="12.75">
      <c r="A59" s="41"/>
      <c r="B59" s="19" t="s">
        <v>16</v>
      </c>
      <c r="C59" s="48"/>
      <c r="D59" s="17"/>
      <c r="E59" s="17"/>
      <c r="F59" s="17"/>
      <c r="G59" s="137">
        <v>34.40625</v>
      </c>
      <c r="H59" s="38">
        <v>46.2333984375</v>
      </c>
      <c r="I59" s="38">
        <v>57.52294921875</v>
      </c>
      <c r="J59" s="38">
        <v>68.8125</v>
      </c>
      <c r="K59" s="38">
        <v>80.6396484375</v>
      </c>
      <c r="L59" s="38">
        <v>80.6396484375</v>
      </c>
      <c r="M59" s="38">
        <v>80.6396484375</v>
      </c>
      <c r="N59" s="38">
        <v>80.6396484375</v>
      </c>
      <c r="O59" s="138">
        <v>80.6396484375</v>
      </c>
    </row>
    <row r="60" spans="1:15" ht="12.75">
      <c r="A60" s="41"/>
      <c r="B60" s="19" t="s">
        <v>17</v>
      </c>
      <c r="C60" s="48"/>
      <c r="D60" s="17"/>
      <c r="E60" s="17"/>
      <c r="F60" s="17"/>
      <c r="G60" s="137">
        <v>0.75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138">
        <v>0</v>
      </c>
    </row>
    <row r="61" spans="1:15" ht="12.75">
      <c r="A61" s="42" t="s">
        <v>72</v>
      </c>
      <c r="B61" s="5"/>
      <c r="C61" s="49"/>
      <c r="D61" s="17"/>
      <c r="E61" s="17"/>
      <c r="F61" s="17"/>
      <c r="G61" s="137"/>
      <c r="H61" s="18"/>
      <c r="I61" s="18"/>
      <c r="J61" s="18"/>
      <c r="K61" s="18"/>
      <c r="L61" s="18"/>
      <c r="M61" s="18"/>
      <c r="N61" s="18"/>
      <c r="O61" s="138"/>
    </row>
    <row r="62" spans="1:15" ht="12.75">
      <c r="A62" s="44"/>
      <c r="B62" s="16" t="s">
        <v>13</v>
      </c>
      <c r="C62" s="49">
        <f aca="true" t="shared" si="0" ref="C62:F65">C7+C12+C22+C32+C37+C52</f>
        <v>7593.825000000001</v>
      </c>
      <c r="D62" s="17">
        <f t="shared" si="0"/>
        <v>8137.7</v>
      </c>
      <c r="E62" s="17">
        <f t="shared" si="0"/>
        <v>8729.8</v>
      </c>
      <c r="F62" s="17">
        <f t="shared" si="0"/>
        <v>9477.2</v>
      </c>
      <c r="G62" s="137">
        <f>G7+G12+G22+G32+G37+G52+G57</f>
        <v>9815.000000000002</v>
      </c>
      <c r="H62" s="17">
        <f aca="true" t="shared" si="1" ref="H62:O65">H7+H12+H17+H22+H27+H32+H37+H42+H47+H52+H57</f>
        <v>10316</v>
      </c>
      <c r="I62" s="17">
        <f t="shared" si="1"/>
        <v>11192.161659382507</v>
      </c>
      <c r="J62" s="17">
        <f t="shared" si="1"/>
        <v>11993.906713975832</v>
      </c>
      <c r="K62" s="17">
        <f t="shared" si="1"/>
        <v>12819.004278983135</v>
      </c>
      <c r="L62" s="17">
        <f t="shared" si="1"/>
        <v>13633.011765576326</v>
      </c>
      <c r="M62" s="17">
        <f t="shared" si="1"/>
        <v>14476.06860111437</v>
      </c>
      <c r="N62" s="17">
        <f t="shared" si="1"/>
        <v>14740.941360127114</v>
      </c>
      <c r="O62" s="137">
        <f t="shared" si="1"/>
        <v>15256.873498704595</v>
      </c>
    </row>
    <row r="63" spans="1:15" ht="12.75">
      <c r="A63" s="5"/>
      <c r="B63" s="16" t="s">
        <v>14</v>
      </c>
      <c r="C63" s="49">
        <f t="shared" si="0"/>
        <v>10675.3825</v>
      </c>
      <c r="D63" s="17">
        <f t="shared" si="0"/>
        <v>11677.099999999999</v>
      </c>
      <c r="E63" s="17">
        <f t="shared" si="0"/>
        <v>12595.699999999999</v>
      </c>
      <c r="F63" s="17">
        <f t="shared" si="0"/>
        <v>13475.5</v>
      </c>
      <c r="G63" s="137">
        <f>G8+G13+G23+G33+G38+G53+G58</f>
        <v>13953.000000000002</v>
      </c>
      <c r="H63" s="17">
        <f t="shared" si="1"/>
        <v>14454</v>
      </c>
      <c r="I63" s="17">
        <f t="shared" si="1"/>
        <v>15127.161054667535</v>
      </c>
      <c r="J63" s="17">
        <f t="shared" si="1"/>
        <v>15610.983780410947</v>
      </c>
      <c r="K63" s="17">
        <f t="shared" si="1"/>
        <v>16182.549956190625</v>
      </c>
      <c r="L63" s="17">
        <f t="shared" si="1"/>
        <v>16764.268783803294</v>
      </c>
      <c r="M63" s="17">
        <f t="shared" si="1"/>
        <v>17327.88227335053</v>
      </c>
      <c r="N63" s="17">
        <f t="shared" si="1"/>
        <v>17636.06905824192</v>
      </c>
      <c r="O63" s="137">
        <f t="shared" si="1"/>
        <v>17998.426209460955</v>
      </c>
    </row>
    <row r="64" spans="1:15" ht="12.75">
      <c r="A64" s="5"/>
      <c r="B64" s="19" t="s">
        <v>16</v>
      </c>
      <c r="C64" s="49">
        <f t="shared" si="0"/>
        <v>2276.96875</v>
      </c>
      <c r="D64" s="17">
        <f t="shared" si="0"/>
        <v>2501.1</v>
      </c>
      <c r="E64" s="17">
        <f t="shared" si="0"/>
        <v>2728.4</v>
      </c>
      <c r="F64" s="17">
        <f t="shared" si="0"/>
        <v>2934.1999999999994</v>
      </c>
      <c r="G64" s="137">
        <f>G9+G14+G24+G34+G39+G54+G59</f>
        <v>2878.9999999999995</v>
      </c>
      <c r="H64" s="17">
        <f t="shared" si="1"/>
        <v>2898.9999999999995</v>
      </c>
      <c r="I64" s="17">
        <f t="shared" si="1"/>
        <v>2986.2727068939994</v>
      </c>
      <c r="J64" s="17">
        <f t="shared" si="1"/>
        <v>3043.2451555359376</v>
      </c>
      <c r="K64" s="17">
        <f t="shared" si="1"/>
        <v>3092.714878643932</v>
      </c>
      <c r="L64" s="17">
        <f t="shared" si="1"/>
        <v>3137.8907577149444</v>
      </c>
      <c r="M64" s="17">
        <f t="shared" si="1"/>
        <v>3181.4084721220925</v>
      </c>
      <c r="N64" s="17">
        <f t="shared" si="1"/>
        <v>3244.8703694837927</v>
      </c>
      <c r="O64" s="137">
        <f t="shared" si="1"/>
        <v>3337.3200895588725</v>
      </c>
    </row>
    <row r="65" spans="1:15" ht="13.5" thickBot="1">
      <c r="A65" s="5"/>
      <c r="B65" s="19" t="s">
        <v>17</v>
      </c>
      <c r="C65" s="142">
        <f t="shared" si="0"/>
        <v>390.15625</v>
      </c>
      <c r="D65" s="20">
        <f t="shared" si="0"/>
        <v>508.79999999999995</v>
      </c>
      <c r="E65" s="20">
        <f t="shared" si="0"/>
        <v>635.7</v>
      </c>
      <c r="F65" s="20">
        <f t="shared" si="0"/>
        <v>690.2</v>
      </c>
      <c r="G65" s="143">
        <f>G10+G15+G25+G35+G40+G55+G60</f>
        <v>768.9</v>
      </c>
      <c r="H65" s="184">
        <f t="shared" si="1"/>
        <v>800</v>
      </c>
      <c r="I65" s="20">
        <f t="shared" si="1"/>
        <v>862.1736393358501</v>
      </c>
      <c r="J65" s="20">
        <f t="shared" si="1"/>
        <v>878.783602685782</v>
      </c>
      <c r="K65" s="20">
        <f t="shared" si="1"/>
        <v>893.1424988858923</v>
      </c>
      <c r="L65" s="20">
        <f t="shared" si="1"/>
        <v>906.3168914727</v>
      </c>
      <c r="M65" s="20">
        <f t="shared" si="1"/>
        <v>918.9922692929097</v>
      </c>
      <c r="N65" s="20">
        <f t="shared" si="1"/>
        <v>955.1649297156794</v>
      </c>
      <c r="O65" s="143">
        <f t="shared" si="1"/>
        <v>991.9941816576296</v>
      </c>
    </row>
    <row r="66" spans="1:15" ht="12.75">
      <c r="A66" s="5"/>
      <c r="B66" s="22" t="s">
        <v>18</v>
      </c>
      <c r="C66" s="49">
        <f aca="true" t="shared" si="2" ref="C66:O66">SUM(C62:C65)</f>
        <v>20936.3325</v>
      </c>
      <c r="D66" s="17">
        <f t="shared" si="2"/>
        <v>22824.699999999997</v>
      </c>
      <c r="E66" s="17">
        <f t="shared" si="2"/>
        <v>24689.600000000002</v>
      </c>
      <c r="F66" s="17">
        <f t="shared" si="2"/>
        <v>26577.100000000002</v>
      </c>
      <c r="G66" s="137">
        <f t="shared" si="2"/>
        <v>27415.900000000005</v>
      </c>
      <c r="H66" s="17">
        <f t="shared" si="2"/>
        <v>28469</v>
      </c>
      <c r="I66" s="17">
        <f t="shared" si="2"/>
        <v>30167.769060279894</v>
      </c>
      <c r="J66" s="17">
        <f t="shared" si="2"/>
        <v>31526.919252608495</v>
      </c>
      <c r="K66" s="17">
        <f t="shared" si="2"/>
        <v>32987.41161270358</v>
      </c>
      <c r="L66" s="17">
        <f t="shared" si="2"/>
        <v>34441.48819856726</v>
      </c>
      <c r="M66" s="17">
        <f t="shared" si="2"/>
        <v>35904.3516158799</v>
      </c>
      <c r="N66" s="17">
        <f t="shared" si="2"/>
        <v>36577.0457175685</v>
      </c>
      <c r="O66" s="137">
        <f t="shared" si="2"/>
        <v>37584.613979382055</v>
      </c>
    </row>
    <row r="67" spans="1:7" ht="12.75">
      <c r="A67" s="5"/>
      <c r="B67" s="5"/>
      <c r="C67" s="5"/>
      <c r="D67" s="5"/>
      <c r="E67" s="5"/>
      <c r="F67" s="5"/>
      <c r="G67" s="5"/>
    </row>
    <row r="68" spans="1:15" ht="12.75">
      <c r="A68" s="5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2.75">
      <c r="A69" s="5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2.75">
      <c r="A70" s="5"/>
      <c r="B70" s="19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2.75">
      <c r="A71" s="5"/>
      <c r="B71" s="19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2.75">
      <c r="A72" s="5"/>
      <c r="B72" s="5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7" ht="12.75">
      <c r="A73" s="5"/>
      <c r="B73" s="5"/>
      <c r="C73" s="5"/>
      <c r="D73" s="5"/>
      <c r="E73" s="5"/>
      <c r="F73" s="5"/>
      <c r="G73" s="5"/>
    </row>
    <row r="74" spans="1:7" ht="12.75">
      <c r="A74" s="5"/>
      <c r="B74" s="5"/>
      <c r="C74" s="5"/>
      <c r="D74" s="5"/>
      <c r="E74" s="5"/>
      <c r="F74" s="5"/>
      <c r="G74" s="5"/>
    </row>
    <row r="75" spans="1:7" ht="12.75">
      <c r="A75" s="5"/>
      <c r="B75" s="5"/>
      <c r="C75" s="5"/>
      <c r="D75" s="5"/>
      <c r="E75" s="5"/>
      <c r="F75" s="5"/>
      <c r="G75" s="5"/>
    </row>
    <row r="76" spans="1:7" ht="12.75">
      <c r="A76" s="5"/>
      <c r="B76" s="5"/>
      <c r="C76" s="5"/>
      <c r="D76" s="5"/>
      <c r="E76" s="5"/>
      <c r="F76" s="5"/>
      <c r="G76" s="5"/>
    </row>
    <row r="77" spans="1:7" ht="12.75">
      <c r="A77" s="5"/>
      <c r="B77" s="5"/>
      <c r="C77" s="5"/>
      <c r="D77" s="5"/>
      <c r="E77" s="5"/>
      <c r="F77" s="5"/>
      <c r="G77" s="5"/>
    </row>
    <row r="78" spans="1:7" ht="12.75">
      <c r="A78" s="5"/>
      <c r="B78" s="5"/>
      <c r="C78" s="5"/>
      <c r="D78" s="5"/>
      <c r="E78" s="5"/>
      <c r="F78" s="5"/>
      <c r="G78" s="5"/>
    </row>
    <row r="79" spans="1:7" ht="12.75">
      <c r="A79" s="5"/>
      <c r="B79" s="5"/>
      <c r="C79" s="5"/>
      <c r="D79" s="5"/>
      <c r="E79" s="5"/>
      <c r="F79" s="5"/>
      <c r="G79" s="5"/>
    </row>
    <row r="80" spans="1:7" ht="12.75">
      <c r="A80" s="5"/>
      <c r="B80" s="5"/>
      <c r="C80" s="5"/>
      <c r="D80" s="5"/>
      <c r="E80" s="5"/>
      <c r="F80" s="5"/>
      <c r="G80" s="5"/>
    </row>
    <row r="81" spans="1:7" ht="12.75">
      <c r="A81" s="5"/>
      <c r="B81" s="5"/>
      <c r="C81" s="5"/>
      <c r="D81" s="5"/>
      <c r="E81" s="5"/>
      <c r="F81" s="5"/>
      <c r="G81" s="5"/>
    </row>
    <row r="82" spans="1:7" ht="12.75">
      <c r="A82" s="5"/>
      <c r="B82" s="5"/>
      <c r="C82" s="5"/>
      <c r="D82" s="5"/>
      <c r="E82" s="5"/>
      <c r="F82" s="5"/>
      <c r="G82" s="5"/>
    </row>
    <row r="83" spans="1:7" ht="12.75">
      <c r="A83" s="5"/>
      <c r="B83" s="5"/>
      <c r="C83" s="5"/>
      <c r="D83" s="5"/>
      <c r="E83" s="5"/>
      <c r="F83" s="5"/>
      <c r="G83" s="5"/>
    </row>
    <row r="84" spans="1:7" ht="12.75">
      <c r="A84" s="5"/>
      <c r="B84" s="5"/>
      <c r="C84" s="5"/>
      <c r="D84" s="5"/>
      <c r="E84" s="5"/>
      <c r="F84" s="5"/>
      <c r="G84" s="5"/>
    </row>
    <row r="85" spans="1:7" ht="12.75">
      <c r="A85" s="5"/>
      <c r="B85" s="5"/>
      <c r="C85" s="5"/>
      <c r="D85" s="5"/>
      <c r="E85" s="5"/>
      <c r="F85" s="5"/>
      <c r="G85" s="5"/>
    </row>
    <row r="86" spans="1:7" ht="12.75">
      <c r="A86" s="5"/>
      <c r="B86" s="5"/>
      <c r="C86" s="5"/>
      <c r="D86" s="5"/>
      <c r="E86" s="5"/>
      <c r="F86" s="5"/>
      <c r="G86" s="5"/>
    </row>
  </sheetData>
  <printOptions horizontalCentered="1"/>
  <pageMargins left="0.25" right="0.25" top="0.5" bottom="0.5" header="0.5" footer="0.5"/>
  <pageSetup fitToHeight="1" fitToWidth="1" horizontalDpi="600" verticalDpi="600" orientation="landscape" scale="61" r:id="rId3"/>
  <headerFooter alignWithMargins="0">
    <oddFooter>&amp;R&amp;8Prepared by Office of Planning, Budgeting and Policy Analysis, DCU,  &amp;F  &amp;D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="75" zoomScaleNormal="75" workbookViewId="0" topLeftCell="A1">
      <pane xSplit="2" ySplit="6" topLeftCell="C7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2.75"/>
  <cols>
    <col min="1" max="1" width="15.140625" style="0" customWidth="1"/>
    <col min="2" max="2" width="15.00390625" style="0" customWidth="1"/>
    <col min="3" max="6" width="8.7109375" style="0" customWidth="1"/>
  </cols>
  <sheetData>
    <row r="1" spans="1:12" ht="15.75">
      <c r="A1" s="1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2.75">
      <c r="A2" t="s">
        <v>119</v>
      </c>
      <c r="B2" t="s">
        <v>119</v>
      </c>
    </row>
    <row r="4" spans="1:7" ht="13.5" thickBot="1">
      <c r="A4" s="23" t="s">
        <v>73</v>
      </c>
      <c r="B4" s="5"/>
      <c r="C4" s="5"/>
      <c r="D4" s="5"/>
      <c r="E4" s="5"/>
      <c r="F4" s="5"/>
      <c r="G4" s="5"/>
    </row>
    <row r="5" spans="1:15" ht="58.5" customHeight="1" thickBot="1">
      <c r="A5" s="5"/>
      <c r="B5" s="5"/>
      <c r="C5" s="6" t="s">
        <v>0</v>
      </c>
      <c r="D5" s="7" t="s">
        <v>0</v>
      </c>
      <c r="E5" s="7" t="s">
        <v>0</v>
      </c>
      <c r="F5" s="7" t="s">
        <v>0</v>
      </c>
      <c r="G5" s="51" t="s">
        <v>91</v>
      </c>
      <c r="H5" s="50"/>
      <c r="I5" s="8" t="s">
        <v>92</v>
      </c>
      <c r="J5" s="8"/>
      <c r="K5" s="9"/>
      <c r="L5" s="9"/>
      <c r="M5" s="9"/>
      <c r="N5" s="9"/>
      <c r="O5" s="9"/>
    </row>
    <row r="6" spans="1:15" ht="13.5" thickBot="1">
      <c r="A6" s="5"/>
      <c r="B6" s="5"/>
      <c r="C6" s="10" t="s">
        <v>1</v>
      </c>
      <c r="D6" s="11" t="s">
        <v>2</v>
      </c>
      <c r="E6" s="11" t="s">
        <v>3</v>
      </c>
      <c r="F6" s="12" t="s">
        <v>94</v>
      </c>
      <c r="G6" s="13" t="s">
        <v>4</v>
      </c>
      <c r="H6" s="15" t="s">
        <v>5</v>
      </c>
      <c r="I6" s="15" t="s">
        <v>6</v>
      </c>
      <c r="J6" s="14" t="s">
        <v>7</v>
      </c>
      <c r="K6" s="15" t="s">
        <v>8</v>
      </c>
      <c r="L6" s="15" t="s">
        <v>9</v>
      </c>
      <c r="M6" s="15" t="s">
        <v>10</v>
      </c>
      <c r="N6" s="15" t="s">
        <v>11</v>
      </c>
      <c r="O6" s="15" t="s">
        <v>12</v>
      </c>
    </row>
    <row r="7" spans="1:9" ht="12.75">
      <c r="A7" s="23" t="s">
        <v>74</v>
      </c>
      <c r="B7" s="5"/>
      <c r="C7" s="5"/>
      <c r="D7" s="5"/>
      <c r="E7" s="5"/>
      <c r="F7" s="5"/>
      <c r="G7" s="5"/>
      <c r="H7" s="80"/>
      <c r="I7" s="80"/>
    </row>
    <row r="8" spans="1:15" ht="12.75">
      <c r="A8" s="23"/>
      <c r="B8" s="16" t="s">
        <v>13</v>
      </c>
      <c r="C8" s="52">
        <v>5450.05</v>
      </c>
      <c r="D8" s="17">
        <v>5641.1</v>
      </c>
      <c r="E8" s="17">
        <v>5868.7</v>
      </c>
      <c r="F8" s="17">
        <v>6108.4</v>
      </c>
      <c r="G8" s="17">
        <v>6448.9</v>
      </c>
      <c r="H8" s="81">
        <v>6762.792541627235</v>
      </c>
      <c r="I8" s="82">
        <f>H8*1.04</f>
        <v>7033.304243292324</v>
      </c>
      <c r="J8" s="82">
        <f aca="true" t="shared" si="0" ref="J8:O12">I8*1.06</f>
        <v>7455.302497889864</v>
      </c>
      <c r="K8" s="82">
        <f t="shared" si="0"/>
        <v>7902.620647763256</v>
      </c>
      <c r="L8" s="82">
        <f t="shared" si="0"/>
        <v>8376.777886629052</v>
      </c>
      <c r="M8" s="82">
        <f t="shared" si="0"/>
        <v>8879.384559826796</v>
      </c>
      <c r="N8" s="82">
        <f t="shared" si="0"/>
        <v>9412.147633416405</v>
      </c>
      <c r="O8" s="82">
        <f t="shared" si="0"/>
        <v>9976.87649142139</v>
      </c>
    </row>
    <row r="9" spans="1:15" ht="12.75">
      <c r="A9" s="23"/>
      <c r="B9" s="16" t="s">
        <v>14</v>
      </c>
      <c r="C9" s="52">
        <v>7284.05</v>
      </c>
      <c r="D9" s="17">
        <v>7500.7</v>
      </c>
      <c r="E9" s="17">
        <v>7631</v>
      </c>
      <c r="F9" s="17">
        <v>7632.5</v>
      </c>
      <c r="G9" s="17">
        <v>7819.7</v>
      </c>
      <c r="H9" s="81">
        <v>8439.869615961763</v>
      </c>
      <c r="I9" s="82">
        <f>H9*1.04</f>
        <v>8777.464400600235</v>
      </c>
      <c r="J9" s="82">
        <f t="shared" si="0"/>
        <v>9304.11226463625</v>
      </c>
      <c r="K9" s="82">
        <f t="shared" si="0"/>
        <v>9862.359000514425</v>
      </c>
      <c r="L9" s="82">
        <f t="shared" si="0"/>
        <v>10454.10054054529</v>
      </c>
      <c r="M9" s="82">
        <f t="shared" si="0"/>
        <v>11081.34657297801</v>
      </c>
      <c r="N9" s="82">
        <f t="shared" si="0"/>
        <v>11746.22736735669</v>
      </c>
      <c r="O9" s="82">
        <f t="shared" si="0"/>
        <v>12451.001009398093</v>
      </c>
    </row>
    <row r="10" spans="1:15" ht="12.75">
      <c r="A10" s="23"/>
      <c r="B10" s="27" t="s">
        <v>15</v>
      </c>
      <c r="C10" s="54"/>
      <c r="D10" s="17">
        <v>0</v>
      </c>
      <c r="E10" s="17">
        <v>82.3</v>
      </c>
      <c r="F10" s="17">
        <v>161.2</v>
      </c>
      <c r="G10" s="17">
        <v>239</v>
      </c>
      <c r="H10" s="81">
        <v>296</v>
      </c>
      <c r="I10" s="82">
        <f>H10*1.04</f>
        <v>307.84000000000003</v>
      </c>
      <c r="J10" s="82">
        <f t="shared" si="0"/>
        <v>326.3104000000001</v>
      </c>
      <c r="K10" s="82">
        <f t="shared" si="0"/>
        <v>345.8890240000001</v>
      </c>
      <c r="L10" s="82">
        <f t="shared" si="0"/>
        <v>366.64236544000016</v>
      </c>
      <c r="M10" s="82">
        <f t="shared" si="0"/>
        <v>388.6409073664002</v>
      </c>
      <c r="N10" s="82">
        <f t="shared" si="0"/>
        <v>411.95936180838424</v>
      </c>
      <c r="O10" s="82">
        <f t="shared" si="0"/>
        <v>436.6769235168873</v>
      </c>
    </row>
    <row r="11" spans="1:15" ht="12.75">
      <c r="A11" s="23"/>
      <c r="B11" s="19" t="s">
        <v>16</v>
      </c>
      <c r="C11" s="83">
        <v>1815.3125</v>
      </c>
      <c r="D11" s="17">
        <v>1930.7</v>
      </c>
      <c r="E11" s="17">
        <v>2041.3</v>
      </c>
      <c r="F11" s="17">
        <v>1917.5</v>
      </c>
      <c r="G11" s="17">
        <v>1795.3</v>
      </c>
      <c r="H11" s="81">
        <v>1997.136728785222</v>
      </c>
      <c r="I11" s="82">
        <f>H11*1.04</f>
        <v>2077.022197936631</v>
      </c>
      <c r="J11" s="82">
        <f t="shared" si="0"/>
        <v>2201.643529812829</v>
      </c>
      <c r="K11" s="82">
        <f t="shared" si="0"/>
        <v>2333.7421416015986</v>
      </c>
      <c r="L11" s="82">
        <f t="shared" si="0"/>
        <v>2473.7666700976947</v>
      </c>
      <c r="M11" s="82">
        <f t="shared" si="0"/>
        <v>2622.1926703035565</v>
      </c>
      <c r="N11" s="82">
        <f t="shared" si="0"/>
        <v>2779.52423052177</v>
      </c>
      <c r="O11" s="82">
        <f t="shared" si="0"/>
        <v>2946.295684353076</v>
      </c>
    </row>
    <row r="12" spans="1:15" ht="12.75">
      <c r="A12" s="23"/>
      <c r="B12" s="19" t="s">
        <v>17</v>
      </c>
      <c r="C12" s="53">
        <v>278.03125</v>
      </c>
      <c r="D12" s="17">
        <v>331.9</v>
      </c>
      <c r="E12" s="17">
        <v>369.6</v>
      </c>
      <c r="F12" s="17">
        <v>398</v>
      </c>
      <c r="G12" s="17">
        <v>441.6</v>
      </c>
      <c r="H12" s="81">
        <v>463.3740831295844</v>
      </c>
      <c r="I12" s="82">
        <f>H12*1.04</f>
        <v>481.9090464547678</v>
      </c>
      <c r="J12" s="82">
        <f t="shared" si="0"/>
        <v>510.8235892420539</v>
      </c>
      <c r="K12" s="82">
        <f t="shared" si="0"/>
        <v>541.4730045965772</v>
      </c>
      <c r="L12" s="82">
        <f t="shared" si="0"/>
        <v>573.9613848723718</v>
      </c>
      <c r="M12" s="82">
        <f t="shared" si="0"/>
        <v>608.3990679647142</v>
      </c>
      <c r="N12" s="82">
        <f t="shared" si="0"/>
        <v>644.9030120425971</v>
      </c>
      <c r="O12" s="82">
        <f t="shared" si="0"/>
        <v>683.597192765153</v>
      </c>
    </row>
    <row r="13" spans="1:15" ht="12.75">
      <c r="A13" s="23"/>
      <c r="B13" s="5"/>
      <c r="C13" s="54"/>
      <c r="D13" s="17"/>
      <c r="E13" s="17"/>
      <c r="F13" s="17"/>
      <c r="G13" s="17"/>
      <c r="H13" s="81"/>
      <c r="I13" s="82"/>
      <c r="J13" s="82" t="s">
        <v>119</v>
      </c>
      <c r="K13" s="82" t="s">
        <v>119</v>
      </c>
      <c r="L13" s="82" t="s">
        <v>119</v>
      </c>
      <c r="M13" s="82" t="s">
        <v>119</v>
      </c>
      <c r="N13" s="82" t="s">
        <v>119</v>
      </c>
      <c r="O13" s="82" t="s">
        <v>119</v>
      </c>
    </row>
    <row r="14" spans="1:15" ht="12.75">
      <c r="A14" s="23" t="s">
        <v>120</v>
      </c>
      <c r="B14" s="16" t="s">
        <v>13</v>
      </c>
      <c r="C14" s="52">
        <v>979.65</v>
      </c>
      <c r="D14" s="17">
        <v>1024.4</v>
      </c>
      <c r="E14" s="17">
        <v>1059.7</v>
      </c>
      <c r="F14" s="17">
        <v>1029.8</v>
      </c>
      <c r="G14" s="17">
        <v>1011.3</v>
      </c>
      <c r="H14" s="81">
        <v>1060.5238253574444</v>
      </c>
      <c r="I14" s="82">
        <f>H14*1.04</f>
        <v>1102.9447783717421</v>
      </c>
      <c r="J14" s="82">
        <f aca="true" t="shared" si="1" ref="J14:O17">I14*1.06</f>
        <v>1169.1214650740467</v>
      </c>
      <c r="K14" s="82">
        <f t="shared" si="1"/>
        <v>1239.2687529784896</v>
      </c>
      <c r="L14" s="82">
        <f t="shared" si="1"/>
        <v>1313.624878157199</v>
      </c>
      <c r="M14" s="82">
        <f t="shared" si="1"/>
        <v>1392.4423708466309</v>
      </c>
      <c r="N14" s="82">
        <f t="shared" si="1"/>
        <v>1475.9889130974288</v>
      </c>
      <c r="O14" s="82">
        <f t="shared" si="1"/>
        <v>1564.5482478832746</v>
      </c>
    </row>
    <row r="15" spans="1:15" ht="12.75">
      <c r="A15" s="23"/>
      <c r="B15" s="16" t="s">
        <v>14</v>
      </c>
      <c r="C15" s="52">
        <v>1977.6</v>
      </c>
      <c r="D15" s="17">
        <v>2178.8</v>
      </c>
      <c r="E15" s="17">
        <v>2260.8</v>
      </c>
      <c r="F15" s="17">
        <v>2239.3</v>
      </c>
      <c r="G15" s="17">
        <v>2011.3</v>
      </c>
      <c r="H15" s="81">
        <v>2170.8134274440063</v>
      </c>
      <c r="I15" s="82">
        <f>H15*1.04</f>
        <v>2257.6459645417667</v>
      </c>
      <c r="J15" s="82">
        <f t="shared" si="1"/>
        <v>2393.104722414273</v>
      </c>
      <c r="K15" s="82">
        <f t="shared" si="1"/>
        <v>2536.6910057591294</v>
      </c>
      <c r="L15" s="82">
        <f t="shared" si="1"/>
        <v>2688.892466104677</v>
      </c>
      <c r="M15" s="82">
        <f t="shared" si="1"/>
        <v>2850.2260140709577</v>
      </c>
      <c r="N15" s="82">
        <f t="shared" si="1"/>
        <v>3021.239574915215</v>
      </c>
      <c r="O15" s="82">
        <f t="shared" si="1"/>
        <v>3202.513949410128</v>
      </c>
    </row>
    <row r="16" spans="1:15" ht="12.75">
      <c r="A16" s="23"/>
      <c r="B16" s="19" t="s">
        <v>16</v>
      </c>
      <c r="C16" s="53">
        <v>473.0625</v>
      </c>
      <c r="D16" s="17">
        <v>512.1</v>
      </c>
      <c r="E16" s="17">
        <v>472.6</v>
      </c>
      <c r="F16" s="17">
        <v>347.9</v>
      </c>
      <c r="G16" s="17">
        <v>293</v>
      </c>
      <c r="H16" s="81">
        <v>325.9405456102434</v>
      </c>
      <c r="I16" s="82">
        <f>H16*1.04</f>
        <v>338.9781674346532</v>
      </c>
      <c r="J16" s="82">
        <f t="shared" si="1"/>
        <v>359.3168574807324</v>
      </c>
      <c r="K16" s="82">
        <f t="shared" si="1"/>
        <v>380.87586892957637</v>
      </c>
      <c r="L16" s="82">
        <f t="shared" si="1"/>
        <v>403.728421065351</v>
      </c>
      <c r="M16" s="82">
        <f t="shared" si="1"/>
        <v>427.95212632927206</v>
      </c>
      <c r="N16" s="82">
        <f t="shared" si="1"/>
        <v>453.6292539090284</v>
      </c>
      <c r="O16" s="82">
        <f t="shared" si="1"/>
        <v>480.8470091435702</v>
      </c>
    </row>
    <row r="17" spans="1:15" ht="12.75">
      <c r="A17" s="23"/>
      <c r="B17" s="19" t="s">
        <v>17</v>
      </c>
      <c r="C17" s="53">
        <v>21.125</v>
      </c>
      <c r="D17" s="17">
        <v>18.2</v>
      </c>
      <c r="E17" s="17">
        <v>14.8</v>
      </c>
      <c r="F17" s="17">
        <v>7.8</v>
      </c>
      <c r="G17" s="17">
        <v>7.7</v>
      </c>
      <c r="H17" s="81">
        <v>8.079665851670741</v>
      </c>
      <c r="I17" s="82">
        <f>H17*1.04</f>
        <v>8.402852485737572</v>
      </c>
      <c r="J17" s="82">
        <f t="shared" si="1"/>
        <v>8.907023634881828</v>
      </c>
      <c r="K17" s="82">
        <f t="shared" si="1"/>
        <v>9.441445052974737</v>
      </c>
      <c r="L17" s="82">
        <f t="shared" si="1"/>
        <v>10.007931756153223</v>
      </c>
      <c r="M17" s="82">
        <f t="shared" si="1"/>
        <v>10.608407661522417</v>
      </c>
      <c r="N17" s="82">
        <f t="shared" si="1"/>
        <v>11.244912121213762</v>
      </c>
      <c r="O17" s="82">
        <f t="shared" si="1"/>
        <v>11.919606848486588</v>
      </c>
    </row>
    <row r="18" spans="1:15" ht="12.75">
      <c r="A18" s="23"/>
      <c r="B18" s="5"/>
      <c r="C18" s="54"/>
      <c r="D18" s="17"/>
      <c r="E18" s="17"/>
      <c r="F18" s="17"/>
      <c r="G18" s="17"/>
      <c r="H18" s="81"/>
      <c r="I18" s="82"/>
      <c r="J18" s="82" t="s">
        <v>119</v>
      </c>
      <c r="K18" s="82" t="s">
        <v>119</v>
      </c>
      <c r="L18" s="82" t="s">
        <v>119</v>
      </c>
      <c r="M18" s="82" t="s">
        <v>119</v>
      </c>
      <c r="N18" s="82" t="s">
        <v>119</v>
      </c>
      <c r="O18" s="82" t="s">
        <v>119</v>
      </c>
    </row>
    <row r="19" spans="1:15" ht="12.75">
      <c r="A19" s="23" t="s">
        <v>121</v>
      </c>
      <c r="B19" s="5"/>
      <c r="C19" s="54"/>
      <c r="D19" s="17"/>
      <c r="E19" s="17"/>
      <c r="F19" s="17"/>
      <c r="G19" s="17"/>
      <c r="H19" s="81"/>
      <c r="I19" s="82"/>
      <c r="J19" s="82" t="s">
        <v>119</v>
      </c>
      <c r="K19" s="82" t="s">
        <v>119</v>
      </c>
      <c r="L19" s="82" t="s">
        <v>119</v>
      </c>
      <c r="M19" s="82" t="s">
        <v>119</v>
      </c>
      <c r="N19" s="82" t="s">
        <v>119</v>
      </c>
      <c r="O19" s="82" t="s">
        <v>119</v>
      </c>
    </row>
    <row r="20" spans="1:15" ht="12.75">
      <c r="A20" s="23"/>
      <c r="B20" s="16" t="s">
        <v>13</v>
      </c>
      <c r="C20" s="54">
        <v>0</v>
      </c>
      <c r="D20" s="17">
        <v>1</v>
      </c>
      <c r="E20" s="17">
        <v>1.7</v>
      </c>
      <c r="F20" s="17">
        <f>3.5+14.3</f>
        <v>17.8</v>
      </c>
      <c r="G20" s="81">
        <v>37.25967365967365</v>
      </c>
      <c r="H20" s="81">
        <v>39.0732439841067</v>
      </c>
      <c r="I20" s="82">
        <f>H20*1.04</f>
        <v>40.63617374347097</v>
      </c>
      <c r="J20" s="82">
        <f aca="true" t="shared" si="2" ref="J20:O23">I20*1.06</f>
        <v>43.07434416807923</v>
      </c>
      <c r="K20" s="82">
        <f t="shared" si="2"/>
        <v>45.658804818163986</v>
      </c>
      <c r="L20" s="82">
        <f t="shared" si="2"/>
        <v>48.398333107253826</v>
      </c>
      <c r="M20" s="82">
        <f t="shared" si="2"/>
        <v>51.30223309368906</v>
      </c>
      <c r="N20" s="82">
        <f t="shared" si="2"/>
        <v>54.38036707931041</v>
      </c>
      <c r="O20" s="82">
        <f t="shared" si="2"/>
        <v>57.64318910406904</v>
      </c>
    </row>
    <row r="21" spans="1:15" ht="12.75">
      <c r="A21" s="23"/>
      <c r="B21" s="16" t="s">
        <v>14</v>
      </c>
      <c r="C21" s="52">
        <v>100.7</v>
      </c>
      <c r="D21" s="17">
        <v>60.8</v>
      </c>
      <c r="E21" s="17">
        <f>4.7+23.5</f>
        <v>28.2</v>
      </c>
      <c r="F21" s="17">
        <v>132.6</v>
      </c>
      <c r="G21" s="81">
        <v>197.24403330249768</v>
      </c>
      <c r="H21" s="81">
        <v>212.88718539068003</v>
      </c>
      <c r="I21" s="82">
        <f>H21*1.04</f>
        <v>221.40267280630724</v>
      </c>
      <c r="J21" s="82">
        <f t="shared" si="2"/>
        <v>234.6868331746857</v>
      </c>
      <c r="K21" s="82">
        <f t="shared" si="2"/>
        <v>248.76804316516683</v>
      </c>
      <c r="L21" s="82">
        <f t="shared" si="2"/>
        <v>263.69412575507687</v>
      </c>
      <c r="M21" s="82">
        <f t="shared" si="2"/>
        <v>279.5157733003815</v>
      </c>
      <c r="N21" s="82">
        <f t="shared" si="2"/>
        <v>296.2867196984044</v>
      </c>
      <c r="O21" s="82">
        <f t="shared" si="2"/>
        <v>314.06392288030867</v>
      </c>
    </row>
    <row r="22" spans="1:15" ht="12.75">
      <c r="A22" s="23"/>
      <c r="B22" s="19" t="s">
        <v>16</v>
      </c>
      <c r="C22" s="53">
        <v>121.6875</v>
      </c>
      <c r="D22" s="17">
        <v>139.1</v>
      </c>
      <c r="E22" s="17">
        <f>18.8+112</f>
        <v>130.8</v>
      </c>
      <c r="F22" s="17">
        <v>152</v>
      </c>
      <c r="G22" s="81">
        <v>159.2630972941854</v>
      </c>
      <c r="H22" s="81">
        <v>177.16826221038934</v>
      </c>
      <c r="I22" s="82">
        <f>H22*1.04</f>
        <v>184.25499269880493</v>
      </c>
      <c r="J22" s="82">
        <f t="shared" si="2"/>
        <v>195.31029226073323</v>
      </c>
      <c r="K22" s="82">
        <f t="shared" si="2"/>
        <v>207.02890979637723</v>
      </c>
      <c r="L22" s="82">
        <f t="shared" si="2"/>
        <v>219.4506443841599</v>
      </c>
      <c r="M22" s="82">
        <f t="shared" si="2"/>
        <v>232.61768304720948</v>
      </c>
      <c r="N22" s="82">
        <f t="shared" si="2"/>
        <v>246.57474403004207</v>
      </c>
      <c r="O22" s="82">
        <f t="shared" si="2"/>
        <v>261.3692286718446</v>
      </c>
    </row>
    <row r="23" spans="1:15" ht="12.75">
      <c r="A23" s="23"/>
      <c r="B23" s="19" t="s">
        <v>17</v>
      </c>
      <c r="C23" s="53">
        <v>40.5625</v>
      </c>
      <c r="D23" s="17">
        <v>26.7</v>
      </c>
      <c r="E23" s="17">
        <v>46.3</v>
      </c>
      <c r="F23" s="17">
        <v>37</v>
      </c>
      <c r="G23" s="81">
        <v>36.38625592417061</v>
      </c>
      <c r="H23" s="81">
        <v>38.180362267619934</v>
      </c>
      <c r="I23" s="82">
        <f>H23*1.04</f>
        <v>39.707576758324734</v>
      </c>
      <c r="J23" s="82">
        <f t="shared" si="2"/>
        <v>42.09003136382422</v>
      </c>
      <c r="K23" s="82">
        <f t="shared" si="2"/>
        <v>44.61543324565367</v>
      </c>
      <c r="L23" s="82">
        <f t="shared" si="2"/>
        <v>47.29235924039289</v>
      </c>
      <c r="M23" s="82">
        <f t="shared" si="2"/>
        <v>50.129900794816464</v>
      </c>
      <c r="N23" s="82">
        <f t="shared" si="2"/>
        <v>53.137694842505454</v>
      </c>
      <c r="O23" s="82">
        <f t="shared" si="2"/>
        <v>56.32595653305578</v>
      </c>
    </row>
    <row r="24" spans="1:15" ht="12.75">
      <c r="A24" s="23"/>
      <c r="B24" s="19"/>
      <c r="C24" s="53"/>
      <c r="D24" s="17"/>
      <c r="E24" s="17"/>
      <c r="F24" s="17"/>
      <c r="G24" s="81"/>
      <c r="H24" s="81"/>
      <c r="I24" s="82"/>
      <c r="J24" s="82" t="s">
        <v>119</v>
      </c>
      <c r="K24" s="82" t="s">
        <v>119</v>
      </c>
      <c r="L24" s="82" t="s">
        <v>119</v>
      </c>
      <c r="M24" s="82" t="s">
        <v>119</v>
      </c>
      <c r="N24" s="82" t="s">
        <v>119</v>
      </c>
      <c r="O24" s="82" t="s">
        <v>119</v>
      </c>
    </row>
    <row r="25" spans="1:15" ht="12.75">
      <c r="A25" s="23" t="s">
        <v>75</v>
      </c>
      <c r="B25" s="16" t="s">
        <v>13</v>
      </c>
      <c r="C25" s="52">
        <v>154.4</v>
      </c>
      <c r="D25" s="17">
        <v>183.8</v>
      </c>
      <c r="E25" s="17">
        <v>170.7</v>
      </c>
      <c r="F25" s="17">
        <v>153.8</v>
      </c>
      <c r="G25" s="81">
        <v>321.9403263403263</v>
      </c>
      <c r="H25" s="81">
        <v>337.61038903121414</v>
      </c>
      <c r="I25" s="82">
        <f>H25*1.04</f>
        <v>351.1148045924627</v>
      </c>
      <c r="J25" s="82">
        <f aca="true" t="shared" si="3" ref="J25:O28">I25*1.06</f>
        <v>372.1816928680105</v>
      </c>
      <c r="K25" s="82">
        <f t="shared" si="3"/>
        <v>394.51259444009116</v>
      </c>
      <c r="L25" s="82">
        <f t="shared" si="3"/>
        <v>418.1833501064967</v>
      </c>
      <c r="M25" s="82">
        <f t="shared" si="3"/>
        <v>443.2743511128865</v>
      </c>
      <c r="N25" s="82">
        <f t="shared" si="3"/>
        <v>469.8708121796597</v>
      </c>
      <c r="O25" s="82">
        <f t="shared" si="3"/>
        <v>498.06306091043933</v>
      </c>
    </row>
    <row r="26" spans="1:15" ht="12.75">
      <c r="A26" s="5"/>
      <c r="B26" s="16" t="s">
        <v>14</v>
      </c>
      <c r="C26" s="52">
        <v>145.75</v>
      </c>
      <c r="D26" s="17">
        <v>281.4</v>
      </c>
      <c r="E26" s="17">
        <v>386.2</v>
      </c>
      <c r="F26" s="17">
        <v>516</v>
      </c>
      <c r="G26" s="81">
        <v>767.5559666975024</v>
      </c>
      <c r="H26" s="81">
        <v>828.4297712035514</v>
      </c>
      <c r="I26" s="82">
        <f>H26*1.04</f>
        <v>861.5669620516934</v>
      </c>
      <c r="J26" s="82">
        <f t="shared" si="3"/>
        <v>913.260979774795</v>
      </c>
      <c r="K26" s="82">
        <f t="shared" si="3"/>
        <v>968.0566385612827</v>
      </c>
      <c r="L26" s="82">
        <f t="shared" si="3"/>
        <v>1026.1400368749598</v>
      </c>
      <c r="M26" s="82">
        <f t="shared" si="3"/>
        <v>1087.7084390874575</v>
      </c>
      <c r="N26" s="82">
        <f t="shared" si="3"/>
        <v>1152.9709454327049</v>
      </c>
      <c r="O26" s="82">
        <f t="shared" si="3"/>
        <v>1222.1492021586673</v>
      </c>
    </row>
    <row r="27" spans="1:15" ht="12.75">
      <c r="A27" s="23"/>
      <c r="B27" s="19" t="s">
        <v>16</v>
      </c>
      <c r="C27" s="53">
        <v>144.875</v>
      </c>
      <c r="D27" s="17">
        <v>172.7</v>
      </c>
      <c r="E27" s="17">
        <v>208</v>
      </c>
      <c r="F27" s="17">
        <v>195.4</v>
      </c>
      <c r="G27" s="81">
        <v>204.73690270581463</v>
      </c>
      <c r="H27" s="81">
        <v>227.75446339414518</v>
      </c>
      <c r="I27" s="82">
        <f>H27*1.04</f>
        <v>236.864641929911</v>
      </c>
      <c r="J27" s="82">
        <f t="shared" si="3"/>
        <v>251.07652044570565</v>
      </c>
      <c r="K27" s="82">
        <f t="shared" si="3"/>
        <v>266.141111672448</v>
      </c>
      <c r="L27" s="82">
        <f t="shared" si="3"/>
        <v>282.1095783727949</v>
      </c>
      <c r="M27" s="82">
        <f t="shared" si="3"/>
        <v>299.0361530751626</v>
      </c>
      <c r="N27" s="82">
        <f t="shared" si="3"/>
        <v>316.9783222596724</v>
      </c>
      <c r="O27" s="82">
        <f t="shared" si="3"/>
        <v>335.99702159525276</v>
      </c>
    </row>
    <row r="28" spans="1:15" ht="12.75">
      <c r="A28" s="23"/>
      <c r="B28" s="19" t="s">
        <v>17</v>
      </c>
      <c r="C28" s="53">
        <v>3.84375</v>
      </c>
      <c r="D28" s="17">
        <v>4.9</v>
      </c>
      <c r="E28" s="17">
        <v>3.2</v>
      </c>
      <c r="F28" s="17">
        <v>5.2</v>
      </c>
      <c r="G28" s="81">
        <v>5.113744075829383</v>
      </c>
      <c r="H28" s="81">
        <v>5.365888751124964</v>
      </c>
      <c r="I28" s="82">
        <f>H28*1.04</f>
        <v>5.580524301169962</v>
      </c>
      <c r="J28" s="82">
        <f t="shared" si="3"/>
        <v>5.91535575924016</v>
      </c>
      <c r="K28" s="82">
        <f t="shared" si="3"/>
        <v>6.2702771047945705</v>
      </c>
      <c r="L28" s="82">
        <f t="shared" si="3"/>
        <v>6.646493731082245</v>
      </c>
      <c r="M28" s="82">
        <f t="shared" si="3"/>
        <v>7.04528335494718</v>
      </c>
      <c r="N28" s="82">
        <f t="shared" si="3"/>
        <v>7.468000356244011</v>
      </c>
      <c r="O28" s="82">
        <f t="shared" si="3"/>
        <v>7.916080377618652</v>
      </c>
    </row>
    <row r="29" spans="1:15" ht="12.75">
      <c r="A29" s="23"/>
      <c r="B29" s="5"/>
      <c r="C29" s="54"/>
      <c r="D29" s="17"/>
      <c r="E29" s="17"/>
      <c r="F29" s="17"/>
      <c r="G29" s="17"/>
      <c r="H29" s="82"/>
      <c r="I29" s="82" t="s">
        <v>119</v>
      </c>
      <c r="J29" s="18" t="s">
        <v>119</v>
      </c>
      <c r="K29" s="18" t="s">
        <v>119</v>
      </c>
      <c r="L29" s="18" t="s">
        <v>119</v>
      </c>
      <c r="M29" s="18" t="s">
        <v>119</v>
      </c>
      <c r="N29" s="18" t="s">
        <v>119</v>
      </c>
      <c r="O29" s="18" t="s">
        <v>119</v>
      </c>
    </row>
    <row r="30" spans="1:15" ht="12.75">
      <c r="A30" s="23" t="s">
        <v>76</v>
      </c>
      <c r="B30" s="16" t="s">
        <v>13</v>
      </c>
      <c r="C30" s="54">
        <f aca="true" t="shared" si="4" ref="C30:O30">+C8+C14+C25+C20</f>
        <v>6584.099999999999</v>
      </c>
      <c r="D30" s="17">
        <f t="shared" si="4"/>
        <v>6850.3</v>
      </c>
      <c r="E30" s="17">
        <f t="shared" si="4"/>
        <v>7100.799999999999</v>
      </c>
      <c r="F30" s="17">
        <f t="shared" si="4"/>
        <v>7309.8</v>
      </c>
      <c r="G30" s="17">
        <f t="shared" si="4"/>
        <v>7819.4</v>
      </c>
      <c r="H30" s="17">
        <f t="shared" si="4"/>
        <v>8200</v>
      </c>
      <c r="I30" s="84">
        <f t="shared" si="4"/>
        <v>8528</v>
      </c>
      <c r="J30" s="84">
        <f t="shared" si="4"/>
        <v>9039.68</v>
      </c>
      <c r="K30" s="84">
        <f t="shared" si="4"/>
        <v>9582.060800000001</v>
      </c>
      <c r="L30" s="84">
        <f t="shared" si="4"/>
        <v>10156.984448000003</v>
      </c>
      <c r="M30" s="84">
        <f t="shared" si="4"/>
        <v>10766.403514880003</v>
      </c>
      <c r="N30" s="84">
        <f t="shared" si="4"/>
        <v>11412.387725772802</v>
      </c>
      <c r="O30" s="84">
        <f t="shared" si="4"/>
        <v>12097.130989319172</v>
      </c>
    </row>
    <row r="31" spans="1:15" ht="12.75">
      <c r="A31" s="23"/>
      <c r="B31" s="16" t="s">
        <v>14</v>
      </c>
      <c r="C31" s="54">
        <f aca="true" t="shared" si="5" ref="C31:O31">+C9+C15+C26+C21</f>
        <v>9508.1</v>
      </c>
      <c r="D31" s="17">
        <f t="shared" si="5"/>
        <v>10021.699999999999</v>
      </c>
      <c r="E31" s="17">
        <f t="shared" si="5"/>
        <v>10306.2</v>
      </c>
      <c r="F31" s="17">
        <f t="shared" si="5"/>
        <v>10520.4</v>
      </c>
      <c r="G31" s="17">
        <f t="shared" si="5"/>
        <v>10795.8</v>
      </c>
      <c r="H31" s="17">
        <f t="shared" si="5"/>
        <v>11652.000000000002</v>
      </c>
      <c r="I31" s="84">
        <f t="shared" si="5"/>
        <v>12118.080000000002</v>
      </c>
      <c r="J31" s="84">
        <f t="shared" si="5"/>
        <v>12845.164800000004</v>
      </c>
      <c r="K31" s="84">
        <f t="shared" si="5"/>
        <v>13615.874688000004</v>
      </c>
      <c r="L31" s="84">
        <f t="shared" si="5"/>
        <v>14432.827169280004</v>
      </c>
      <c r="M31" s="84">
        <f t="shared" si="5"/>
        <v>15298.796799436805</v>
      </c>
      <c r="N31" s="84">
        <f t="shared" si="5"/>
        <v>16216.724607403015</v>
      </c>
      <c r="O31" s="84">
        <f t="shared" si="5"/>
        <v>17189.728083847196</v>
      </c>
    </row>
    <row r="32" spans="1:15" ht="12.75">
      <c r="A32" s="23"/>
      <c r="B32" s="27" t="s">
        <v>77</v>
      </c>
      <c r="C32" s="54">
        <f aca="true" t="shared" si="6" ref="C32:O32">+C10</f>
        <v>0</v>
      </c>
      <c r="D32" s="17">
        <f t="shared" si="6"/>
        <v>0</v>
      </c>
      <c r="E32" s="17">
        <f t="shared" si="6"/>
        <v>82.3</v>
      </c>
      <c r="F32" s="17">
        <f t="shared" si="6"/>
        <v>161.2</v>
      </c>
      <c r="G32" s="17">
        <f t="shared" si="6"/>
        <v>239</v>
      </c>
      <c r="H32" s="17">
        <f t="shared" si="6"/>
        <v>296</v>
      </c>
      <c r="I32" s="84">
        <f t="shared" si="6"/>
        <v>307.84000000000003</v>
      </c>
      <c r="J32" s="84">
        <f t="shared" si="6"/>
        <v>326.3104000000001</v>
      </c>
      <c r="K32" s="84">
        <f t="shared" si="6"/>
        <v>345.8890240000001</v>
      </c>
      <c r="L32" s="84">
        <f t="shared" si="6"/>
        <v>366.64236544000016</v>
      </c>
      <c r="M32" s="84">
        <f t="shared" si="6"/>
        <v>388.6409073664002</v>
      </c>
      <c r="N32" s="84">
        <f t="shared" si="6"/>
        <v>411.95936180838424</v>
      </c>
      <c r="O32" s="84">
        <f t="shared" si="6"/>
        <v>436.6769235168873</v>
      </c>
    </row>
    <row r="33" spans="1:15" ht="12.75">
      <c r="A33" s="23"/>
      <c r="B33" s="19" t="s">
        <v>16</v>
      </c>
      <c r="C33" s="54">
        <f aca="true" t="shared" si="7" ref="C33:O33">+C11+C16+C22+C27</f>
        <v>2554.9375</v>
      </c>
      <c r="D33" s="17">
        <f t="shared" si="7"/>
        <v>2754.6</v>
      </c>
      <c r="E33" s="17">
        <f t="shared" si="7"/>
        <v>2852.7000000000003</v>
      </c>
      <c r="F33" s="17">
        <f t="shared" si="7"/>
        <v>2612.8</v>
      </c>
      <c r="G33" s="17">
        <f t="shared" si="7"/>
        <v>2452.3</v>
      </c>
      <c r="H33" s="17">
        <f t="shared" si="7"/>
        <v>2728</v>
      </c>
      <c r="I33" s="84">
        <f t="shared" si="7"/>
        <v>2837.1200000000003</v>
      </c>
      <c r="J33" s="84">
        <f t="shared" si="7"/>
        <v>3007.3472</v>
      </c>
      <c r="K33" s="84">
        <f t="shared" si="7"/>
        <v>3187.7880320000004</v>
      </c>
      <c r="L33" s="84">
        <f t="shared" si="7"/>
        <v>3379.055313920001</v>
      </c>
      <c r="M33" s="84">
        <f t="shared" si="7"/>
        <v>3581.7986327552007</v>
      </c>
      <c r="N33" s="84">
        <f t="shared" si="7"/>
        <v>3796.7065507205125</v>
      </c>
      <c r="O33" s="84">
        <f t="shared" si="7"/>
        <v>4024.5089437637434</v>
      </c>
    </row>
    <row r="34" spans="1:15" ht="13.5" thickBot="1">
      <c r="A34" s="23"/>
      <c r="B34" s="19" t="s">
        <v>17</v>
      </c>
      <c r="C34" s="55">
        <f aca="true" t="shared" si="8" ref="C34:O34">+C12+C17+C23+C28</f>
        <v>343.5625</v>
      </c>
      <c r="D34" s="20">
        <f t="shared" si="8"/>
        <v>381.69999999999993</v>
      </c>
      <c r="E34" s="20">
        <f t="shared" si="8"/>
        <v>433.90000000000003</v>
      </c>
      <c r="F34" s="20">
        <f t="shared" si="8"/>
        <v>448</v>
      </c>
      <c r="G34" s="20">
        <f t="shared" si="8"/>
        <v>490.8</v>
      </c>
      <c r="H34" s="20">
        <f t="shared" si="8"/>
        <v>515.0000000000001</v>
      </c>
      <c r="I34" s="85">
        <f t="shared" si="8"/>
        <v>535.6</v>
      </c>
      <c r="J34" s="85">
        <f t="shared" si="8"/>
        <v>567.7360000000001</v>
      </c>
      <c r="K34" s="85">
        <f t="shared" si="8"/>
        <v>601.8001600000001</v>
      </c>
      <c r="L34" s="85">
        <f t="shared" si="8"/>
        <v>637.9081696000002</v>
      </c>
      <c r="M34" s="85">
        <f t="shared" si="8"/>
        <v>676.1826597760002</v>
      </c>
      <c r="N34" s="85">
        <f t="shared" si="8"/>
        <v>716.7536193625604</v>
      </c>
      <c r="O34" s="85">
        <f t="shared" si="8"/>
        <v>759.758836524314</v>
      </c>
    </row>
    <row r="35" spans="1:15" ht="12.75">
      <c r="A35" s="5"/>
      <c r="B35" s="22" t="s">
        <v>18</v>
      </c>
      <c r="C35" s="49">
        <f aca="true" t="shared" si="9" ref="C35:O35">SUM(C30:C34)</f>
        <v>18990.7</v>
      </c>
      <c r="D35" s="49">
        <f t="shared" si="9"/>
        <v>20008.3</v>
      </c>
      <c r="E35" s="49">
        <f t="shared" si="9"/>
        <v>20775.9</v>
      </c>
      <c r="F35" s="49">
        <f t="shared" si="9"/>
        <v>21052.2</v>
      </c>
      <c r="G35" s="49">
        <f t="shared" si="9"/>
        <v>21797.299999999996</v>
      </c>
      <c r="H35" s="49">
        <f t="shared" si="9"/>
        <v>23391</v>
      </c>
      <c r="I35" s="86">
        <f t="shared" si="9"/>
        <v>24326.64</v>
      </c>
      <c r="J35" s="86">
        <f t="shared" si="9"/>
        <v>25786.238400000006</v>
      </c>
      <c r="K35" s="86">
        <f t="shared" si="9"/>
        <v>27333.412704000002</v>
      </c>
      <c r="L35" s="86">
        <f t="shared" si="9"/>
        <v>28973.417466240007</v>
      </c>
      <c r="M35" s="86">
        <f t="shared" si="9"/>
        <v>30711.822514214407</v>
      </c>
      <c r="N35" s="86">
        <f t="shared" si="9"/>
        <v>32554.531865067274</v>
      </c>
      <c r="O35" s="86">
        <f t="shared" si="9"/>
        <v>34507.80377697131</v>
      </c>
    </row>
    <row r="36" spans="1:15" ht="12.75">
      <c r="A36" s="5" t="s">
        <v>119</v>
      </c>
      <c r="B36" s="5"/>
      <c r="C36" s="5"/>
      <c r="D36" s="87" t="s">
        <v>119</v>
      </c>
      <c r="E36" s="87" t="s">
        <v>119</v>
      </c>
      <c r="F36" s="87" t="s">
        <v>119</v>
      </c>
      <c r="G36" s="87" t="s">
        <v>119</v>
      </c>
      <c r="H36" s="88" t="s">
        <v>119</v>
      </c>
      <c r="I36" s="88" t="s">
        <v>119</v>
      </c>
      <c r="J36" s="87" t="s">
        <v>119</v>
      </c>
      <c r="K36" s="87" t="s">
        <v>119</v>
      </c>
      <c r="L36" s="87" t="s">
        <v>119</v>
      </c>
      <c r="M36" s="87" t="s">
        <v>119</v>
      </c>
      <c r="N36" s="87" t="s">
        <v>119</v>
      </c>
      <c r="O36" s="87" t="s">
        <v>119</v>
      </c>
    </row>
    <row r="37" spans="1:15" ht="12.75">
      <c r="A37" s="5"/>
      <c r="B37" s="5"/>
      <c r="C37" s="5"/>
      <c r="D37" s="5"/>
      <c r="E37" s="5"/>
      <c r="F37" s="5"/>
      <c r="G37" s="5"/>
      <c r="H37" s="81">
        <f aca="true" t="shared" si="10" ref="H37:O38">+H8+H14+H20+H25</f>
        <v>8200</v>
      </c>
      <c r="I37" s="81">
        <f t="shared" si="10"/>
        <v>8528</v>
      </c>
      <c r="J37" s="81">
        <f t="shared" si="10"/>
        <v>9039.68</v>
      </c>
      <c r="K37" s="81">
        <f t="shared" si="10"/>
        <v>9582.060800000001</v>
      </c>
      <c r="L37" s="81">
        <f t="shared" si="10"/>
        <v>10156.984448000003</v>
      </c>
      <c r="M37" s="81">
        <f t="shared" si="10"/>
        <v>10766.403514880003</v>
      </c>
      <c r="N37" s="81">
        <f t="shared" si="10"/>
        <v>11412.387725772802</v>
      </c>
      <c r="O37" s="81">
        <f t="shared" si="10"/>
        <v>12097.130989319172</v>
      </c>
    </row>
    <row r="38" spans="1:15" ht="12.75">
      <c r="A38" t="s">
        <v>119</v>
      </c>
      <c r="H38" s="81">
        <f t="shared" si="10"/>
        <v>11652.000000000002</v>
      </c>
      <c r="I38" s="81">
        <f t="shared" si="10"/>
        <v>12118.080000000002</v>
      </c>
      <c r="J38" s="81">
        <f t="shared" si="10"/>
        <v>12845.164800000004</v>
      </c>
      <c r="K38" s="81">
        <f t="shared" si="10"/>
        <v>13615.874688000004</v>
      </c>
      <c r="L38" s="81">
        <f t="shared" si="10"/>
        <v>14432.827169280004</v>
      </c>
      <c r="M38" s="81">
        <f t="shared" si="10"/>
        <v>15298.796799436805</v>
      </c>
      <c r="N38" s="81">
        <f t="shared" si="10"/>
        <v>16216.724607403015</v>
      </c>
      <c r="O38" s="81">
        <f t="shared" si="10"/>
        <v>17189.728083847196</v>
      </c>
    </row>
    <row r="39" spans="8:15" ht="12.75">
      <c r="H39" s="81">
        <f aca="true" t="shared" si="11" ref="H39:O39">+H10</f>
        <v>296</v>
      </c>
      <c r="I39" s="81">
        <f t="shared" si="11"/>
        <v>307.84000000000003</v>
      </c>
      <c r="J39" s="81">
        <f t="shared" si="11"/>
        <v>326.3104000000001</v>
      </c>
      <c r="K39" s="81">
        <f t="shared" si="11"/>
        <v>345.8890240000001</v>
      </c>
      <c r="L39" s="81">
        <f t="shared" si="11"/>
        <v>366.64236544000016</v>
      </c>
      <c r="M39" s="81">
        <f t="shared" si="11"/>
        <v>388.6409073664002</v>
      </c>
      <c r="N39" s="81">
        <f t="shared" si="11"/>
        <v>411.95936180838424</v>
      </c>
      <c r="O39" s="81">
        <f t="shared" si="11"/>
        <v>436.6769235168873</v>
      </c>
    </row>
    <row r="40" spans="1:15" ht="12.75">
      <c r="A40" t="s">
        <v>119</v>
      </c>
      <c r="H40" s="81">
        <f aca="true" t="shared" si="12" ref="H40:O41">+H11+H16+H22+H27</f>
        <v>2728</v>
      </c>
      <c r="I40" s="81">
        <f t="shared" si="12"/>
        <v>2837.1200000000003</v>
      </c>
      <c r="J40" s="81">
        <f t="shared" si="12"/>
        <v>3007.3472</v>
      </c>
      <c r="K40" s="81">
        <f t="shared" si="12"/>
        <v>3187.7880320000004</v>
      </c>
      <c r="L40" s="81">
        <f t="shared" si="12"/>
        <v>3379.055313920001</v>
      </c>
      <c r="M40" s="81">
        <f t="shared" si="12"/>
        <v>3581.7986327552007</v>
      </c>
      <c r="N40" s="81">
        <f t="shared" si="12"/>
        <v>3796.7065507205125</v>
      </c>
      <c r="O40" s="81">
        <f t="shared" si="12"/>
        <v>4024.5089437637434</v>
      </c>
    </row>
    <row r="41" spans="1:15" ht="12.75">
      <c r="A41" t="s">
        <v>119</v>
      </c>
      <c r="H41" s="81">
        <f t="shared" si="12"/>
        <v>515.0000000000001</v>
      </c>
      <c r="I41" s="81">
        <f t="shared" si="12"/>
        <v>535.6</v>
      </c>
      <c r="J41" s="81">
        <f t="shared" si="12"/>
        <v>567.7360000000001</v>
      </c>
      <c r="K41" s="81">
        <f t="shared" si="12"/>
        <v>601.8001600000001</v>
      </c>
      <c r="L41" s="81">
        <f t="shared" si="12"/>
        <v>637.9081696000002</v>
      </c>
      <c r="M41" s="81">
        <f t="shared" si="12"/>
        <v>676.1826597760002</v>
      </c>
      <c r="N41" s="81">
        <f t="shared" si="12"/>
        <v>716.7536193625604</v>
      </c>
      <c r="O41" s="81">
        <f t="shared" si="12"/>
        <v>759.758836524314</v>
      </c>
    </row>
    <row r="42" ht="12.75">
      <c r="A42" t="s">
        <v>119</v>
      </c>
    </row>
    <row r="43" spans="1:15" ht="12.75">
      <c r="A43" t="s">
        <v>119</v>
      </c>
      <c r="H43" s="81">
        <f aca="true" t="shared" si="13" ref="H43:O43">SUM(H37:H41)</f>
        <v>23391</v>
      </c>
      <c r="I43" s="81">
        <f t="shared" si="13"/>
        <v>24326.64</v>
      </c>
      <c r="J43" s="81">
        <f t="shared" si="13"/>
        <v>25786.238400000006</v>
      </c>
      <c r="K43" s="81">
        <f t="shared" si="13"/>
        <v>27333.412704000002</v>
      </c>
      <c r="L43" s="81">
        <f t="shared" si="13"/>
        <v>28973.417466240007</v>
      </c>
      <c r="M43" s="81">
        <f t="shared" si="13"/>
        <v>30711.822514214407</v>
      </c>
      <c r="N43" s="81">
        <f t="shared" si="13"/>
        <v>32554.531865067274</v>
      </c>
      <c r="O43" s="81">
        <f t="shared" si="13"/>
        <v>34507.80377697131</v>
      </c>
    </row>
    <row r="44" ht="12.75">
      <c r="A44" s="89"/>
    </row>
    <row r="45" ht="12.75">
      <c r="A45" s="89" t="s">
        <v>119</v>
      </c>
    </row>
    <row r="46" ht="12.75">
      <c r="A46" s="89" t="s">
        <v>119</v>
      </c>
    </row>
    <row r="47" ht="12.75">
      <c r="A47" s="89" t="s">
        <v>119</v>
      </c>
    </row>
    <row r="48" ht="12.75">
      <c r="A48" s="89" t="s">
        <v>119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92" r:id="rId1"/>
  <headerFooter alignWithMargins="0">
    <oddFooter>&amp;L&amp;A&amp;R&amp;8Prepared by Office of Planning, Budgeting and Policy Analysis, DCU,  &amp;F 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="75" zoomScaleNormal="75" workbookViewId="0" topLeftCell="A1">
      <pane xSplit="2" ySplit="5" topLeftCell="C6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2.75"/>
  <cols>
    <col min="2" max="2" width="15.00390625" style="0" customWidth="1"/>
    <col min="3" max="3" width="9.421875" style="0" customWidth="1"/>
  </cols>
  <sheetData>
    <row r="1" spans="1:13" ht="15.75">
      <c r="A1" s="1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5.75">
      <c r="A2" s="1"/>
    </row>
    <row r="3" spans="1:7" ht="13.5" thickBot="1">
      <c r="A3" s="42" t="s">
        <v>78</v>
      </c>
      <c r="B3" s="5"/>
      <c r="C3" s="5"/>
      <c r="D3" s="5"/>
      <c r="E3" s="5"/>
      <c r="F3" s="5"/>
      <c r="G3" s="5"/>
    </row>
    <row r="4" spans="1:15" ht="58.5" customHeight="1" thickBot="1">
      <c r="A4" s="5"/>
      <c r="B4" s="5"/>
      <c r="C4" s="6" t="s">
        <v>0</v>
      </c>
      <c r="D4" s="7" t="s">
        <v>0</v>
      </c>
      <c r="E4" s="7" t="s">
        <v>0</v>
      </c>
      <c r="F4" s="7" t="s">
        <v>0</v>
      </c>
      <c r="G4" s="51" t="s">
        <v>91</v>
      </c>
      <c r="H4" s="50"/>
      <c r="I4" s="8" t="s">
        <v>92</v>
      </c>
      <c r="J4" s="8"/>
      <c r="K4" s="9"/>
      <c r="L4" s="9"/>
      <c r="M4" s="9"/>
      <c r="N4" s="9"/>
      <c r="O4" s="9"/>
    </row>
    <row r="5" spans="1:15" ht="13.5" thickBot="1">
      <c r="A5" s="5"/>
      <c r="B5" s="5"/>
      <c r="C5" s="10" t="s">
        <v>1</v>
      </c>
      <c r="D5" s="11" t="s">
        <v>2</v>
      </c>
      <c r="E5" s="11" t="s">
        <v>3</v>
      </c>
      <c r="F5" s="12" t="s">
        <v>94</v>
      </c>
      <c r="G5" s="13" t="s">
        <v>4</v>
      </c>
      <c r="H5" s="13" t="s">
        <v>5</v>
      </c>
      <c r="I5" s="13" t="s">
        <v>6</v>
      </c>
      <c r="J5" s="14" t="s">
        <v>7</v>
      </c>
      <c r="K5" s="15" t="s">
        <v>8</v>
      </c>
      <c r="L5" s="15" t="s">
        <v>9</v>
      </c>
      <c r="M5" s="15" t="s">
        <v>10</v>
      </c>
      <c r="N5" s="15" t="s">
        <v>11</v>
      </c>
      <c r="O5" s="15" t="s">
        <v>12</v>
      </c>
    </row>
    <row r="6" spans="1:7" ht="12.75">
      <c r="A6" s="42" t="s">
        <v>79</v>
      </c>
      <c r="B6" s="5"/>
      <c r="C6" s="5"/>
      <c r="D6" s="5"/>
      <c r="E6" s="5"/>
      <c r="F6" s="5"/>
      <c r="G6" s="5"/>
    </row>
    <row r="7" spans="1:7" ht="12.75">
      <c r="A7" s="42"/>
      <c r="B7" s="40"/>
      <c r="C7" s="40"/>
      <c r="D7" s="5"/>
      <c r="E7" s="5"/>
      <c r="F7" s="5"/>
      <c r="G7" s="5"/>
    </row>
    <row r="8" spans="1:15" ht="12.75">
      <c r="A8" s="42"/>
      <c r="B8" s="16" t="s">
        <v>13</v>
      </c>
      <c r="C8" s="52">
        <v>2760.175</v>
      </c>
      <c r="D8" s="17">
        <v>3020.1</v>
      </c>
      <c r="E8" s="17">
        <v>3197.6</v>
      </c>
      <c r="F8" s="17">
        <v>3283.4</v>
      </c>
      <c r="G8" s="17">
        <v>3686</v>
      </c>
      <c r="H8" s="18">
        <v>3847</v>
      </c>
      <c r="I8" s="18">
        <v>4332</v>
      </c>
      <c r="J8" s="18">
        <v>4432</v>
      </c>
      <c r="K8" s="18">
        <v>4552</v>
      </c>
      <c r="L8" s="18">
        <v>4677</v>
      </c>
      <c r="M8" s="18">
        <v>4817</v>
      </c>
      <c r="N8" s="18">
        <v>4972</v>
      </c>
      <c r="O8" s="18">
        <v>5153</v>
      </c>
    </row>
    <row r="9" spans="1:15" ht="12.75">
      <c r="A9" s="42"/>
      <c r="B9" s="16" t="s">
        <v>14</v>
      </c>
      <c r="C9" s="52">
        <v>3592.475</v>
      </c>
      <c r="D9" s="17">
        <v>3865.6</v>
      </c>
      <c r="E9" s="17">
        <v>3985.3</v>
      </c>
      <c r="F9" s="17">
        <v>4131.6</v>
      </c>
      <c r="G9" s="17">
        <v>4336</v>
      </c>
      <c r="H9" s="18">
        <v>4533</v>
      </c>
      <c r="I9" s="18">
        <v>5107</v>
      </c>
      <c r="J9" s="18">
        <v>5207</v>
      </c>
      <c r="K9" s="18">
        <v>5322</v>
      </c>
      <c r="L9" s="18">
        <v>5442</v>
      </c>
      <c r="M9" s="18">
        <v>5572</v>
      </c>
      <c r="N9" s="18">
        <v>5834</v>
      </c>
      <c r="O9" s="18">
        <v>6084</v>
      </c>
    </row>
    <row r="10" spans="1:15" ht="12.75">
      <c r="A10" s="42"/>
      <c r="B10" s="19" t="s">
        <v>16</v>
      </c>
      <c r="C10" s="53">
        <v>683.90625</v>
      </c>
      <c r="D10" s="17">
        <v>744.7</v>
      </c>
      <c r="E10" s="17">
        <v>748.9</v>
      </c>
      <c r="F10" s="17">
        <v>794.1</v>
      </c>
      <c r="G10" s="17">
        <v>764.1</v>
      </c>
      <c r="H10" s="18">
        <v>786</v>
      </c>
      <c r="I10" s="18">
        <v>809</v>
      </c>
      <c r="J10" s="18">
        <v>819</v>
      </c>
      <c r="K10" s="18">
        <v>842</v>
      </c>
      <c r="L10" s="18">
        <v>866</v>
      </c>
      <c r="M10" s="18">
        <v>890</v>
      </c>
      <c r="N10" s="18">
        <v>914</v>
      </c>
      <c r="O10" s="18">
        <v>938</v>
      </c>
    </row>
    <row r="11" spans="1:15" ht="12.75">
      <c r="A11" s="42"/>
      <c r="B11" s="19" t="s">
        <v>17</v>
      </c>
      <c r="C11" s="53">
        <v>38.09375</v>
      </c>
      <c r="D11" s="17">
        <v>41.3</v>
      </c>
      <c r="E11" s="17">
        <v>43.5</v>
      </c>
      <c r="F11" s="17">
        <v>38.3</v>
      </c>
      <c r="G11" s="17">
        <v>31</v>
      </c>
      <c r="H11" s="18">
        <v>35</v>
      </c>
      <c r="I11" s="18">
        <v>38</v>
      </c>
      <c r="J11" s="18">
        <v>68</v>
      </c>
      <c r="K11" s="18">
        <v>71</v>
      </c>
      <c r="L11" s="18">
        <v>74</v>
      </c>
      <c r="M11" s="18">
        <v>77</v>
      </c>
      <c r="N11" s="18">
        <v>80</v>
      </c>
      <c r="O11" s="18">
        <v>83</v>
      </c>
    </row>
    <row r="12" spans="1:15" ht="12.75">
      <c r="A12" s="42" t="s">
        <v>32</v>
      </c>
      <c r="B12" s="5"/>
      <c r="C12" s="54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</row>
    <row r="13" spans="1:15" ht="12.75">
      <c r="A13" s="42"/>
      <c r="B13" s="16" t="s">
        <v>13</v>
      </c>
      <c r="C13" s="52">
        <v>45.575</v>
      </c>
      <c r="D13" s="17">
        <v>41.2</v>
      </c>
      <c r="E13" s="17">
        <v>45.6</v>
      </c>
      <c r="F13" s="17">
        <v>64.3</v>
      </c>
      <c r="G13" s="17">
        <v>74</v>
      </c>
      <c r="H13" s="18">
        <v>74</v>
      </c>
      <c r="I13" s="18">
        <v>78</v>
      </c>
      <c r="J13" s="18">
        <v>81</v>
      </c>
      <c r="K13" s="18">
        <v>85</v>
      </c>
      <c r="L13" s="18">
        <v>87</v>
      </c>
      <c r="M13" s="18">
        <v>90</v>
      </c>
      <c r="N13" s="18">
        <v>92</v>
      </c>
      <c r="O13" s="18">
        <v>94</v>
      </c>
    </row>
    <row r="14" spans="1:15" ht="12.75">
      <c r="A14" s="42"/>
      <c r="B14" s="16" t="s">
        <v>14</v>
      </c>
      <c r="C14" s="52">
        <v>52.225</v>
      </c>
      <c r="D14" s="17">
        <v>79.9</v>
      </c>
      <c r="E14" s="17">
        <v>121.4</v>
      </c>
      <c r="F14" s="17">
        <v>137.1</v>
      </c>
      <c r="G14" s="17">
        <v>155</v>
      </c>
      <c r="H14" s="18">
        <v>156</v>
      </c>
      <c r="I14" s="18">
        <v>165</v>
      </c>
      <c r="J14" s="18">
        <v>173</v>
      </c>
      <c r="K14" s="18">
        <v>180</v>
      </c>
      <c r="L14" s="18">
        <v>185</v>
      </c>
      <c r="M14" s="18">
        <v>190</v>
      </c>
      <c r="N14" s="18">
        <v>194</v>
      </c>
      <c r="O14" s="18">
        <v>198</v>
      </c>
    </row>
    <row r="15" spans="1:15" ht="12.75">
      <c r="A15" s="42"/>
      <c r="B15" s="19" t="s">
        <v>16</v>
      </c>
      <c r="C15" s="53">
        <v>156.15625</v>
      </c>
      <c r="D15" s="17">
        <v>148.7</v>
      </c>
      <c r="E15" s="17">
        <v>158.5</v>
      </c>
      <c r="F15" s="17">
        <v>127.8</v>
      </c>
      <c r="G15" s="17">
        <v>105</v>
      </c>
      <c r="H15" s="18">
        <v>136</v>
      </c>
      <c r="I15" s="18">
        <v>141</v>
      </c>
      <c r="J15" s="18">
        <v>145</v>
      </c>
      <c r="K15" s="18">
        <v>150</v>
      </c>
      <c r="L15" s="18">
        <v>153</v>
      </c>
      <c r="M15" s="18">
        <v>157</v>
      </c>
      <c r="N15" s="18">
        <v>161</v>
      </c>
      <c r="O15" s="18">
        <v>166</v>
      </c>
    </row>
    <row r="16" spans="1:15" ht="12.75">
      <c r="A16" s="42"/>
      <c r="B16" s="19" t="s">
        <v>17</v>
      </c>
      <c r="C16" s="53">
        <v>0.28125</v>
      </c>
      <c r="D16" s="17">
        <v>0.2</v>
      </c>
      <c r="E16" s="17">
        <v>1.3</v>
      </c>
      <c r="F16" s="17">
        <v>0.1</v>
      </c>
      <c r="G16" s="17">
        <v>1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</row>
    <row r="17" spans="1:15" ht="12.75">
      <c r="A17" s="42" t="s">
        <v>80</v>
      </c>
      <c r="B17" s="5"/>
      <c r="C17" s="54"/>
      <c r="D17" s="17"/>
      <c r="E17" s="17"/>
      <c r="F17" s="17"/>
      <c r="G17" s="17"/>
      <c r="H17" s="18"/>
      <c r="I17" s="18"/>
      <c r="J17" s="18"/>
      <c r="K17" s="18"/>
      <c r="L17" s="18"/>
      <c r="M17" s="18"/>
      <c r="N17" s="18"/>
      <c r="O17" s="18"/>
    </row>
    <row r="18" spans="1:15" ht="12.75">
      <c r="A18" s="42"/>
      <c r="B18" s="16" t="s">
        <v>13</v>
      </c>
      <c r="C18" s="54">
        <f aca="true" t="shared" si="0" ref="C18:O18">+C8+C13</f>
        <v>2805.75</v>
      </c>
      <c r="D18" s="17">
        <f t="shared" si="0"/>
        <v>3061.2999999999997</v>
      </c>
      <c r="E18" s="17">
        <f t="shared" si="0"/>
        <v>3243.2</v>
      </c>
      <c r="F18" s="17">
        <f t="shared" si="0"/>
        <v>3347.7000000000003</v>
      </c>
      <c r="G18" s="17">
        <f t="shared" si="0"/>
        <v>3760</v>
      </c>
      <c r="H18" s="17">
        <f t="shared" si="0"/>
        <v>3921</v>
      </c>
      <c r="I18" s="17">
        <f t="shared" si="0"/>
        <v>4410</v>
      </c>
      <c r="J18" s="17">
        <f t="shared" si="0"/>
        <v>4513</v>
      </c>
      <c r="K18" s="17">
        <f t="shared" si="0"/>
        <v>4637</v>
      </c>
      <c r="L18" s="17">
        <f t="shared" si="0"/>
        <v>4764</v>
      </c>
      <c r="M18" s="17">
        <f t="shared" si="0"/>
        <v>4907</v>
      </c>
      <c r="N18" s="17">
        <f t="shared" si="0"/>
        <v>5064</v>
      </c>
      <c r="O18" s="17">
        <f t="shared" si="0"/>
        <v>5247</v>
      </c>
    </row>
    <row r="19" spans="1:15" ht="12.75">
      <c r="A19" s="42"/>
      <c r="B19" s="16" t="s">
        <v>14</v>
      </c>
      <c r="C19" s="54">
        <f aca="true" t="shared" si="1" ref="C19:O19">+C9+C14</f>
        <v>3644.7</v>
      </c>
      <c r="D19" s="17">
        <f t="shared" si="1"/>
        <v>3945.5</v>
      </c>
      <c r="E19" s="17">
        <f t="shared" si="1"/>
        <v>4106.7</v>
      </c>
      <c r="F19" s="17">
        <f t="shared" si="1"/>
        <v>4268.700000000001</v>
      </c>
      <c r="G19" s="17">
        <f t="shared" si="1"/>
        <v>4491</v>
      </c>
      <c r="H19" s="17">
        <f t="shared" si="1"/>
        <v>4689</v>
      </c>
      <c r="I19" s="17">
        <f t="shared" si="1"/>
        <v>5272</v>
      </c>
      <c r="J19" s="17">
        <f t="shared" si="1"/>
        <v>5380</v>
      </c>
      <c r="K19" s="17">
        <f t="shared" si="1"/>
        <v>5502</v>
      </c>
      <c r="L19" s="17">
        <f t="shared" si="1"/>
        <v>5627</v>
      </c>
      <c r="M19" s="17">
        <f t="shared" si="1"/>
        <v>5762</v>
      </c>
      <c r="N19" s="17">
        <f t="shared" si="1"/>
        <v>6028</v>
      </c>
      <c r="O19" s="17">
        <f t="shared" si="1"/>
        <v>6282</v>
      </c>
    </row>
    <row r="20" spans="1:15" ht="12.75">
      <c r="A20" s="5"/>
      <c r="B20" s="19" t="s">
        <v>16</v>
      </c>
      <c r="C20" s="54">
        <f aca="true" t="shared" si="2" ref="C20:O20">+C10+C15</f>
        <v>840.0625</v>
      </c>
      <c r="D20" s="17">
        <f t="shared" si="2"/>
        <v>893.4000000000001</v>
      </c>
      <c r="E20" s="17">
        <f t="shared" si="2"/>
        <v>907.4</v>
      </c>
      <c r="F20" s="17">
        <f t="shared" si="2"/>
        <v>921.9</v>
      </c>
      <c r="G20" s="17">
        <f t="shared" si="2"/>
        <v>869.1</v>
      </c>
      <c r="H20" s="17">
        <f t="shared" si="2"/>
        <v>922</v>
      </c>
      <c r="I20" s="17">
        <f t="shared" si="2"/>
        <v>950</v>
      </c>
      <c r="J20" s="17">
        <f t="shared" si="2"/>
        <v>964</v>
      </c>
      <c r="K20" s="17">
        <f t="shared" si="2"/>
        <v>992</v>
      </c>
      <c r="L20" s="17">
        <f t="shared" si="2"/>
        <v>1019</v>
      </c>
      <c r="M20" s="17">
        <f t="shared" si="2"/>
        <v>1047</v>
      </c>
      <c r="N20" s="17">
        <f t="shared" si="2"/>
        <v>1075</v>
      </c>
      <c r="O20" s="17">
        <f t="shared" si="2"/>
        <v>1104</v>
      </c>
    </row>
    <row r="21" spans="1:15" ht="13.5" thickBot="1">
      <c r="A21" s="5"/>
      <c r="B21" s="19" t="s">
        <v>17</v>
      </c>
      <c r="C21" s="55">
        <f aca="true" t="shared" si="3" ref="C21:O21">+C11+C16</f>
        <v>38.375</v>
      </c>
      <c r="D21" s="20">
        <f t="shared" si="3"/>
        <v>41.5</v>
      </c>
      <c r="E21" s="20">
        <f t="shared" si="3"/>
        <v>44.8</v>
      </c>
      <c r="F21" s="20">
        <f t="shared" si="3"/>
        <v>38.4</v>
      </c>
      <c r="G21" s="20">
        <f t="shared" si="3"/>
        <v>32</v>
      </c>
      <c r="H21" s="20">
        <f t="shared" si="3"/>
        <v>35</v>
      </c>
      <c r="I21" s="20">
        <f t="shared" si="3"/>
        <v>38</v>
      </c>
      <c r="J21" s="20">
        <f t="shared" si="3"/>
        <v>68</v>
      </c>
      <c r="K21" s="20">
        <f t="shared" si="3"/>
        <v>71</v>
      </c>
      <c r="L21" s="20">
        <f t="shared" si="3"/>
        <v>74</v>
      </c>
      <c r="M21" s="20">
        <f t="shared" si="3"/>
        <v>77</v>
      </c>
      <c r="N21" s="20">
        <f t="shared" si="3"/>
        <v>80</v>
      </c>
      <c r="O21" s="20">
        <f t="shared" si="3"/>
        <v>83</v>
      </c>
    </row>
    <row r="22" spans="1:15" ht="12.75">
      <c r="A22" s="5"/>
      <c r="B22" s="45" t="s">
        <v>29</v>
      </c>
      <c r="C22" s="54">
        <f aca="true" t="shared" si="4" ref="C22:O22">SUM(C18:C21)</f>
        <v>7328.8875</v>
      </c>
      <c r="D22" s="17">
        <f t="shared" si="4"/>
        <v>7941.699999999999</v>
      </c>
      <c r="E22" s="17">
        <f t="shared" si="4"/>
        <v>8302.099999999999</v>
      </c>
      <c r="F22" s="17">
        <f t="shared" si="4"/>
        <v>8576.7</v>
      </c>
      <c r="G22" s="17">
        <f t="shared" si="4"/>
        <v>9152.1</v>
      </c>
      <c r="H22" s="17">
        <f t="shared" si="4"/>
        <v>9567</v>
      </c>
      <c r="I22" s="17">
        <f t="shared" si="4"/>
        <v>10670</v>
      </c>
      <c r="J22" s="17">
        <f t="shared" si="4"/>
        <v>10925</v>
      </c>
      <c r="K22" s="17">
        <f t="shared" si="4"/>
        <v>11202</v>
      </c>
      <c r="L22" s="17">
        <f t="shared" si="4"/>
        <v>11484</v>
      </c>
      <c r="M22" s="17">
        <f t="shared" si="4"/>
        <v>11793</v>
      </c>
      <c r="N22" s="17">
        <f t="shared" si="4"/>
        <v>12247</v>
      </c>
      <c r="O22" s="17">
        <f t="shared" si="4"/>
        <v>12716</v>
      </c>
    </row>
    <row r="23" spans="1:7" ht="12.75">
      <c r="A23" s="5"/>
      <c r="B23" s="5"/>
      <c r="C23" s="5"/>
      <c r="D23" s="5"/>
      <c r="E23" s="5"/>
      <c r="F23" s="5"/>
      <c r="G23" s="5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2.75">
      <c r="A30" s="5"/>
      <c r="B30" s="5"/>
      <c r="C30" s="5"/>
      <c r="D30" s="5"/>
      <c r="E30" s="5"/>
      <c r="F30" s="5"/>
      <c r="G30" s="5"/>
    </row>
    <row r="31" spans="1:7" ht="12.75">
      <c r="A31" s="5"/>
      <c r="B31" s="5"/>
      <c r="C31" s="5"/>
      <c r="D31" s="5"/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</sheetData>
  <printOptions horizontalCentered="1"/>
  <pageMargins left="0.25" right="0.25" top="1" bottom="1" header="0.5" footer="0.5"/>
  <pageSetup fitToHeight="1" fitToWidth="1" horizontalDpi="600" verticalDpi="600" orientation="landscape" scale="95" r:id="rId1"/>
  <headerFooter alignWithMargins="0">
    <oddFooter>&amp;L&amp;A&amp;R&amp;8Prepared by Office of Planning, Budgeting and Policy Analysis, DCU,  &amp;F  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="75" zoomScaleNormal="75" workbookViewId="0" topLeftCell="A1">
      <pane xSplit="4" ySplit="5" topLeftCell="E6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2.75"/>
  <cols>
    <col min="2" max="2" width="15.00390625" style="0" customWidth="1"/>
    <col min="3" max="3" width="9.421875" style="0" customWidth="1"/>
  </cols>
  <sheetData>
    <row r="1" spans="1:13" ht="15.75">
      <c r="A1" s="1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7" ht="13.5" thickBot="1">
      <c r="A3" s="23" t="s">
        <v>81</v>
      </c>
      <c r="B3" s="5"/>
      <c r="C3" s="5"/>
      <c r="D3" s="5"/>
      <c r="E3" s="5"/>
      <c r="F3" s="5"/>
      <c r="G3" s="5"/>
    </row>
    <row r="4" spans="1:15" ht="58.5" customHeight="1" thickBot="1">
      <c r="A4" s="5"/>
      <c r="B4" s="5"/>
      <c r="C4" s="6" t="s">
        <v>0</v>
      </c>
      <c r="D4" s="7" t="s">
        <v>0</v>
      </c>
      <c r="E4" s="7" t="s">
        <v>0</v>
      </c>
      <c r="F4" s="7" t="s">
        <v>0</v>
      </c>
      <c r="G4" s="51" t="s">
        <v>0</v>
      </c>
      <c r="H4" s="50"/>
      <c r="I4" s="8" t="s">
        <v>92</v>
      </c>
      <c r="J4" s="8"/>
      <c r="K4" s="9"/>
      <c r="L4" s="9"/>
      <c r="M4" s="9"/>
      <c r="N4" s="9"/>
      <c r="O4" s="9"/>
    </row>
    <row r="5" spans="1:15" ht="13.5" thickBot="1">
      <c r="A5" s="5"/>
      <c r="B5" s="5"/>
      <c r="C5" s="10" t="s">
        <v>1</v>
      </c>
      <c r="D5" s="11" t="s">
        <v>2</v>
      </c>
      <c r="E5" s="11" t="s">
        <v>3</v>
      </c>
      <c r="F5" s="12" t="s">
        <v>94</v>
      </c>
      <c r="G5" s="13" t="s">
        <v>4</v>
      </c>
      <c r="H5" s="13" t="s">
        <v>5</v>
      </c>
      <c r="I5" s="13" t="s">
        <v>6</v>
      </c>
      <c r="J5" s="14" t="s">
        <v>7</v>
      </c>
      <c r="K5" s="15" t="s">
        <v>8</v>
      </c>
      <c r="L5" s="15" t="s">
        <v>9</v>
      </c>
      <c r="M5" s="15" t="s">
        <v>10</v>
      </c>
      <c r="N5" s="15" t="s">
        <v>11</v>
      </c>
      <c r="O5" s="15" t="s">
        <v>12</v>
      </c>
    </row>
    <row r="6" spans="1:7" ht="12.75">
      <c r="A6" s="23" t="s">
        <v>82</v>
      </c>
      <c r="B6" s="5"/>
      <c r="C6" s="5"/>
      <c r="D6" s="5"/>
      <c r="E6" s="5"/>
      <c r="F6" s="5"/>
      <c r="G6" s="5"/>
    </row>
    <row r="7" spans="1:7" ht="12.75">
      <c r="A7" s="23"/>
      <c r="B7" s="4"/>
      <c r="C7" s="4"/>
      <c r="D7" s="5"/>
      <c r="E7" s="5"/>
      <c r="F7" s="5"/>
      <c r="G7" s="5"/>
    </row>
    <row r="8" spans="1:15" ht="12.75">
      <c r="A8" s="23"/>
      <c r="B8" s="16" t="s">
        <v>13</v>
      </c>
      <c r="C8" s="52">
        <v>689.675</v>
      </c>
      <c r="D8" s="17">
        <v>899.7</v>
      </c>
      <c r="E8" s="17">
        <v>1223.4</v>
      </c>
      <c r="F8" s="17">
        <v>1376.7</v>
      </c>
      <c r="G8" s="17">
        <v>1571</v>
      </c>
      <c r="H8" s="18">
        <v>1768</v>
      </c>
      <c r="I8" s="18">
        <v>1963</v>
      </c>
      <c r="J8" s="18">
        <v>2198</v>
      </c>
      <c r="K8" s="18">
        <v>2462</v>
      </c>
      <c r="L8" s="18">
        <v>2758</v>
      </c>
      <c r="M8" s="18">
        <v>3143.7</v>
      </c>
      <c r="N8" s="18">
        <v>3395</v>
      </c>
      <c r="O8" s="18">
        <v>3666.7</v>
      </c>
    </row>
    <row r="9" spans="1:15" ht="12.75">
      <c r="A9" s="23"/>
      <c r="B9" s="16" t="s">
        <v>14</v>
      </c>
      <c r="C9" s="52">
        <v>894.275</v>
      </c>
      <c r="D9" s="17">
        <v>1085.9</v>
      </c>
      <c r="E9" s="17">
        <v>1218.7</v>
      </c>
      <c r="F9" s="17">
        <v>1387</v>
      </c>
      <c r="G9" s="17">
        <v>1550.5</v>
      </c>
      <c r="H9" s="18">
        <v>1622</v>
      </c>
      <c r="I9" s="18">
        <v>1847</v>
      </c>
      <c r="J9" s="18">
        <v>2098</v>
      </c>
      <c r="K9" s="18">
        <v>2329</v>
      </c>
      <c r="L9" s="18">
        <v>2608</v>
      </c>
      <c r="M9" s="18">
        <v>2843</v>
      </c>
      <c r="N9" s="18">
        <v>3070</v>
      </c>
      <c r="O9" s="18">
        <v>3316</v>
      </c>
    </row>
    <row r="10" spans="1:15" ht="12.75">
      <c r="A10" s="23"/>
      <c r="B10" s="19" t="s">
        <v>16</v>
      </c>
      <c r="C10" s="53">
        <v>267.96875</v>
      </c>
      <c r="D10" s="17">
        <v>341.3</v>
      </c>
      <c r="E10" s="17">
        <v>406.2</v>
      </c>
      <c r="F10" s="17">
        <v>451.9</v>
      </c>
      <c r="G10" s="17">
        <v>425</v>
      </c>
      <c r="H10" s="18">
        <v>360</v>
      </c>
      <c r="I10" s="18">
        <v>407</v>
      </c>
      <c r="J10" s="18">
        <v>427</v>
      </c>
      <c r="K10" s="18">
        <v>474</v>
      </c>
      <c r="L10" s="18">
        <v>521</v>
      </c>
      <c r="M10" s="18">
        <v>568</v>
      </c>
      <c r="N10" s="18">
        <v>614</v>
      </c>
      <c r="O10" s="18">
        <v>663</v>
      </c>
    </row>
    <row r="11" spans="1:15" ht="12.75">
      <c r="A11" s="23"/>
      <c r="B11" s="19" t="s">
        <v>17</v>
      </c>
      <c r="C11" s="53">
        <v>0</v>
      </c>
      <c r="D11" s="17">
        <v>0</v>
      </c>
      <c r="E11" s="17">
        <v>0</v>
      </c>
      <c r="F11" s="17">
        <v>0</v>
      </c>
      <c r="G11" s="17">
        <v>0</v>
      </c>
      <c r="H11" s="18">
        <v>0</v>
      </c>
      <c r="I11" s="18">
        <v>0</v>
      </c>
      <c r="J11" s="18">
        <v>10</v>
      </c>
      <c r="K11" s="18">
        <v>15</v>
      </c>
      <c r="L11" s="18">
        <v>30</v>
      </c>
      <c r="M11" s="18">
        <v>50</v>
      </c>
      <c r="N11" s="18">
        <v>60</v>
      </c>
      <c r="O11" s="18">
        <v>75</v>
      </c>
    </row>
    <row r="12" spans="1:15" ht="12.75">
      <c r="A12" s="23" t="s">
        <v>32</v>
      </c>
      <c r="B12" s="5"/>
      <c r="C12" s="54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</row>
    <row r="13" spans="1:15" ht="12.75">
      <c r="A13" s="23"/>
      <c r="B13" s="16" t="s">
        <v>13</v>
      </c>
      <c r="C13" s="52">
        <v>0.125</v>
      </c>
      <c r="D13" s="17">
        <v>0</v>
      </c>
      <c r="E13" s="17">
        <v>0</v>
      </c>
      <c r="F13" s="17">
        <v>2.9</v>
      </c>
      <c r="G13" s="17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11.7</v>
      </c>
      <c r="N13" s="18">
        <v>13</v>
      </c>
      <c r="O13" s="18">
        <v>13.7</v>
      </c>
    </row>
    <row r="14" spans="1:15" ht="12.75">
      <c r="A14" s="23"/>
      <c r="B14" s="16" t="s">
        <v>14</v>
      </c>
      <c r="C14" s="52">
        <v>56.55</v>
      </c>
      <c r="D14" s="17">
        <v>29</v>
      </c>
      <c r="E14" s="17">
        <v>72.6</v>
      </c>
      <c r="F14" s="17">
        <v>74.8</v>
      </c>
      <c r="G14" s="17">
        <v>96.7</v>
      </c>
      <c r="H14" s="18">
        <v>103</v>
      </c>
      <c r="I14" s="18">
        <v>116</v>
      </c>
      <c r="J14" s="18">
        <v>130</v>
      </c>
      <c r="K14" s="18">
        <v>144</v>
      </c>
      <c r="L14" s="18">
        <v>159</v>
      </c>
      <c r="M14" s="18">
        <v>173</v>
      </c>
      <c r="N14" s="18">
        <v>187</v>
      </c>
      <c r="O14" s="18">
        <v>202</v>
      </c>
    </row>
    <row r="15" spans="1:15" ht="12.75">
      <c r="A15" s="23"/>
      <c r="B15" s="19" t="s">
        <v>16</v>
      </c>
      <c r="C15" s="53">
        <v>30.96875</v>
      </c>
      <c r="D15" s="17">
        <v>32.7</v>
      </c>
      <c r="E15" s="17">
        <v>43.3</v>
      </c>
      <c r="F15" s="17">
        <v>23.9</v>
      </c>
      <c r="G15" s="17">
        <v>36.3</v>
      </c>
      <c r="H15" s="18">
        <v>40</v>
      </c>
      <c r="I15" s="18">
        <v>43</v>
      </c>
      <c r="J15" s="18">
        <v>48</v>
      </c>
      <c r="K15" s="18">
        <v>53</v>
      </c>
      <c r="L15" s="18">
        <v>59</v>
      </c>
      <c r="M15" s="18">
        <v>64</v>
      </c>
      <c r="N15" s="18">
        <v>69</v>
      </c>
      <c r="O15" s="18">
        <v>74</v>
      </c>
    </row>
    <row r="16" spans="1:15" ht="12.75">
      <c r="A16" s="23"/>
      <c r="B16" s="19" t="s">
        <v>17</v>
      </c>
      <c r="C16" s="53">
        <v>0</v>
      </c>
      <c r="D16" s="17">
        <v>0</v>
      </c>
      <c r="E16" s="17">
        <v>0</v>
      </c>
      <c r="F16" s="17">
        <v>0</v>
      </c>
      <c r="G16" s="17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</row>
    <row r="17" spans="1:15" ht="12.75">
      <c r="A17" s="23" t="s">
        <v>83</v>
      </c>
      <c r="B17" s="5"/>
      <c r="C17" s="54"/>
      <c r="D17" s="17"/>
      <c r="E17" s="17"/>
      <c r="F17" s="17"/>
      <c r="G17" s="17"/>
      <c r="H17" s="18"/>
      <c r="I17" s="18"/>
      <c r="J17" s="18"/>
      <c r="K17" s="18"/>
      <c r="L17" s="18"/>
      <c r="M17" s="18"/>
      <c r="N17" s="18"/>
      <c r="O17" s="18"/>
    </row>
    <row r="18" spans="1:15" ht="12.75">
      <c r="A18" s="23"/>
      <c r="B18" s="16" t="s">
        <v>13</v>
      </c>
      <c r="C18" s="54">
        <f aca="true" t="shared" si="0" ref="C18:K18">+C8+C13</f>
        <v>689.8</v>
      </c>
      <c r="D18" s="17">
        <f t="shared" si="0"/>
        <v>899.7</v>
      </c>
      <c r="E18" s="17">
        <f t="shared" si="0"/>
        <v>1223.4</v>
      </c>
      <c r="F18" s="17">
        <f t="shared" si="0"/>
        <v>1379.6000000000001</v>
      </c>
      <c r="G18" s="17">
        <f t="shared" si="0"/>
        <v>1577</v>
      </c>
      <c r="H18" s="17">
        <f t="shared" si="0"/>
        <v>1775</v>
      </c>
      <c r="I18" s="17">
        <f t="shared" si="0"/>
        <v>1971</v>
      </c>
      <c r="J18" s="17">
        <f t="shared" si="0"/>
        <v>2207</v>
      </c>
      <c r="K18" s="17">
        <f t="shared" si="0"/>
        <v>2472</v>
      </c>
      <c r="L18" s="17">
        <v>2768</v>
      </c>
      <c r="M18" s="17">
        <f aca="true" t="shared" si="1" ref="M18:O21">+M8+M13</f>
        <v>3155.3999999999996</v>
      </c>
      <c r="N18" s="17">
        <f t="shared" si="1"/>
        <v>3408</v>
      </c>
      <c r="O18" s="17">
        <f t="shared" si="1"/>
        <v>3680.3999999999996</v>
      </c>
    </row>
    <row r="19" spans="1:15" ht="12.75">
      <c r="A19" s="23"/>
      <c r="B19" s="16" t="s">
        <v>14</v>
      </c>
      <c r="C19" s="54">
        <f aca="true" t="shared" si="2" ref="C19:K19">+C9+C14</f>
        <v>950.8249999999999</v>
      </c>
      <c r="D19" s="17">
        <f t="shared" si="2"/>
        <v>1114.9</v>
      </c>
      <c r="E19" s="17">
        <f t="shared" si="2"/>
        <v>1291.3</v>
      </c>
      <c r="F19" s="17">
        <f t="shared" si="2"/>
        <v>1461.8</v>
      </c>
      <c r="G19" s="17">
        <f t="shared" si="2"/>
        <v>1647.2</v>
      </c>
      <c r="H19" s="17">
        <f t="shared" si="2"/>
        <v>1725</v>
      </c>
      <c r="I19" s="17">
        <f t="shared" si="2"/>
        <v>1963</v>
      </c>
      <c r="J19" s="17">
        <f t="shared" si="2"/>
        <v>2228</v>
      </c>
      <c r="K19" s="17">
        <f t="shared" si="2"/>
        <v>2473</v>
      </c>
      <c r="L19" s="17">
        <f>+L9+L14</f>
        <v>2767</v>
      </c>
      <c r="M19" s="17">
        <f t="shared" si="1"/>
        <v>3016</v>
      </c>
      <c r="N19" s="17">
        <f t="shared" si="1"/>
        <v>3257</v>
      </c>
      <c r="O19" s="17">
        <f t="shared" si="1"/>
        <v>3518</v>
      </c>
    </row>
    <row r="20" spans="1:15" ht="12.75">
      <c r="A20" s="5"/>
      <c r="B20" s="19" t="s">
        <v>16</v>
      </c>
      <c r="C20" s="54">
        <f aca="true" t="shared" si="3" ref="C20:K20">+C10+C15</f>
        <v>298.9375</v>
      </c>
      <c r="D20" s="17">
        <f t="shared" si="3"/>
        <v>374</v>
      </c>
      <c r="E20" s="17">
        <f t="shared" si="3"/>
        <v>449.5</v>
      </c>
      <c r="F20" s="17">
        <f t="shared" si="3"/>
        <v>475.79999999999995</v>
      </c>
      <c r="G20" s="17">
        <f t="shared" si="3"/>
        <v>461.3</v>
      </c>
      <c r="H20" s="17">
        <f t="shared" si="3"/>
        <v>400</v>
      </c>
      <c r="I20" s="17">
        <f t="shared" si="3"/>
        <v>450</v>
      </c>
      <c r="J20" s="17">
        <f t="shared" si="3"/>
        <v>475</v>
      </c>
      <c r="K20" s="17">
        <f t="shared" si="3"/>
        <v>527</v>
      </c>
      <c r="L20" s="17">
        <f>+L10+L15</f>
        <v>580</v>
      </c>
      <c r="M20" s="17">
        <f t="shared" si="1"/>
        <v>632</v>
      </c>
      <c r="N20" s="17">
        <f t="shared" si="1"/>
        <v>683</v>
      </c>
      <c r="O20" s="17">
        <f t="shared" si="1"/>
        <v>737</v>
      </c>
    </row>
    <row r="21" spans="1:15" ht="13.5" thickBot="1">
      <c r="A21" s="5"/>
      <c r="B21" s="19" t="s">
        <v>17</v>
      </c>
      <c r="C21" s="55">
        <f aca="true" t="shared" si="4" ref="C21:K21">+C11+C16</f>
        <v>0</v>
      </c>
      <c r="D21" s="20">
        <f t="shared" si="4"/>
        <v>0</v>
      </c>
      <c r="E21" s="20">
        <f t="shared" si="4"/>
        <v>0</v>
      </c>
      <c r="F21" s="20">
        <f t="shared" si="4"/>
        <v>0</v>
      </c>
      <c r="G21" s="20">
        <f t="shared" si="4"/>
        <v>0</v>
      </c>
      <c r="H21" s="20">
        <f t="shared" si="4"/>
        <v>0</v>
      </c>
      <c r="I21" s="20">
        <f t="shared" si="4"/>
        <v>0</v>
      </c>
      <c r="J21" s="20">
        <f t="shared" si="4"/>
        <v>10</v>
      </c>
      <c r="K21" s="20">
        <f t="shared" si="4"/>
        <v>15</v>
      </c>
      <c r="L21" s="20">
        <f>+L11+L16</f>
        <v>30</v>
      </c>
      <c r="M21" s="20">
        <f t="shared" si="1"/>
        <v>50</v>
      </c>
      <c r="N21" s="20">
        <f t="shared" si="1"/>
        <v>60</v>
      </c>
      <c r="O21" s="20">
        <f t="shared" si="1"/>
        <v>75</v>
      </c>
    </row>
    <row r="22" spans="1:15" ht="12.75">
      <c r="A22" s="5"/>
      <c r="B22" s="22" t="s">
        <v>29</v>
      </c>
      <c r="C22" s="54">
        <f aca="true" t="shared" si="5" ref="C22:O22">SUM(C18:C21)</f>
        <v>1939.5625</v>
      </c>
      <c r="D22" s="17">
        <f t="shared" si="5"/>
        <v>2388.6000000000004</v>
      </c>
      <c r="E22" s="17">
        <f t="shared" si="5"/>
        <v>2964.2</v>
      </c>
      <c r="F22" s="17">
        <f t="shared" si="5"/>
        <v>3317.2</v>
      </c>
      <c r="G22" s="17">
        <f t="shared" si="5"/>
        <v>3685.5</v>
      </c>
      <c r="H22" s="17">
        <f t="shared" si="5"/>
        <v>3900</v>
      </c>
      <c r="I22" s="17">
        <f t="shared" si="5"/>
        <v>4384</v>
      </c>
      <c r="J22" s="17">
        <f t="shared" si="5"/>
        <v>4920</v>
      </c>
      <c r="K22" s="17">
        <f t="shared" si="5"/>
        <v>5487</v>
      </c>
      <c r="L22" s="17">
        <f t="shared" si="5"/>
        <v>6145</v>
      </c>
      <c r="M22" s="17">
        <f t="shared" si="5"/>
        <v>6853.4</v>
      </c>
      <c r="N22" s="17">
        <f t="shared" si="5"/>
        <v>7408</v>
      </c>
      <c r="O22" s="17">
        <f t="shared" si="5"/>
        <v>8010.4</v>
      </c>
    </row>
    <row r="23" spans="1:7" ht="12.75">
      <c r="A23" s="5"/>
      <c r="B23" s="5"/>
      <c r="C23" s="5"/>
      <c r="D23" s="5"/>
      <c r="E23" s="5"/>
      <c r="F23" s="5"/>
      <c r="G23" s="5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2.75">
      <c r="A30" s="5"/>
      <c r="B30" s="5"/>
      <c r="C30" s="5"/>
      <c r="D30" s="5"/>
      <c r="E30" s="5"/>
      <c r="F30" s="5"/>
      <c r="G30" s="5"/>
    </row>
    <row r="31" spans="1:7" ht="12.75">
      <c r="A31" s="5"/>
      <c r="B31" s="5"/>
      <c r="C31" s="5"/>
      <c r="D31" s="5"/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</sheetData>
  <printOptions horizontalCentered="1"/>
  <pageMargins left="0.25" right="0.25" top="1" bottom="1" header="0.5" footer="0.5"/>
  <pageSetup fitToHeight="1" fitToWidth="1" horizontalDpi="600" verticalDpi="600" orientation="landscape" scale="95" r:id="rId3"/>
  <headerFooter alignWithMargins="0">
    <oddFooter>&amp;L&amp;A&amp;R&amp;8Prepared by Office of Planning, Budgeting and Policy Analysis, DCU,  &amp;F  &amp;D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="75" zoomScaleNormal="75" workbookViewId="0" topLeftCell="A1">
      <pane xSplit="2" ySplit="5" topLeftCell="C6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2.75"/>
  <cols>
    <col min="2" max="2" width="15.00390625" style="0" customWidth="1"/>
    <col min="3" max="3" width="9.421875" style="0" customWidth="1"/>
  </cols>
  <sheetData>
    <row r="1" spans="1:13" ht="15.75">
      <c r="A1" s="1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2.75">
      <c r="A2" s="3"/>
    </row>
    <row r="3" spans="1:7" ht="13.5" thickBot="1">
      <c r="A3" s="4" t="s">
        <v>84</v>
      </c>
      <c r="B3" s="5"/>
      <c r="C3" s="5"/>
      <c r="D3" s="5"/>
      <c r="E3" s="5"/>
      <c r="F3" s="5"/>
      <c r="G3" s="5"/>
    </row>
    <row r="4" spans="1:15" ht="58.5" customHeight="1" thickBot="1">
      <c r="A4" s="5"/>
      <c r="B4" s="5"/>
      <c r="C4" s="6" t="s">
        <v>0</v>
      </c>
      <c r="D4" s="7" t="s">
        <v>0</v>
      </c>
      <c r="E4" s="7" t="s">
        <v>0</v>
      </c>
      <c r="F4" s="7" t="s">
        <v>0</v>
      </c>
      <c r="G4" s="51" t="s">
        <v>91</v>
      </c>
      <c r="H4" s="50"/>
      <c r="I4" s="8" t="s">
        <v>92</v>
      </c>
      <c r="J4" s="8"/>
      <c r="K4" s="9"/>
      <c r="L4" s="9"/>
      <c r="M4" s="9"/>
      <c r="N4" s="9"/>
      <c r="O4" s="9"/>
    </row>
    <row r="5" spans="1:15" ht="13.5" thickBot="1">
      <c r="A5" s="5"/>
      <c r="B5" s="5"/>
      <c r="C5" s="10" t="s">
        <v>1</v>
      </c>
      <c r="D5" s="11" t="s">
        <v>2</v>
      </c>
      <c r="E5" s="11" t="s">
        <v>3</v>
      </c>
      <c r="F5" s="12" t="s">
        <v>94</v>
      </c>
      <c r="G5" s="13" t="s">
        <v>4</v>
      </c>
      <c r="H5" s="13" t="s">
        <v>5</v>
      </c>
      <c r="I5" s="13" t="s">
        <v>6</v>
      </c>
      <c r="J5" s="14" t="s">
        <v>7</v>
      </c>
      <c r="K5" s="15" t="s">
        <v>8</v>
      </c>
      <c r="L5" s="15" t="s">
        <v>133</v>
      </c>
      <c r="M5" s="15" t="s">
        <v>134</v>
      </c>
      <c r="N5" s="15" t="s">
        <v>135</v>
      </c>
      <c r="O5" s="15" t="s">
        <v>136</v>
      </c>
    </row>
    <row r="6" spans="1:13" ht="12.75">
      <c r="A6" s="5"/>
      <c r="B6" s="5"/>
      <c r="C6" s="5"/>
      <c r="D6" s="26"/>
      <c r="E6" s="26"/>
      <c r="F6" s="26"/>
      <c r="G6" s="29"/>
      <c r="H6" s="30"/>
      <c r="I6" s="30"/>
      <c r="J6" s="30"/>
      <c r="K6" s="46"/>
      <c r="L6" s="31"/>
      <c r="M6" s="31"/>
    </row>
    <row r="7" spans="1:15" ht="12.75">
      <c r="A7" s="5"/>
      <c r="B7" s="16" t="s">
        <v>13</v>
      </c>
      <c r="C7" s="52">
        <v>158.6</v>
      </c>
      <c r="D7" s="17">
        <v>146.6</v>
      </c>
      <c r="E7" s="17">
        <v>155.6</v>
      </c>
      <c r="F7" s="17">
        <v>158.8</v>
      </c>
      <c r="G7" s="17">
        <v>176.4</v>
      </c>
      <c r="H7" s="18">
        <v>178.122</v>
      </c>
      <c r="I7" s="18">
        <v>185.38800000000003</v>
      </c>
      <c r="J7" s="18">
        <v>192.654</v>
      </c>
      <c r="K7" s="18">
        <v>199.92</v>
      </c>
      <c r="L7" s="18">
        <v>213.48320000000004</v>
      </c>
      <c r="M7" s="18">
        <v>227.04640000000003</v>
      </c>
      <c r="N7" s="18">
        <v>240.60960000000003</v>
      </c>
      <c r="O7" s="18">
        <v>254.17280000000002</v>
      </c>
    </row>
    <row r="8" spans="1:15" ht="13.5" thickBot="1">
      <c r="A8" s="5"/>
      <c r="B8" s="16" t="s">
        <v>14</v>
      </c>
      <c r="C8" s="55">
        <v>404.8</v>
      </c>
      <c r="D8" s="20">
        <v>401.9</v>
      </c>
      <c r="E8" s="20">
        <v>406</v>
      </c>
      <c r="F8" s="20">
        <v>416.2</v>
      </c>
      <c r="G8" s="20">
        <v>420.8</v>
      </c>
      <c r="H8" s="21">
        <v>458.02799999999996</v>
      </c>
      <c r="I8" s="21">
        <v>476.712</v>
      </c>
      <c r="J8" s="21">
        <v>495.39599999999996</v>
      </c>
      <c r="K8" s="21">
        <v>514.08</v>
      </c>
      <c r="L8" s="21">
        <v>548.9568</v>
      </c>
      <c r="M8" s="21">
        <v>583.8335999999999</v>
      </c>
      <c r="N8" s="21">
        <v>618.7104</v>
      </c>
      <c r="O8" s="21">
        <v>653.5871999999999</v>
      </c>
    </row>
    <row r="9" spans="1:15" ht="12.75">
      <c r="A9" s="5"/>
      <c r="B9" s="22" t="s">
        <v>29</v>
      </c>
      <c r="C9" s="54">
        <f>SUM(C7:C8)</f>
        <v>563.4</v>
      </c>
      <c r="D9" s="17">
        <f>SUM(D7:D8)</f>
        <v>548.5</v>
      </c>
      <c r="E9" s="17">
        <f>SUM(E7:E8)</f>
        <v>561.6</v>
      </c>
      <c r="F9" s="17">
        <f>SUM(F7:F8)</f>
        <v>575</v>
      </c>
      <c r="G9" s="17">
        <f>SUM(G7:G8)</f>
        <v>597.2</v>
      </c>
      <c r="H9" s="17">
        <v>636.15</v>
      </c>
      <c r="I9" s="17">
        <v>662.1</v>
      </c>
      <c r="J9" s="17">
        <v>688.05</v>
      </c>
      <c r="K9" s="17">
        <v>714</v>
      </c>
      <c r="L9" s="17">
        <v>762.44</v>
      </c>
      <c r="M9" s="17">
        <v>810.88</v>
      </c>
      <c r="N9" s="17">
        <v>859.32</v>
      </c>
      <c r="O9" s="17">
        <v>907.76</v>
      </c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5"/>
      <c r="B11" s="5"/>
      <c r="C11" s="5"/>
      <c r="D11" s="5"/>
      <c r="E11" s="5"/>
      <c r="F11" s="5"/>
      <c r="G11" s="5"/>
    </row>
    <row r="12" spans="1:7" ht="12.75">
      <c r="A12" s="5"/>
      <c r="B12" s="5"/>
      <c r="C12" s="5"/>
      <c r="D12" s="5"/>
      <c r="E12" s="5"/>
      <c r="F12" s="5"/>
      <c r="G12" s="5"/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5"/>
      <c r="B14" s="5"/>
      <c r="C14" s="5"/>
      <c r="D14" s="5"/>
      <c r="E14" s="5"/>
      <c r="F14" s="5"/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5"/>
      <c r="B21" s="5"/>
      <c r="C21" s="5"/>
      <c r="D21" s="5"/>
      <c r="E21" s="5"/>
      <c r="F21" s="5"/>
      <c r="G21" s="5"/>
    </row>
    <row r="22" spans="1:7" ht="12.75">
      <c r="A22" s="5"/>
      <c r="B22" s="5"/>
      <c r="C22" s="5"/>
      <c r="D22" s="5"/>
      <c r="E22" s="5"/>
      <c r="F22" s="5"/>
      <c r="G22" s="5"/>
    </row>
    <row r="23" spans="1:7" ht="12.75">
      <c r="A23" s="5"/>
      <c r="B23" s="5"/>
      <c r="C23" s="5"/>
      <c r="D23" s="5"/>
      <c r="E23" s="5"/>
      <c r="F23" s="5"/>
      <c r="G23" s="5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2.75">
      <c r="A30" s="5"/>
      <c r="B30" s="5"/>
      <c r="C30" s="5"/>
      <c r="D30" s="5"/>
      <c r="E30" s="5"/>
      <c r="F30" s="5"/>
      <c r="G30" s="5"/>
    </row>
    <row r="31" spans="1:7" ht="12.75">
      <c r="A31" s="5"/>
      <c r="B31" s="5"/>
      <c r="C31" s="5"/>
      <c r="D31" s="5"/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</sheetData>
  <printOptions horizontalCentered="1"/>
  <pageMargins left="0.25" right="0.25" top="1" bottom="1" header="0.5" footer="0.5"/>
  <pageSetup fitToHeight="1" fitToWidth="1" horizontalDpi="600" verticalDpi="600" orientation="landscape" scale="95" r:id="rId4"/>
  <headerFooter alignWithMargins="0">
    <oddFooter>&amp;L&amp;A&amp;R&amp;8Prepared by Office of Planning, Budgeting and Policy Analysis, DCU,  &amp;F  &amp;D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75" zoomScaleNormal="75" workbookViewId="0" topLeftCell="A1">
      <selection activeCell="A1" sqref="A1:D24"/>
    </sheetView>
  </sheetViews>
  <sheetFormatPr defaultColWidth="9.140625" defaultRowHeight="12.75"/>
  <cols>
    <col min="1" max="1" width="14.421875" style="0" customWidth="1"/>
    <col min="4" max="4" width="13.7109375" style="0" customWidth="1"/>
  </cols>
  <sheetData>
    <row r="1" spans="1:8" ht="15.75">
      <c r="A1" s="198" t="s">
        <v>154</v>
      </c>
      <c r="B1" s="44"/>
      <c r="C1" s="80"/>
      <c r="D1" s="80"/>
      <c r="E1" s="80"/>
      <c r="F1" s="80"/>
      <c r="G1" s="80"/>
      <c r="H1" s="80"/>
    </row>
    <row r="2" spans="1:8" ht="15.75">
      <c r="A2" s="198"/>
      <c r="B2" s="44"/>
      <c r="C2" s="80"/>
      <c r="D2" s="80"/>
      <c r="E2" s="80"/>
      <c r="F2" s="80"/>
      <c r="G2" s="80"/>
      <c r="H2" s="80"/>
    </row>
    <row r="3" spans="1:8" ht="15.75">
      <c r="A3" s="198" t="s">
        <v>157</v>
      </c>
      <c r="B3" s="44"/>
      <c r="C3" s="80"/>
      <c r="D3" s="177"/>
      <c r="E3" s="80"/>
      <c r="F3" s="80"/>
      <c r="G3" s="80"/>
      <c r="H3" s="80"/>
    </row>
    <row r="4" spans="2:8" ht="13.5" thickBot="1">
      <c r="B4" s="44"/>
      <c r="C4" s="80"/>
      <c r="D4" s="241"/>
      <c r="E4" s="80"/>
      <c r="F4" s="80"/>
      <c r="G4" s="80"/>
      <c r="H4" s="80"/>
    </row>
    <row r="5" spans="1:8" ht="12.75">
      <c r="A5" s="200"/>
      <c r="B5" s="201" t="s">
        <v>0</v>
      </c>
      <c r="C5" s="202" t="s">
        <v>92</v>
      </c>
      <c r="D5" s="199" t="s">
        <v>167</v>
      </c>
      <c r="E5" s="80"/>
      <c r="F5" s="80"/>
      <c r="G5" s="80"/>
      <c r="H5" s="80"/>
    </row>
    <row r="6" spans="1:8" ht="13.5" thickBot="1">
      <c r="A6" s="200"/>
      <c r="B6" s="203" t="s">
        <v>4</v>
      </c>
      <c r="C6" s="186" t="s">
        <v>12</v>
      </c>
      <c r="D6" s="188" t="s">
        <v>168</v>
      </c>
      <c r="E6" s="80"/>
      <c r="F6" s="80"/>
      <c r="G6" s="80"/>
      <c r="H6" s="80"/>
    </row>
    <row r="7" spans="1:8" ht="12.75">
      <c r="A7" s="204" t="s">
        <v>13</v>
      </c>
      <c r="B7" s="205">
        <v>10254</v>
      </c>
      <c r="C7" s="206">
        <v>10557.879417877548</v>
      </c>
      <c r="D7" s="240">
        <f>+C7/B7-1</f>
        <v>0.029635207516827355</v>
      </c>
      <c r="E7" s="80"/>
      <c r="F7" s="80"/>
      <c r="G7" s="80"/>
      <c r="H7" s="80"/>
    </row>
    <row r="8" spans="1:8" ht="12.75">
      <c r="A8" s="196" t="s">
        <v>14</v>
      </c>
      <c r="B8" s="190">
        <v>10987</v>
      </c>
      <c r="C8" s="191">
        <v>12442.077685194323</v>
      </c>
      <c r="D8" s="197">
        <f>+C8/B8-1</f>
        <v>0.13243630519653427</v>
      </c>
      <c r="E8" s="80"/>
      <c r="F8" s="80"/>
      <c r="G8" s="80"/>
      <c r="H8" s="80"/>
    </row>
    <row r="9" spans="1:8" ht="12.75">
      <c r="A9" s="189" t="s">
        <v>16</v>
      </c>
      <c r="B9" s="190">
        <v>3670</v>
      </c>
      <c r="C9" s="191">
        <v>4260.114769337016</v>
      </c>
      <c r="D9" s="197">
        <f>+C9/B9-1</f>
        <v>0.16079421507820602</v>
      </c>
      <c r="E9" s="80"/>
      <c r="F9" s="80"/>
      <c r="G9" s="80"/>
      <c r="H9" s="80"/>
    </row>
    <row r="10" spans="1:8" ht="12.75">
      <c r="A10" s="189" t="s">
        <v>17</v>
      </c>
      <c r="B10" s="190">
        <v>1416.1</v>
      </c>
      <c r="C10" s="191">
        <v>1699.26647442745</v>
      </c>
      <c r="D10" s="197">
        <f>+C10/B10-1</f>
        <v>0.19996220212375548</v>
      </c>
      <c r="E10" s="80"/>
      <c r="F10" s="80"/>
      <c r="G10" s="80"/>
      <c r="H10" s="80"/>
    </row>
    <row r="11" spans="1:8" ht="13.5" thickBot="1">
      <c r="A11" s="207" t="s">
        <v>29</v>
      </c>
      <c r="B11" s="208">
        <v>26327.1</v>
      </c>
      <c r="C11" s="209">
        <v>28959.33834683634</v>
      </c>
      <c r="D11" s="210">
        <f>+C11/B11-1</f>
        <v>0.09998208487969973</v>
      </c>
      <c r="E11" s="80"/>
      <c r="F11" s="80"/>
      <c r="G11" s="80"/>
      <c r="H11" s="80"/>
    </row>
    <row r="12" spans="1:8" ht="13.5" thickBot="1">
      <c r="A12" s="211"/>
      <c r="B12" s="80"/>
      <c r="C12" s="80"/>
      <c r="D12" s="212"/>
      <c r="E12" s="80"/>
      <c r="F12" s="80"/>
      <c r="G12" s="80"/>
      <c r="H12" s="80"/>
    </row>
    <row r="13" spans="1:8" ht="13.5" thickBot="1">
      <c r="A13" s="213" t="s">
        <v>34</v>
      </c>
      <c r="B13" s="214">
        <v>172</v>
      </c>
      <c r="C13" s="215">
        <v>480</v>
      </c>
      <c r="D13" s="216" t="e">
        <f>+C13/#REF!</f>
        <v>#REF!</v>
      </c>
      <c r="E13" s="80"/>
      <c r="F13" s="80"/>
      <c r="G13" s="80"/>
      <c r="H13" s="80"/>
    </row>
    <row r="14" spans="1:8" ht="12.75">
      <c r="A14" s="80"/>
      <c r="B14" s="80"/>
      <c r="C14" s="80"/>
      <c r="D14" s="80"/>
      <c r="E14" s="80"/>
      <c r="F14" s="80"/>
      <c r="G14" s="80"/>
      <c r="H14" s="80"/>
    </row>
    <row r="15" spans="1:8" ht="12.75">
      <c r="A15" s="80"/>
      <c r="B15" s="80"/>
      <c r="C15" s="80"/>
      <c r="D15" s="80"/>
      <c r="E15" s="80"/>
      <c r="F15" s="80"/>
      <c r="G15" s="80"/>
      <c r="H15" s="80"/>
    </row>
    <row r="16" spans="1:8" ht="15.75">
      <c r="A16" s="218" t="s">
        <v>158</v>
      </c>
      <c r="B16" s="80"/>
      <c r="C16" s="80"/>
      <c r="D16" s="80"/>
      <c r="E16" s="80"/>
      <c r="F16" s="80"/>
      <c r="G16" s="80"/>
      <c r="H16" s="80"/>
    </row>
    <row r="17" spans="1:8" ht="16.5" thickBot="1">
      <c r="A17" s="218"/>
      <c r="B17" s="80"/>
      <c r="C17" s="80"/>
      <c r="D17" s="80"/>
      <c r="E17" s="80"/>
      <c r="F17" s="80"/>
      <c r="G17" s="80"/>
      <c r="H17" s="80"/>
    </row>
    <row r="18" spans="1:8" ht="12.75">
      <c r="A18" s="217"/>
      <c r="B18" s="201" t="s">
        <v>0</v>
      </c>
      <c r="C18" s="219" t="s">
        <v>92</v>
      </c>
      <c r="D18" s="80"/>
      <c r="E18" s="80"/>
      <c r="F18" s="80"/>
      <c r="G18" s="80"/>
      <c r="H18" s="80"/>
    </row>
    <row r="19" spans="1:8" ht="13.5" thickBot="1">
      <c r="A19" s="217"/>
      <c r="B19" s="203" t="s">
        <v>4</v>
      </c>
      <c r="C19" s="185" t="s">
        <v>12</v>
      </c>
      <c r="D19" s="80"/>
      <c r="E19" s="80"/>
      <c r="F19" s="80"/>
      <c r="G19" s="80"/>
      <c r="H19" s="80"/>
    </row>
    <row r="20" spans="1:8" ht="12.75">
      <c r="A20" s="204" t="s">
        <v>148</v>
      </c>
      <c r="B20" s="220">
        <v>6839</v>
      </c>
      <c r="C20" s="221">
        <v>8868</v>
      </c>
      <c r="D20" s="222" t="e">
        <f>+C20/#REF!</f>
        <v>#REF!</v>
      </c>
      <c r="E20" s="80"/>
      <c r="F20" s="80"/>
      <c r="G20" s="80"/>
      <c r="H20" s="80"/>
    </row>
    <row r="21" spans="1:8" ht="25.5">
      <c r="A21" s="196" t="s">
        <v>162</v>
      </c>
      <c r="B21" s="194">
        <v>1992</v>
      </c>
      <c r="C21" s="195">
        <v>2612</v>
      </c>
      <c r="D21" s="192" t="e">
        <f>+C21/#REF!</f>
        <v>#REF!</v>
      </c>
      <c r="E21" s="80"/>
      <c r="F21" s="80"/>
      <c r="G21" s="80"/>
      <c r="H21" s="80"/>
    </row>
    <row r="22" spans="1:8" ht="12.75">
      <c r="A22" s="196" t="s">
        <v>149</v>
      </c>
      <c r="B22" s="194">
        <v>275</v>
      </c>
      <c r="C22" s="195">
        <v>375</v>
      </c>
      <c r="D22" s="192" t="e">
        <f>+C22/#REF!</f>
        <v>#REF!</v>
      </c>
      <c r="E22" s="80"/>
      <c r="F22" s="80"/>
      <c r="G22" s="80"/>
      <c r="H22" s="80"/>
    </row>
    <row r="23" spans="1:8" ht="12.75">
      <c r="A23" s="196" t="s">
        <v>161</v>
      </c>
      <c r="B23" s="194">
        <v>27</v>
      </c>
      <c r="C23" s="195">
        <v>120</v>
      </c>
      <c r="D23" s="192" t="e">
        <f>+C23/#REF!</f>
        <v>#REF!</v>
      </c>
      <c r="E23" s="80"/>
      <c r="F23" s="80"/>
      <c r="G23" s="80"/>
      <c r="H23" s="80"/>
    </row>
    <row r="24" spans="1:8" ht="13.5" thickBot="1">
      <c r="A24" s="207" t="s">
        <v>152</v>
      </c>
      <c r="B24" s="223">
        <v>9133</v>
      </c>
      <c r="C24" s="224">
        <v>11975</v>
      </c>
      <c r="D24" s="225" t="e">
        <f>+C24/#REF!</f>
        <v>#REF!</v>
      </c>
      <c r="E24" s="80"/>
      <c r="F24" s="80"/>
      <c r="G24" s="80"/>
      <c r="H24" s="80"/>
    </row>
    <row r="25" spans="1:8" ht="12.75">
      <c r="A25" s="80"/>
      <c r="B25" s="80"/>
      <c r="C25" s="80"/>
      <c r="D25" s="80"/>
      <c r="E25" s="80"/>
      <c r="F25" s="80"/>
      <c r="G25" s="80"/>
      <c r="H25" s="80"/>
    </row>
    <row r="26" spans="1:8" ht="12.75">
      <c r="A26" s="80"/>
      <c r="B26" s="80"/>
      <c r="C26" s="80"/>
      <c r="D26" s="80"/>
      <c r="E26" s="80"/>
      <c r="F26" s="80"/>
      <c r="G26" s="80"/>
      <c r="H26" s="80"/>
    </row>
    <row r="27" spans="1:8" ht="12.75">
      <c r="A27" s="80"/>
      <c r="B27" s="80"/>
      <c r="C27" s="80"/>
      <c r="D27" s="80"/>
      <c r="E27" s="80"/>
      <c r="F27" s="80"/>
      <c r="G27" s="80"/>
      <c r="H27" s="80"/>
    </row>
    <row r="28" spans="1:8" ht="12.75">
      <c r="A28" s="80"/>
      <c r="B28" s="80"/>
      <c r="C28" s="80"/>
      <c r="D28" s="80"/>
      <c r="E28" s="80"/>
      <c r="F28" s="80"/>
      <c r="G28" s="80"/>
      <c r="H28" s="80"/>
    </row>
    <row r="29" spans="1:8" ht="12.75">
      <c r="A29" s="80"/>
      <c r="B29" s="80"/>
      <c r="C29" s="80"/>
      <c r="D29" s="80"/>
      <c r="E29" s="80"/>
      <c r="F29" s="80"/>
      <c r="G29" s="80"/>
      <c r="H29" s="80"/>
    </row>
    <row r="30" spans="1:8" ht="12.75">
      <c r="A30" s="80"/>
      <c r="B30" s="80"/>
      <c r="C30" s="80"/>
      <c r="D30" s="80"/>
      <c r="E30" s="80"/>
      <c r="F30" s="80"/>
      <c r="G30" s="80"/>
      <c r="H30" s="80"/>
    </row>
    <row r="31" spans="1:8" ht="12.75">
      <c r="A31" s="80"/>
      <c r="B31" s="80"/>
      <c r="C31" s="80"/>
      <c r="D31" s="80"/>
      <c r="E31" s="80"/>
      <c r="F31" s="80"/>
      <c r="G31" s="80"/>
      <c r="H31" s="80"/>
    </row>
    <row r="32" spans="1:8" ht="12.75">
      <c r="A32" s="80"/>
      <c r="B32" s="80"/>
      <c r="C32" s="80"/>
      <c r="D32" s="80"/>
      <c r="E32" s="80"/>
      <c r="F32" s="80"/>
      <c r="G32" s="80"/>
      <c r="H32" s="80"/>
    </row>
    <row r="33" spans="1:8" ht="12.75">
      <c r="A33" s="80"/>
      <c r="B33" s="80"/>
      <c r="C33" s="80"/>
      <c r="D33" s="80"/>
      <c r="E33" s="80"/>
      <c r="F33" s="80"/>
      <c r="G33" s="80"/>
      <c r="H33" s="80"/>
    </row>
    <row r="34" spans="1:8" ht="12.75">
      <c r="A34" s="80"/>
      <c r="B34" s="80"/>
      <c r="C34" s="80"/>
      <c r="D34" s="80"/>
      <c r="E34" s="80"/>
      <c r="F34" s="80"/>
      <c r="G34" s="80"/>
      <c r="H34" s="80"/>
    </row>
    <row r="35" spans="1:8" ht="12.75">
      <c r="A35" s="80"/>
      <c r="B35" s="80"/>
      <c r="C35" s="80"/>
      <c r="D35" s="80"/>
      <c r="E35" s="80"/>
      <c r="F35" s="80"/>
      <c r="G35" s="80"/>
      <c r="H35" s="80"/>
    </row>
    <row r="36" spans="1:8" ht="12.75">
      <c r="A36" s="80"/>
      <c r="B36" s="80"/>
      <c r="C36" s="80"/>
      <c r="D36" s="80"/>
      <c r="E36" s="80"/>
      <c r="F36" s="80"/>
      <c r="G36" s="80"/>
      <c r="H36" s="80"/>
    </row>
    <row r="37" spans="1:8" ht="12.75">
      <c r="A37" s="80"/>
      <c r="B37" s="80"/>
      <c r="C37" s="80"/>
      <c r="D37" s="80"/>
      <c r="E37" s="80"/>
      <c r="F37" s="80"/>
      <c r="G37" s="80"/>
      <c r="H37" s="80"/>
    </row>
    <row r="38" spans="1:8" ht="12.75">
      <c r="A38" s="80"/>
      <c r="B38" s="80"/>
      <c r="C38" s="80"/>
      <c r="D38" s="80"/>
      <c r="E38" s="80"/>
      <c r="F38" s="80"/>
      <c r="G38" s="80"/>
      <c r="H38" s="80"/>
    </row>
    <row r="39" spans="1:8" ht="12.75">
      <c r="A39" s="80"/>
      <c r="B39" s="80"/>
      <c r="C39" s="80"/>
      <c r="D39" s="80"/>
      <c r="E39" s="80"/>
      <c r="F39" s="80"/>
      <c r="G39" s="80"/>
      <c r="H39" s="80"/>
    </row>
    <row r="40" spans="1:8" ht="12.75">
      <c r="A40" s="80"/>
      <c r="B40" s="80"/>
      <c r="C40" s="80"/>
      <c r="D40" s="80"/>
      <c r="E40" s="80"/>
      <c r="F40" s="80"/>
      <c r="G40" s="80"/>
      <c r="H40" s="80"/>
    </row>
    <row r="41" spans="1:8" ht="12.75">
      <c r="A41" s="80"/>
      <c r="B41" s="80"/>
      <c r="C41" s="80"/>
      <c r="D41" s="80"/>
      <c r="E41" s="80"/>
      <c r="F41" s="80"/>
      <c r="G41" s="80"/>
      <c r="H41" s="80"/>
    </row>
    <row r="42" spans="1:8" ht="12.75">
      <c r="A42" s="80"/>
      <c r="B42" s="80"/>
      <c r="C42" s="80"/>
      <c r="D42" s="80"/>
      <c r="E42" s="80"/>
      <c r="F42" s="80"/>
      <c r="G42" s="80"/>
      <c r="H42" s="80"/>
    </row>
    <row r="43" spans="1:8" ht="12.75">
      <c r="A43" s="80"/>
      <c r="B43" s="80"/>
      <c r="C43" s="80"/>
      <c r="D43" s="80"/>
      <c r="E43" s="80"/>
      <c r="F43" s="80"/>
      <c r="G43" s="80"/>
      <c r="H43" s="80"/>
    </row>
    <row r="44" spans="1:8" ht="12.75">
      <c r="A44" s="80"/>
      <c r="B44" s="80"/>
      <c r="C44" s="80"/>
      <c r="D44" s="80"/>
      <c r="E44" s="80"/>
      <c r="F44" s="80"/>
      <c r="G44" s="80"/>
      <c r="H44" s="80"/>
    </row>
    <row r="45" spans="1:8" ht="12.75">
      <c r="A45" s="80"/>
      <c r="B45" s="80"/>
      <c r="C45" s="80"/>
      <c r="D45" s="80"/>
      <c r="E45" s="80"/>
      <c r="F45" s="80"/>
      <c r="G45" s="80"/>
      <c r="H45" s="80"/>
    </row>
    <row r="46" spans="1:8" ht="12.75">
      <c r="A46" s="80"/>
      <c r="B46" s="80"/>
      <c r="C46" s="80"/>
      <c r="D46" s="80"/>
      <c r="E46" s="80"/>
      <c r="F46" s="80"/>
      <c r="G46" s="80"/>
      <c r="H46" s="80"/>
    </row>
  </sheetData>
  <printOptions horizontalCentered="1"/>
  <pageMargins left="0.2" right="0.2" top="0.27" bottom="0.3" header="0.17" footer="0.17"/>
  <pageSetup fitToHeight="1" fitToWidth="1" horizontalDpi="600" verticalDpi="600" orientation="landscape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75" zoomScaleNormal="75" workbookViewId="0" topLeftCell="A1">
      <selection activeCell="A1" sqref="A1:D22"/>
    </sheetView>
  </sheetViews>
  <sheetFormatPr defaultColWidth="9.140625" defaultRowHeight="12.75"/>
  <cols>
    <col min="1" max="1" width="14.421875" style="0" customWidth="1"/>
    <col min="4" max="4" width="11.57421875" style="0" bestFit="1" customWidth="1"/>
  </cols>
  <sheetData>
    <row r="1" spans="1:8" ht="15.75">
      <c r="A1" s="198" t="s">
        <v>102</v>
      </c>
      <c r="B1" s="44"/>
      <c r="C1" s="80"/>
      <c r="D1" s="80"/>
      <c r="E1" s="80"/>
      <c r="F1" s="80"/>
      <c r="G1" s="80"/>
      <c r="H1" s="80"/>
    </row>
    <row r="2" spans="1:8" ht="15.75">
      <c r="A2" s="198"/>
      <c r="B2" s="44"/>
      <c r="C2" s="80"/>
      <c r="D2" s="80"/>
      <c r="E2" s="80"/>
      <c r="F2" s="80"/>
      <c r="G2" s="80"/>
      <c r="H2" s="80"/>
    </row>
    <row r="3" spans="1:8" ht="15.75">
      <c r="A3" s="198" t="s">
        <v>157</v>
      </c>
      <c r="B3" s="44"/>
      <c r="C3" s="80"/>
      <c r="D3" s="177"/>
      <c r="E3" s="80"/>
      <c r="F3" s="80"/>
      <c r="G3" s="80"/>
      <c r="H3" s="80"/>
    </row>
    <row r="4" spans="2:8" ht="13.5" thickBot="1">
      <c r="B4" s="44"/>
      <c r="C4" s="80"/>
      <c r="D4" s="241"/>
      <c r="E4" s="80"/>
      <c r="F4" s="80"/>
      <c r="G4" s="80"/>
      <c r="H4" s="80"/>
    </row>
    <row r="5" spans="1:8" ht="12.75">
      <c r="A5" s="200"/>
      <c r="B5" s="201" t="s">
        <v>0</v>
      </c>
      <c r="C5" s="202" t="s">
        <v>92</v>
      </c>
      <c r="D5" s="199" t="s">
        <v>167</v>
      </c>
      <c r="E5" s="80"/>
      <c r="F5" s="80"/>
      <c r="G5" s="80"/>
      <c r="H5" s="80"/>
    </row>
    <row r="6" spans="1:8" ht="13.5" thickBot="1">
      <c r="A6" s="200"/>
      <c r="B6" s="203" t="s">
        <v>4</v>
      </c>
      <c r="C6" s="186" t="s">
        <v>12</v>
      </c>
      <c r="D6" s="188" t="s">
        <v>168</v>
      </c>
      <c r="E6" s="80"/>
      <c r="F6" s="80"/>
      <c r="G6" s="80"/>
      <c r="H6" s="80"/>
    </row>
    <row r="7" spans="1:8" ht="12.75">
      <c r="A7" s="204" t="s">
        <v>13</v>
      </c>
      <c r="B7" s="205">
        <v>4505.1</v>
      </c>
      <c r="C7" s="206">
        <v>4935</v>
      </c>
      <c r="D7" s="240">
        <f>+C7/B7-1</f>
        <v>0.0954251847905705</v>
      </c>
      <c r="E7" s="80"/>
      <c r="F7" s="80"/>
      <c r="G7" s="80"/>
      <c r="H7" s="80"/>
    </row>
    <row r="8" spans="1:8" ht="12.75">
      <c r="A8" s="196" t="s">
        <v>14</v>
      </c>
      <c r="B8" s="190">
        <v>3434.3</v>
      </c>
      <c r="C8" s="191">
        <v>3935</v>
      </c>
      <c r="D8" s="197">
        <f>+C8/B8-1</f>
        <v>0.14579390268759274</v>
      </c>
      <c r="E8" s="80"/>
      <c r="F8" s="80"/>
      <c r="G8" s="80"/>
      <c r="H8" s="80"/>
    </row>
    <row r="9" spans="1:8" ht="12.75">
      <c r="A9" s="189" t="s">
        <v>16</v>
      </c>
      <c r="B9" s="190">
        <v>1110.5</v>
      </c>
      <c r="C9" s="191">
        <v>1814</v>
      </c>
      <c r="D9" s="197">
        <f>+C9/B9-1</f>
        <v>0.6334984241332733</v>
      </c>
      <c r="E9" s="80"/>
      <c r="F9" s="80"/>
      <c r="G9" s="80"/>
      <c r="H9" s="80"/>
    </row>
    <row r="10" spans="1:8" ht="12.75">
      <c r="A10" s="189" t="s">
        <v>17</v>
      </c>
      <c r="B10" s="190">
        <v>27.3</v>
      </c>
      <c r="C10" s="191">
        <v>85</v>
      </c>
      <c r="D10" s="197">
        <f>+C10/B10-1</f>
        <v>2.1135531135531136</v>
      </c>
      <c r="E10" s="80"/>
      <c r="F10" s="80"/>
      <c r="G10" s="80"/>
      <c r="H10" s="80"/>
    </row>
    <row r="11" spans="1:8" ht="13.5" thickBot="1">
      <c r="A11" s="207" t="s">
        <v>29</v>
      </c>
      <c r="B11" s="208">
        <v>9077.2</v>
      </c>
      <c r="C11" s="209">
        <v>10769</v>
      </c>
      <c r="D11" s="210">
        <f>+C11/B11-1</f>
        <v>0.1863790596219097</v>
      </c>
      <c r="E11" s="80"/>
      <c r="F11" s="80"/>
      <c r="G11" s="80"/>
      <c r="H11" s="80"/>
    </row>
    <row r="12" spans="1:8" ht="12.75">
      <c r="A12" s="230"/>
      <c r="B12" s="80"/>
      <c r="C12" s="80"/>
      <c r="D12" s="212"/>
      <c r="E12" s="80"/>
      <c r="F12" s="80"/>
      <c r="G12" s="80"/>
      <c r="H12" s="80"/>
    </row>
    <row r="13" spans="1:8" ht="12.75">
      <c r="A13" s="80"/>
      <c r="B13" s="80"/>
      <c r="C13" s="80"/>
      <c r="D13" s="80"/>
      <c r="E13" s="80"/>
      <c r="F13" s="80"/>
      <c r="G13" s="80"/>
      <c r="H13" s="80"/>
    </row>
    <row r="14" spans="1:8" ht="16.5" thickBot="1">
      <c r="A14" s="218" t="s">
        <v>158</v>
      </c>
      <c r="B14" s="80"/>
      <c r="C14" s="80"/>
      <c r="D14" s="80"/>
      <c r="E14" s="80"/>
      <c r="F14" s="80"/>
      <c r="G14" s="80"/>
      <c r="H14" s="80"/>
    </row>
    <row r="15" spans="1:8" ht="12.75">
      <c r="A15" s="217"/>
      <c r="B15" s="201" t="s">
        <v>0</v>
      </c>
      <c r="C15" s="219" t="s">
        <v>92</v>
      </c>
      <c r="D15" s="212"/>
      <c r="E15" s="80"/>
      <c r="F15" s="80"/>
      <c r="G15" s="80"/>
      <c r="H15" s="80"/>
    </row>
    <row r="16" spans="1:8" ht="13.5" thickBot="1">
      <c r="A16" s="217"/>
      <c r="B16" s="203" t="s">
        <v>4</v>
      </c>
      <c r="C16" s="185" t="s">
        <v>12</v>
      </c>
      <c r="D16" s="80"/>
      <c r="E16" s="80"/>
      <c r="F16" s="80"/>
      <c r="G16" s="80"/>
      <c r="H16" s="80"/>
    </row>
    <row r="17" spans="1:8" ht="13.5" thickBot="1">
      <c r="A17" s="217"/>
      <c r="B17" s="246"/>
      <c r="C17" s="247"/>
      <c r="D17" s="80"/>
      <c r="E17" s="80"/>
      <c r="F17" s="80"/>
      <c r="G17" s="80"/>
      <c r="H17" s="80"/>
    </row>
    <row r="18" spans="1:8" ht="12.75">
      <c r="A18" s="204" t="s">
        <v>148</v>
      </c>
      <c r="B18" s="220">
        <v>1334</v>
      </c>
      <c r="C18" s="221">
        <v>1940</v>
      </c>
      <c r="D18" s="222" t="e">
        <f>+C18/#REF!</f>
        <v>#REF!</v>
      </c>
      <c r="E18" s="80"/>
      <c r="F18" s="80"/>
      <c r="G18" s="80"/>
      <c r="H18" s="80"/>
    </row>
    <row r="19" spans="1:8" ht="12.75">
      <c r="A19" s="196" t="s">
        <v>151</v>
      </c>
      <c r="B19" s="194">
        <v>293</v>
      </c>
      <c r="C19" s="195">
        <v>499.88</v>
      </c>
      <c r="D19" s="192" t="e">
        <f>+C19/#REF!</f>
        <v>#REF!</v>
      </c>
      <c r="E19" s="80"/>
      <c r="F19" s="80"/>
      <c r="G19" s="80"/>
      <c r="H19" s="80"/>
    </row>
    <row r="20" spans="1:8" ht="12.75">
      <c r="A20" s="196" t="s">
        <v>149</v>
      </c>
      <c r="B20" s="194">
        <v>21</v>
      </c>
      <c r="C20" s="195">
        <v>78</v>
      </c>
      <c r="D20" s="192" t="e">
        <f>+C20/#REF!</f>
        <v>#REF!</v>
      </c>
      <c r="E20" s="80"/>
      <c r="F20" s="80"/>
      <c r="G20" s="80"/>
      <c r="H20" s="80"/>
    </row>
    <row r="21" spans="1:8" ht="25.5">
      <c r="A21" s="196" t="s">
        <v>150</v>
      </c>
      <c r="B21" s="194">
        <v>169</v>
      </c>
      <c r="C21" s="195">
        <v>375</v>
      </c>
      <c r="D21" s="192" t="e">
        <f>+C21/#REF!</f>
        <v>#REF!</v>
      </c>
      <c r="E21" s="80"/>
      <c r="F21" s="80"/>
      <c r="G21" s="80"/>
      <c r="H21" s="80"/>
    </row>
    <row r="22" spans="1:8" ht="13.5" thickBot="1">
      <c r="A22" s="207" t="s">
        <v>152</v>
      </c>
      <c r="B22" s="223">
        <v>1817</v>
      </c>
      <c r="C22" s="224">
        <v>2892.88</v>
      </c>
      <c r="D22" s="225" t="e">
        <f>+C22/#REF!</f>
        <v>#REF!</v>
      </c>
      <c r="E22" s="80"/>
      <c r="F22" s="80"/>
      <c r="G22" s="80"/>
      <c r="H22" s="80"/>
    </row>
    <row r="23" spans="1:8" ht="12.75">
      <c r="A23" s="230"/>
      <c r="B23" s="237"/>
      <c r="C23" s="237"/>
      <c r="D23" s="212"/>
      <c r="E23" s="80"/>
      <c r="F23" s="80"/>
      <c r="G23" s="80"/>
      <c r="H23" s="80"/>
    </row>
    <row r="24" spans="1:8" ht="12.75">
      <c r="A24" s="230"/>
      <c r="B24" s="237"/>
      <c r="C24" s="237"/>
      <c r="D24" s="212"/>
      <c r="E24" s="80"/>
      <c r="F24" s="80"/>
      <c r="G24" s="80"/>
      <c r="H24" s="80"/>
    </row>
    <row r="25" spans="1:8" ht="12.75">
      <c r="A25" s="80"/>
      <c r="B25" s="80"/>
      <c r="C25" s="80"/>
      <c r="D25" s="80"/>
      <c r="E25" s="80"/>
      <c r="F25" s="80"/>
      <c r="G25" s="80"/>
      <c r="H25" s="80"/>
    </row>
    <row r="26" spans="1:8" ht="12.75">
      <c r="A26" s="80"/>
      <c r="B26" s="80"/>
      <c r="C26" s="80"/>
      <c r="D26" s="80"/>
      <c r="E26" s="80"/>
      <c r="F26" s="80"/>
      <c r="G26" s="80"/>
      <c r="H26" s="80"/>
    </row>
    <row r="27" spans="1:8" ht="12.75">
      <c r="A27" s="80"/>
      <c r="B27" s="80"/>
      <c r="C27" s="80"/>
      <c r="D27" s="80"/>
      <c r="E27" s="80"/>
      <c r="F27" s="80"/>
      <c r="G27" s="80"/>
      <c r="H27" s="80"/>
    </row>
    <row r="28" spans="1:8" ht="12.75">
      <c r="A28" s="80"/>
      <c r="B28" s="80"/>
      <c r="C28" s="80"/>
      <c r="D28" s="80"/>
      <c r="E28" s="80"/>
      <c r="F28" s="80"/>
      <c r="G28" s="80"/>
      <c r="H28" s="80"/>
    </row>
    <row r="29" spans="1:8" ht="12.75">
      <c r="A29" s="80"/>
      <c r="B29" s="80"/>
      <c r="C29" s="80"/>
      <c r="D29" s="80"/>
      <c r="E29" s="80"/>
      <c r="F29" s="80"/>
      <c r="G29" s="80"/>
      <c r="H29" s="80"/>
    </row>
    <row r="30" spans="1:8" ht="12.75">
      <c r="A30" s="80"/>
      <c r="B30" s="80"/>
      <c r="C30" s="80"/>
      <c r="D30" s="80"/>
      <c r="E30" s="80"/>
      <c r="F30" s="80"/>
      <c r="G30" s="80"/>
      <c r="H30" s="80"/>
    </row>
    <row r="31" spans="1:8" ht="12.75">
      <c r="A31" s="80"/>
      <c r="B31" s="80"/>
      <c r="C31" s="80"/>
      <c r="D31" s="80"/>
      <c r="E31" s="80"/>
      <c r="F31" s="80"/>
      <c r="G31" s="80"/>
      <c r="H31" s="80"/>
    </row>
    <row r="32" spans="1:8" ht="12.75">
      <c r="A32" s="80"/>
      <c r="B32" s="80"/>
      <c r="C32" s="80"/>
      <c r="D32" s="80"/>
      <c r="E32" s="80"/>
      <c r="F32" s="80"/>
      <c r="G32" s="80"/>
      <c r="H32" s="80"/>
    </row>
    <row r="33" spans="1:8" ht="12.75">
      <c r="A33" s="80"/>
      <c r="B33" s="80"/>
      <c r="C33" s="80"/>
      <c r="D33" s="80"/>
      <c r="E33" s="80"/>
      <c r="F33" s="80"/>
      <c r="G33" s="80"/>
      <c r="H33" s="80"/>
    </row>
    <row r="34" spans="1:8" ht="12.75">
      <c r="A34" s="80"/>
      <c r="B34" s="80"/>
      <c r="C34" s="80"/>
      <c r="D34" s="80"/>
      <c r="E34" s="80"/>
      <c r="F34" s="80"/>
      <c r="G34" s="80"/>
      <c r="H34" s="80"/>
    </row>
    <row r="35" spans="1:8" ht="12.75">
      <c r="A35" s="80"/>
      <c r="B35" s="80"/>
      <c r="C35" s="80"/>
      <c r="D35" s="80"/>
      <c r="E35" s="80"/>
      <c r="F35" s="80"/>
      <c r="G35" s="80"/>
      <c r="H35" s="80"/>
    </row>
    <row r="36" spans="1:8" ht="12.75">
      <c r="A36" s="80"/>
      <c r="B36" s="80"/>
      <c r="C36" s="80"/>
      <c r="D36" s="80"/>
      <c r="E36" s="80"/>
      <c r="F36" s="80"/>
      <c r="G36" s="80"/>
      <c r="H36" s="80"/>
    </row>
    <row r="37" spans="1:8" ht="12.75">
      <c r="A37" s="80"/>
      <c r="B37" s="80"/>
      <c r="C37" s="80"/>
      <c r="D37" s="80"/>
      <c r="E37" s="80"/>
      <c r="F37" s="80"/>
      <c r="G37" s="80"/>
      <c r="H37" s="80"/>
    </row>
    <row r="38" spans="1:8" ht="12.75">
      <c r="A38" s="80"/>
      <c r="B38" s="80"/>
      <c r="C38" s="80"/>
      <c r="D38" s="80"/>
      <c r="E38" s="80"/>
      <c r="F38" s="80"/>
      <c r="G38" s="80"/>
      <c r="H38" s="80"/>
    </row>
    <row r="39" spans="1:8" ht="12.75">
      <c r="A39" s="80"/>
      <c r="B39" s="80"/>
      <c r="C39" s="80"/>
      <c r="D39" s="80"/>
      <c r="E39" s="80"/>
      <c r="F39" s="80"/>
      <c r="G39" s="80"/>
      <c r="H39" s="80"/>
    </row>
    <row r="40" spans="1:8" ht="12.75">
      <c r="A40" s="80"/>
      <c r="B40" s="80"/>
      <c r="C40" s="80"/>
      <c r="D40" s="80"/>
      <c r="E40" s="80"/>
      <c r="F40" s="80"/>
      <c r="G40" s="80"/>
      <c r="H40" s="80"/>
    </row>
    <row r="41" spans="1:8" ht="12.75">
      <c r="A41" s="80"/>
      <c r="B41" s="80"/>
      <c r="C41" s="80"/>
      <c r="D41" s="80"/>
      <c r="E41" s="80"/>
      <c r="F41" s="80"/>
      <c r="G41" s="80"/>
      <c r="H41" s="80"/>
    </row>
    <row r="42" spans="1:8" ht="12.75">
      <c r="A42" s="80"/>
      <c r="B42" s="80"/>
      <c r="C42" s="80"/>
      <c r="D42" s="80"/>
      <c r="E42" s="80"/>
      <c r="F42" s="80"/>
      <c r="G42" s="80"/>
      <c r="H42" s="80"/>
    </row>
    <row r="43" spans="1:8" ht="12.75">
      <c r="A43" s="80"/>
      <c r="B43" s="80"/>
      <c r="C43" s="80"/>
      <c r="D43" s="80"/>
      <c r="E43" s="80"/>
      <c r="F43" s="80"/>
      <c r="G43" s="80"/>
      <c r="H43" s="80"/>
    </row>
    <row r="44" spans="1:8" ht="12.75">
      <c r="A44" s="80"/>
      <c r="B44" s="80"/>
      <c r="C44" s="80"/>
      <c r="D44" s="80"/>
      <c r="E44" s="80"/>
      <c r="F44" s="80"/>
      <c r="G44" s="80"/>
      <c r="H44" s="80"/>
    </row>
    <row r="45" spans="1:8" ht="12.75">
      <c r="A45" s="80"/>
      <c r="B45" s="80"/>
      <c r="C45" s="80"/>
      <c r="D45" s="80"/>
      <c r="E45" s="80"/>
      <c r="F45" s="80"/>
      <c r="G45" s="80"/>
      <c r="H45" s="80"/>
    </row>
    <row r="46" spans="1:8" ht="12.75">
      <c r="A46" s="80"/>
      <c r="B46" s="80"/>
      <c r="C46" s="80"/>
      <c r="D46" s="80"/>
      <c r="E46" s="80"/>
      <c r="F46" s="80"/>
      <c r="G46" s="80"/>
      <c r="H46" s="80"/>
    </row>
  </sheetData>
  <printOptions horizontalCentered="1"/>
  <pageMargins left="0.24" right="0.2" top="0.28" bottom="0.34" header="0.18" footer="0.22"/>
  <pageSetup fitToHeight="1" fitToWidth="1"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75" zoomScaleNormal="75" workbookViewId="0" topLeftCell="A1">
      <selection activeCell="A1" sqref="A1:D24"/>
    </sheetView>
  </sheetViews>
  <sheetFormatPr defaultColWidth="9.140625" defaultRowHeight="12.75"/>
  <cols>
    <col min="1" max="1" width="14.421875" style="0" customWidth="1"/>
    <col min="4" max="4" width="11.57421875" style="0" bestFit="1" customWidth="1"/>
  </cols>
  <sheetData>
    <row r="1" spans="1:8" ht="15.75">
      <c r="A1" s="198" t="s">
        <v>155</v>
      </c>
      <c r="B1" s="44"/>
      <c r="C1" s="80"/>
      <c r="D1" s="80"/>
      <c r="E1" s="80"/>
      <c r="F1" s="80"/>
      <c r="G1" s="80"/>
      <c r="H1" s="80"/>
    </row>
    <row r="2" spans="1:8" ht="15.75">
      <c r="A2" s="198"/>
      <c r="B2" s="44"/>
      <c r="C2" s="80"/>
      <c r="D2" s="80"/>
      <c r="E2" s="80"/>
      <c r="F2" s="80"/>
      <c r="G2" s="80"/>
      <c r="H2" s="80"/>
    </row>
    <row r="3" spans="1:8" ht="15.75">
      <c r="A3" s="198" t="s">
        <v>157</v>
      </c>
      <c r="B3" s="44"/>
      <c r="C3" s="80"/>
      <c r="D3" s="177"/>
      <c r="E3" s="80"/>
      <c r="F3" s="80"/>
      <c r="G3" s="80"/>
      <c r="H3" s="80"/>
    </row>
    <row r="4" spans="2:8" ht="13.5" thickBot="1">
      <c r="B4" s="44"/>
      <c r="C4" s="80"/>
      <c r="D4" s="241"/>
      <c r="E4" s="80"/>
      <c r="F4" s="80"/>
      <c r="G4" s="80"/>
      <c r="H4" s="80"/>
    </row>
    <row r="5" spans="1:8" ht="12.75">
      <c r="A5" s="200"/>
      <c r="B5" s="201" t="s">
        <v>0</v>
      </c>
      <c r="C5" s="202" t="s">
        <v>92</v>
      </c>
      <c r="D5" s="199" t="s">
        <v>167</v>
      </c>
      <c r="E5" s="80"/>
      <c r="F5" s="80"/>
      <c r="G5" s="80"/>
      <c r="H5" s="80"/>
    </row>
    <row r="6" spans="1:8" ht="13.5" thickBot="1">
      <c r="A6" s="200"/>
      <c r="B6" s="203" t="s">
        <v>4</v>
      </c>
      <c r="C6" s="186" t="s">
        <v>12</v>
      </c>
      <c r="D6" s="188" t="s">
        <v>168</v>
      </c>
      <c r="E6" s="80"/>
      <c r="F6" s="80"/>
      <c r="G6" s="80"/>
      <c r="H6" s="80"/>
    </row>
    <row r="7" spans="1:8" ht="12.75">
      <c r="A7" s="204" t="s">
        <v>13</v>
      </c>
      <c r="B7" s="205">
        <v>9154</v>
      </c>
      <c r="C7" s="206">
        <v>15135</v>
      </c>
      <c r="D7" s="240">
        <f>+C7/B7-1</f>
        <v>0.6533755735197728</v>
      </c>
      <c r="E7" s="80"/>
      <c r="F7" s="80"/>
      <c r="G7" s="80"/>
      <c r="H7" s="80"/>
    </row>
    <row r="8" spans="1:8" ht="12.75">
      <c r="A8" s="196" t="s">
        <v>14</v>
      </c>
      <c r="B8" s="190">
        <v>12150</v>
      </c>
      <c r="C8" s="191">
        <v>21412</v>
      </c>
      <c r="D8" s="197">
        <f>+C8/B8-1</f>
        <v>0.7623045267489712</v>
      </c>
      <c r="E8" s="80"/>
      <c r="F8" s="80"/>
      <c r="G8" s="80"/>
      <c r="H8" s="80"/>
    </row>
    <row r="9" spans="1:8" ht="12.75">
      <c r="A9" s="189" t="s">
        <v>16</v>
      </c>
      <c r="B9" s="190">
        <v>3687</v>
      </c>
      <c r="C9" s="191">
        <v>8061</v>
      </c>
      <c r="D9" s="197">
        <f>+C9/B9-1</f>
        <v>1.1863303498779496</v>
      </c>
      <c r="E9" s="80"/>
      <c r="F9" s="80"/>
      <c r="G9" s="80"/>
      <c r="H9" s="80"/>
    </row>
    <row r="10" spans="1:8" ht="12.75">
      <c r="A10" s="189" t="s">
        <v>17</v>
      </c>
      <c r="B10" s="190">
        <v>874</v>
      </c>
      <c r="C10" s="191">
        <v>2194</v>
      </c>
      <c r="D10" s="197">
        <f>+C10/B10-1</f>
        <v>1.5102974828375286</v>
      </c>
      <c r="E10" s="80"/>
      <c r="F10" s="80"/>
      <c r="G10" s="80"/>
      <c r="H10" s="80"/>
    </row>
    <row r="11" spans="1:8" ht="13.5" thickBot="1">
      <c r="A11" s="207" t="s">
        <v>18</v>
      </c>
      <c r="B11" s="208">
        <v>25865</v>
      </c>
      <c r="C11" s="209">
        <v>46802</v>
      </c>
      <c r="D11" s="210">
        <f>+C11/B11-1</f>
        <v>0.8094722598105548</v>
      </c>
      <c r="E11" s="80"/>
      <c r="F11" s="80"/>
      <c r="G11" s="80"/>
      <c r="H11" s="80"/>
    </row>
    <row r="12" spans="1:8" ht="13.5" thickBot="1">
      <c r="A12" s="211"/>
      <c r="B12" s="80"/>
      <c r="C12" s="80"/>
      <c r="D12" s="212"/>
      <c r="E12" s="80"/>
      <c r="F12" s="80"/>
      <c r="G12" s="80"/>
      <c r="H12" s="80"/>
    </row>
    <row r="13" spans="1:8" ht="13.5" thickBot="1">
      <c r="A13" s="213" t="s">
        <v>19</v>
      </c>
      <c r="B13" s="214">
        <v>446</v>
      </c>
      <c r="C13" s="215">
        <v>799</v>
      </c>
      <c r="D13" s="216" t="e">
        <f>+C13/#REF!</f>
        <v>#REF!</v>
      </c>
      <c r="E13" s="80"/>
      <c r="F13" s="80"/>
      <c r="G13" s="80"/>
      <c r="H13" s="80"/>
    </row>
    <row r="14" spans="1:8" ht="12.75">
      <c r="A14" s="80"/>
      <c r="B14" s="80"/>
      <c r="C14" s="80"/>
      <c r="D14" s="80"/>
      <c r="E14" s="80"/>
      <c r="F14" s="80"/>
      <c r="G14" s="80"/>
      <c r="H14" s="80"/>
    </row>
    <row r="15" spans="1:8" ht="12.75">
      <c r="A15" s="80"/>
      <c r="B15" s="80"/>
      <c r="C15" s="80"/>
      <c r="D15" s="80"/>
      <c r="E15" s="80"/>
      <c r="F15" s="80"/>
      <c r="G15" s="80"/>
      <c r="H15" s="80"/>
    </row>
    <row r="16" spans="1:8" ht="15.75">
      <c r="A16" s="218" t="s">
        <v>158</v>
      </c>
      <c r="B16" s="80"/>
      <c r="C16" s="80"/>
      <c r="D16" s="80"/>
      <c r="E16" s="80"/>
      <c r="F16" s="80"/>
      <c r="G16" s="80"/>
      <c r="H16" s="80"/>
    </row>
    <row r="17" spans="1:8" ht="16.5" thickBot="1">
      <c r="A17" s="218"/>
      <c r="B17" s="80"/>
      <c r="C17" s="80"/>
      <c r="D17" s="80"/>
      <c r="E17" s="80"/>
      <c r="F17" s="80"/>
      <c r="G17" s="80"/>
      <c r="H17" s="80"/>
    </row>
    <row r="18" spans="1:8" ht="12.75">
      <c r="A18" s="217"/>
      <c r="B18" s="201" t="s">
        <v>0</v>
      </c>
      <c r="C18" s="219" t="s">
        <v>92</v>
      </c>
      <c r="D18" s="80"/>
      <c r="E18" s="80"/>
      <c r="F18" s="80"/>
      <c r="G18" s="80"/>
      <c r="H18" s="80"/>
    </row>
    <row r="19" spans="1:8" ht="13.5" thickBot="1">
      <c r="A19" s="217"/>
      <c r="B19" s="203" t="s">
        <v>4</v>
      </c>
      <c r="C19" s="185" t="s">
        <v>12</v>
      </c>
      <c r="D19" s="80"/>
      <c r="E19" s="80"/>
      <c r="F19" s="80"/>
      <c r="G19" s="80"/>
      <c r="H19" s="80"/>
    </row>
    <row r="20" spans="1:8" ht="12.75">
      <c r="A20" s="204" t="s">
        <v>148</v>
      </c>
      <c r="B20" s="220">
        <v>5634</v>
      </c>
      <c r="C20" s="221">
        <v>7416.830601000552</v>
      </c>
      <c r="D20" s="222" t="e">
        <f>+C20/#REF!</f>
        <v>#REF!</v>
      </c>
      <c r="E20" s="80"/>
      <c r="F20" s="80"/>
      <c r="G20" s="80"/>
      <c r="H20" s="80"/>
    </row>
    <row r="21" spans="1:8" ht="12.75">
      <c r="A21" s="196" t="s">
        <v>151</v>
      </c>
      <c r="B21" s="194">
        <v>2125.333333333333</v>
      </c>
      <c r="C21" s="195">
        <v>2299.253138514994</v>
      </c>
      <c r="D21" s="192" t="e">
        <f>+C21/#REF!</f>
        <v>#REF!</v>
      </c>
      <c r="E21" s="80"/>
      <c r="F21" s="80"/>
      <c r="G21" s="80"/>
      <c r="H21" s="80"/>
    </row>
    <row r="22" spans="1:8" ht="12.75">
      <c r="A22" s="196" t="s">
        <v>149</v>
      </c>
      <c r="B22" s="194">
        <v>185.5</v>
      </c>
      <c r="C22" s="195">
        <v>277.8792098908322</v>
      </c>
      <c r="D22" s="192" t="e">
        <f>+C22/#REF!</f>
        <v>#REF!</v>
      </c>
      <c r="E22" s="80"/>
      <c r="F22" s="80"/>
      <c r="G22" s="80"/>
      <c r="H22" s="80"/>
    </row>
    <row r="23" spans="1:8" ht="25.5">
      <c r="A23" s="196" t="s">
        <v>150</v>
      </c>
      <c r="B23" s="194">
        <v>104</v>
      </c>
      <c r="C23" s="195">
        <v>120</v>
      </c>
      <c r="D23" s="192" t="e">
        <f>+C23/#REF!</f>
        <v>#REF!</v>
      </c>
      <c r="E23" s="80"/>
      <c r="F23" s="80"/>
      <c r="G23" s="80"/>
      <c r="H23" s="80"/>
    </row>
    <row r="24" spans="1:8" ht="13.5" thickBot="1">
      <c r="A24" s="207" t="s">
        <v>152</v>
      </c>
      <c r="B24" s="223">
        <v>8048.833333333334</v>
      </c>
      <c r="C24" s="224">
        <v>10113.962949406377</v>
      </c>
      <c r="D24" s="225" t="e">
        <f>+C24/#REF!</f>
        <v>#REF!</v>
      </c>
      <c r="E24" s="80"/>
      <c r="F24" s="80"/>
      <c r="G24" s="80"/>
      <c r="H24" s="80"/>
    </row>
    <row r="25" spans="1:8" ht="12.75">
      <c r="A25" s="80"/>
      <c r="B25" s="80"/>
      <c r="C25" s="80"/>
      <c r="D25" s="80"/>
      <c r="E25" s="80"/>
      <c r="F25" s="80"/>
      <c r="G25" s="80"/>
      <c r="H25" s="80"/>
    </row>
    <row r="26" spans="1:8" ht="12.75">
      <c r="A26" s="80"/>
      <c r="B26" s="80"/>
      <c r="C26" s="80"/>
      <c r="D26" s="80"/>
      <c r="E26" s="80"/>
      <c r="F26" s="80"/>
      <c r="G26" s="80"/>
      <c r="H26" s="80"/>
    </row>
    <row r="27" spans="1:8" ht="12.75">
      <c r="A27" s="80"/>
      <c r="B27" s="80"/>
      <c r="C27" s="80"/>
      <c r="D27" s="80"/>
      <c r="E27" s="80"/>
      <c r="F27" s="80"/>
      <c r="G27" s="80"/>
      <c r="H27" s="80"/>
    </row>
    <row r="28" spans="1:8" ht="12.75">
      <c r="A28" s="80"/>
      <c r="B28" s="80"/>
      <c r="C28" s="80"/>
      <c r="D28" s="80"/>
      <c r="E28" s="80"/>
      <c r="F28" s="80"/>
      <c r="G28" s="80"/>
      <c r="H28" s="80"/>
    </row>
    <row r="29" spans="1:8" ht="12.75">
      <c r="A29" s="80"/>
      <c r="B29" s="80"/>
      <c r="C29" s="80"/>
      <c r="D29" s="80"/>
      <c r="E29" s="80"/>
      <c r="F29" s="80"/>
      <c r="G29" s="80"/>
      <c r="H29" s="80"/>
    </row>
    <row r="30" spans="1:8" ht="12.75">
      <c r="A30" s="80"/>
      <c r="B30" s="80"/>
      <c r="C30" s="80"/>
      <c r="D30" s="80"/>
      <c r="E30" s="80"/>
      <c r="F30" s="80"/>
      <c r="G30" s="80"/>
      <c r="H30" s="80"/>
    </row>
    <row r="31" spans="1:8" ht="12.75">
      <c r="A31" s="80"/>
      <c r="B31" s="80"/>
      <c r="C31" s="80"/>
      <c r="D31" s="80"/>
      <c r="E31" s="80"/>
      <c r="F31" s="80"/>
      <c r="G31" s="80"/>
      <c r="H31" s="80"/>
    </row>
    <row r="32" spans="1:8" ht="12.75">
      <c r="A32" s="80"/>
      <c r="B32" s="80"/>
      <c r="C32" s="80"/>
      <c r="D32" s="80"/>
      <c r="E32" s="80"/>
      <c r="F32" s="80"/>
      <c r="G32" s="80"/>
      <c r="H32" s="80"/>
    </row>
    <row r="33" spans="1:8" ht="12.75">
      <c r="A33" s="80"/>
      <c r="B33" s="80"/>
      <c r="C33" s="80"/>
      <c r="D33" s="80"/>
      <c r="E33" s="80"/>
      <c r="F33" s="80"/>
      <c r="G33" s="80"/>
      <c r="H33" s="80"/>
    </row>
    <row r="34" spans="1:8" ht="12.75">
      <c r="A34" s="80"/>
      <c r="B34" s="80"/>
      <c r="C34" s="80"/>
      <c r="D34" s="80"/>
      <c r="E34" s="80"/>
      <c r="F34" s="80"/>
      <c r="G34" s="80"/>
      <c r="H34" s="80"/>
    </row>
    <row r="35" spans="1:8" ht="12.75">
      <c r="A35" s="80"/>
      <c r="B35" s="80"/>
      <c r="C35" s="80"/>
      <c r="D35" s="80"/>
      <c r="E35" s="80"/>
      <c r="F35" s="80"/>
      <c r="G35" s="80"/>
      <c r="H35" s="80"/>
    </row>
    <row r="36" spans="1:8" ht="12.75">
      <c r="A36" s="80"/>
      <c r="B36" s="80"/>
      <c r="C36" s="80"/>
      <c r="D36" s="80"/>
      <c r="E36" s="80"/>
      <c r="F36" s="80"/>
      <c r="G36" s="80"/>
      <c r="H36" s="80"/>
    </row>
    <row r="37" spans="1:8" ht="12.75">
      <c r="A37" s="80"/>
      <c r="B37" s="80"/>
      <c r="C37" s="80"/>
      <c r="D37" s="80"/>
      <c r="E37" s="80"/>
      <c r="F37" s="80"/>
      <c r="G37" s="80"/>
      <c r="H37" s="80"/>
    </row>
    <row r="38" spans="1:8" ht="12.75">
      <c r="A38" s="80"/>
      <c r="B38" s="80"/>
      <c r="C38" s="80"/>
      <c r="D38" s="80"/>
      <c r="E38" s="80"/>
      <c r="F38" s="80"/>
      <c r="G38" s="80"/>
      <c r="H38" s="80"/>
    </row>
    <row r="39" spans="1:8" ht="12.75">
      <c r="A39" s="80"/>
      <c r="B39" s="80"/>
      <c r="C39" s="80"/>
      <c r="D39" s="80"/>
      <c r="E39" s="80"/>
      <c r="F39" s="80"/>
      <c r="G39" s="80"/>
      <c r="H39" s="80"/>
    </row>
    <row r="40" spans="1:8" ht="12.75">
      <c r="A40" s="80"/>
      <c r="B40" s="80"/>
      <c r="C40" s="80"/>
      <c r="D40" s="80"/>
      <c r="E40" s="80"/>
      <c r="F40" s="80"/>
      <c r="G40" s="80"/>
      <c r="H40" s="80"/>
    </row>
    <row r="41" spans="1:8" ht="12.75">
      <c r="A41" s="80"/>
      <c r="B41" s="80"/>
      <c r="C41" s="80"/>
      <c r="D41" s="80"/>
      <c r="E41" s="80"/>
      <c r="F41" s="80"/>
      <c r="G41" s="80"/>
      <c r="H41" s="80"/>
    </row>
    <row r="42" spans="1:8" ht="12.75">
      <c r="A42" s="80"/>
      <c r="B42" s="80"/>
      <c r="C42" s="80"/>
      <c r="D42" s="80"/>
      <c r="E42" s="80"/>
      <c r="F42" s="80"/>
      <c r="G42" s="80"/>
      <c r="H42" s="80"/>
    </row>
    <row r="43" spans="1:8" ht="12.75">
      <c r="A43" s="80"/>
      <c r="B43" s="80"/>
      <c r="C43" s="80"/>
      <c r="D43" s="80"/>
      <c r="E43" s="80"/>
      <c r="F43" s="80"/>
      <c r="G43" s="80"/>
      <c r="H43" s="80"/>
    </row>
    <row r="44" spans="1:8" ht="12.75">
      <c r="A44" s="80"/>
      <c r="B44" s="80"/>
      <c r="C44" s="80"/>
      <c r="D44" s="80"/>
      <c r="E44" s="80"/>
      <c r="F44" s="80"/>
      <c r="G44" s="80"/>
      <c r="H44" s="80"/>
    </row>
    <row r="45" spans="1:8" ht="12.75">
      <c r="A45" s="80"/>
      <c r="B45" s="80"/>
      <c r="C45" s="80"/>
      <c r="D45" s="80"/>
      <c r="E45" s="80"/>
      <c r="F45" s="80"/>
      <c r="G45" s="80"/>
      <c r="H45" s="80"/>
    </row>
    <row r="46" spans="1:8" ht="12.75">
      <c r="A46" s="80"/>
      <c r="B46" s="80"/>
      <c r="C46" s="80"/>
      <c r="D46" s="80"/>
      <c r="E46" s="80"/>
      <c r="F46" s="80"/>
      <c r="G46" s="80"/>
      <c r="H46" s="80"/>
    </row>
  </sheetData>
  <printOptions horizontalCentered="1"/>
  <pageMargins left="0.2" right="0.2" top="0.31" bottom="0.38" header="0.19" footer="0.24"/>
  <pageSetup fitToHeight="1" fitToWidth="1" horizontalDpi="600" verticalDpi="600" orientation="landscape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75" zoomScaleNormal="75" workbookViewId="0" topLeftCell="A1">
      <selection activeCell="A1" sqref="A1:D20"/>
    </sheetView>
  </sheetViews>
  <sheetFormatPr defaultColWidth="9.140625" defaultRowHeight="12.75"/>
  <cols>
    <col min="1" max="1" width="14.421875" style="0" customWidth="1"/>
    <col min="4" max="4" width="11.57421875" style="0" bestFit="1" customWidth="1"/>
  </cols>
  <sheetData>
    <row r="1" spans="1:8" ht="15.75">
      <c r="A1" s="198" t="s">
        <v>57</v>
      </c>
      <c r="B1" s="44"/>
      <c r="C1" s="80"/>
      <c r="D1" s="80"/>
      <c r="E1" s="80"/>
      <c r="F1" s="80"/>
      <c r="G1" s="80"/>
      <c r="H1" s="80"/>
    </row>
    <row r="2" spans="1:8" ht="15.75">
      <c r="A2" s="198"/>
      <c r="B2" s="44"/>
      <c r="C2" s="80"/>
      <c r="D2" s="80"/>
      <c r="E2" s="80"/>
      <c r="F2" s="80"/>
      <c r="G2" s="80"/>
      <c r="H2" s="80"/>
    </row>
    <row r="3" spans="1:8" ht="15.75">
      <c r="A3" s="198" t="s">
        <v>157</v>
      </c>
      <c r="B3" s="44"/>
      <c r="C3" s="80"/>
      <c r="D3" s="177"/>
      <c r="E3" s="80"/>
      <c r="F3" s="80"/>
      <c r="G3" s="80"/>
      <c r="H3" s="80"/>
    </row>
    <row r="4" spans="2:8" ht="13.5" thickBot="1">
      <c r="B4" s="44"/>
      <c r="C4" s="80"/>
      <c r="D4" s="241"/>
      <c r="E4" s="80"/>
      <c r="F4" s="80"/>
      <c r="G4" s="80"/>
      <c r="H4" s="80"/>
    </row>
    <row r="5" spans="1:8" ht="12.75">
      <c r="A5" s="200"/>
      <c r="B5" s="201" t="s">
        <v>0</v>
      </c>
      <c r="C5" s="202" t="s">
        <v>92</v>
      </c>
      <c r="D5" s="199" t="s">
        <v>167</v>
      </c>
      <c r="E5" s="80"/>
      <c r="F5" s="80"/>
      <c r="G5" s="80"/>
      <c r="H5" s="80"/>
    </row>
    <row r="6" spans="1:8" ht="13.5" thickBot="1">
      <c r="A6" s="200"/>
      <c r="B6" s="203" t="s">
        <v>4</v>
      </c>
      <c r="C6" s="186" t="s">
        <v>12</v>
      </c>
      <c r="D6" s="188" t="s">
        <v>168</v>
      </c>
      <c r="E6" s="80"/>
      <c r="F6" s="80"/>
      <c r="G6" s="80"/>
      <c r="H6" s="80"/>
    </row>
    <row r="7" spans="1:8" ht="12.75">
      <c r="A7" s="204" t="s">
        <v>13</v>
      </c>
      <c r="B7" s="205">
        <v>4706.7</v>
      </c>
      <c r="C7" s="206">
        <v>6073.7</v>
      </c>
      <c r="D7" s="240">
        <f>+C7/B7-1</f>
        <v>0.29043703656489694</v>
      </c>
      <c r="E7" s="80"/>
      <c r="F7" s="80"/>
      <c r="G7" s="80"/>
      <c r="H7" s="80"/>
    </row>
    <row r="8" spans="1:8" ht="12.75">
      <c r="A8" s="196" t="s">
        <v>14</v>
      </c>
      <c r="B8" s="190">
        <v>7746.5</v>
      </c>
      <c r="C8" s="191">
        <v>9621.5</v>
      </c>
      <c r="D8" s="197">
        <f>+C8/B8-1</f>
        <v>0.24204479442328797</v>
      </c>
      <c r="E8" s="80"/>
      <c r="F8" s="80"/>
      <c r="G8" s="80"/>
      <c r="H8" s="80"/>
    </row>
    <row r="9" spans="1:8" ht="12.75">
      <c r="A9" s="189" t="s">
        <v>16</v>
      </c>
      <c r="B9" s="190">
        <v>1786.9</v>
      </c>
      <c r="C9" s="191">
        <v>2253</v>
      </c>
      <c r="D9" s="197">
        <f>+C9/B9-1</f>
        <v>0.2608428003805472</v>
      </c>
      <c r="E9" s="80"/>
      <c r="F9" s="80"/>
      <c r="G9" s="80"/>
      <c r="H9" s="80"/>
    </row>
    <row r="10" spans="1:8" ht="12.75">
      <c r="A10" s="189" t="s">
        <v>17</v>
      </c>
      <c r="B10" s="190">
        <v>283.6</v>
      </c>
      <c r="C10" s="191">
        <v>354.645</v>
      </c>
      <c r="D10" s="197">
        <f>+C10/B10-1</f>
        <v>0.2505112834978842</v>
      </c>
      <c r="E10" s="80"/>
      <c r="F10" s="80"/>
      <c r="G10" s="80"/>
      <c r="H10" s="80"/>
    </row>
    <row r="11" spans="1:8" ht="13.5" thickBot="1">
      <c r="A11" s="207" t="s">
        <v>29</v>
      </c>
      <c r="B11" s="208">
        <v>14523.7</v>
      </c>
      <c r="C11" s="209">
        <v>18302.845</v>
      </c>
      <c r="D11" s="210">
        <f>+C11/B11-1</f>
        <v>0.2602053884340767</v>
      </c>
      <c r="E11" s="80"/>
      <c r="F11" s="80"/>
      <c r="G11" s="80"/>
      <c r="H11" s="80"/>
    </row>
    <row r="12" spans="1:8" ht="12.75">
      <c r="A12" s="230"/>
      <c r="B12" s="80"/>
      <c r="C12" s="80"/>
      <c r="D12" s="212"/>
      <c r="E12" s="80"/>
      <c r="F12" s="80"/>
      <c r="G12" s="80"/>
      <c r="H12" s="80"/>
    </row>
    <row r="13" spans="1:8" ht="12.75">
      <c r="A13" s="80"/>
      <c r="B13" s="80"/>
      <c r="C13" s="80"/>
      <c r="D13" s="80"/>
      <c r="E13" s="80"/>
      <c r="F13" s="80"/>
      <c r="G13" s="80"/>
      <c r="H13" s="80"/>
    </row>
    <row r="14" spans="1:8" ht="16.5" thickBot="1">
      <c r="A14" s="218" t="s">
        <v>158</v>
      </c>
      <c r="B14" s="80"/>
      <c r="C14" s="80"/>
      <c r="D14" s="80"/>
      <c r="E14" s="80"/>
      <c r="F14" s="80"/>
      <c r="G14" s="80"/>
      <c r="H14" s="80"/>
    </row>
    <row r="15" spans="1:8" ht="13.5" thickBot="1">
      <c r="A15" s="80"/>
      <c r="B15" s="235" t="s">
        <v>0</v>
      </c>
      <c r="C15" s="235" t="s">
        <v>92</v>
      </c>
      <c r="D15" s="212"/>
      <c r="E15" s="80"/>
      <c r="F15" s="80"/>
      <c r="G15" s="80"/>
      <c r="H15" s="80"/>
    </row>
    <row r="16" spans="1:8" ht="13.5" thickBot="1">
      <c r="A16" s="80"/>
      <c r="B16" s="236" t="s">
        <v>4</v>
      </c>
      <c r="C16" s="15" t="s">
        <v>12</v>
      </c>
      <c r="D16" s="80"/>
      <c r="E16" s="80"/>
      <c r="F16" s="80"/>
      <c r="G16" s="80"/>
      <c r="H16" s="80"/>
    </row>
    <row r="17" spans="1:8" ht="12.75">
      <c r="A17" s="228" t="s">
        <v>148</v>
      </c>
      <c r="B17" s="220">
        <v>3982</v>
      </c>
      <c r="C17" s="221">
        <v>4945</v>
      </c>
      <c r="D17" s="222" t="e">
        <f>+C17/#REF!</f>
        <v>#REF!</v>
      </c>
      <c r="E17" s="80"/>
      <c r="F17" s="80"/>
      <c r="G17" s="80"/>
      <c r="H17" s="80"/>
    </row>
    <row r="18" spans="1:8" ht="12.75">
      <c r="A18" s="193" t="s">
        <v>151</v>
      </c>
      <c r="B18" s="194">
        <v>1137</v>
      </c>
      <c r="C18" s="195">
        <v>1307</v>
      </c>
      <c r="D18" s="192" t="e">
        <f>+C18/#REF!</f>
        <v>#REF!</v>
      </c>
      <c r="E18" s="80"/>
      <c r="F18" s="80"/>
      <c r="G18" s="80"/>
      <c r="H18" s="80"/>
    </row>
    <row r="19" spans="1:8" ht="12.75">
      <c r="A19" s="193" t="s">
        <v>149</v>
      </c>
      <c r="B19" s="194">
        <v>57</v>
      </c>
      <c r="C19" s="195">
        <v>142</v>
      </c>
      <c r="D19" s="192" t="e">
        <f>+C19/#REF!</f>
        <v>#REF!</v>
      </c>
      <c r="E19" s="80"/>
      <c r="F19" s="80"/>
      <c r="G19" s="80"/>
      <c r="H19" s="80"/>
    </row>
    <row r="20" spans="1:8" ht="13.5" thickBot="1">
      <c r="A20" s="229" t="s">
        <v>152</v>
      </c>
      <c r="B20" s="223">
        <v>5176</v>
      </c>
      <c r="C20" s="224">
        <v>6394</v>
      </c>
      <c r="D20" s="225" t="e">
        <f>+C20/#REF!</f>
        <v>#REF!</v>
      </c>
      <c r="E20" s="80"/>
      <c r="F20" s="80"/>
      <c r="G20" s="80"/>
      <c r="H20" s="80"/>
    </row>
    <row r="21" spans="1:8" ht="12.75">
      <c r="A21" s="238"/>
      <c r="B21" s="82"/>
      <c r="C21" s="82"/>
      <c r="D21" s="212"/>
      <c r="E21" s="80"/>
      <c r="F21" s="80"/>
      <c r="G21" s="80"/>
      <c r="H21" s="80"/>
    </row>
    <row r="22" spans="1:8" ht="12.75">
      <c r="A22" s="238"/>
      <c r="B22" s="82"/>
      <c r="C22" s="82"/>
      <c r="D22" s="80"/>
      <c r="E22" s="80"/>
      <c r="F22" s="80"/>
      <c r="G22" s="80"/>
      <c r="H22" s="80"/>
    </row>
    <row r="23" spans="1:8" ht="15.75">
      <c r="A23" s="218" t="s">
        <v>159</v>
      </c>
      <c r="B23" s="82"/>
      <c r="C23" s="82"/>
      <c r="D23" s="80"/>
      <c r="E23" s="80"/>
      <c r="F23" s="80"/>
      <c r="G23" s="80"/>
      <c r="H23" s="80"/>
    </row>
    <row r="24" spans="1:8" ht="12.75">
      <c r="A24" s="80"/>
      <c r="B24" s="80"/>
      <c r="C24" s="80"/>
      <c r="D24" s="80"/>
      <c r="E24" s="80"/>
      <c r="F24" s="80"/>
      <c r="G24" s="80"/>
      <c r="H24" s="80"/>
    </row>
    <row r="25" spans="1:8" ht="12.75">
      <c r="A25" s="80"/>
      <c r="B25" s="80"/>
      <c r="C25" s="80"/>
      <c r="D25" s="80"/>
      <c r="E25" s="80"/>
      <c r="F25" s="80"/>
      <c r="G25" s="80"/>
      <c r="H25" s="80"/>
    </row>
    <row r="26" spans="1:8" ht="12.75">
      <c r="A26" s="80"/>
      <c r="B26" s="80"/>
      <c r="C26" s="80"/>
      <c r="D26" s="80"/>
      <c r="E26" s="80"/>
      <c r="F26" s="80"/>
      <c r="G26" s="80"/>
      <c r="H26" s="80"/>
    </row>
    <row r="27" spans="1:8" ht="12.75">
      <c r="A27" s="80"/>
      <c r="B27" s="80"/>
      <c r="C27" s="80"/>
      <c r="D27" s="80"/>
      <c r="E27" s="80"/>
      <c r="F27" s="80"/>
      <c r="G27" s="80"/>
      <c r="H27" s="80"/>
    </row>
    <row r="28" spans="1:8" ht="12.75">
      <c r="A28" s="80"/>
      <c r="B28" s="80"/>
      <c r="C28" s="80"/>
      <c r="D28" s="80"/>
      <c r="E28" s="80"/>
      <c r="F28" s="80"/>
      <c r="G28" s="80"/>
      <c r="H28" s="80"/>
    </row>
    <row r="29" spans="1:8" ht="12.75">
      <c r="A29" s="80"/>
      <c r="B29" s="80"/>
      <c r="C29" s="80"/>
      <c r="D29" s="80"/>
      <c r="E29" s="80"/>
      <c r="F29" s="80"/>
      <c r="G29" s="80"/>
      <c r="H29" s="80"/>
    </row>
    <row r="30" spans="1:8" ht="12.75">
      <c r="A30" s="80"/>
      <c r="B30" s="80"/>
      <c r="C30" s="80"/>
      <c r="D30" s="80"/>
      <c r="E30" s="80"/>
      <c r="F30" s="80"/>
      <c r="G30" s="80"/>
      <c r="H30" s="80"/>
    </row>
    <row r="31" spans="1:8" ht="12.75">
      <c r="A31" s="80"/>
      <c r="B31" s="80"/>
      <c r="C31" s="80"/>
      <c r="D31" s="80"/>
      <c r="E31" s="80"/>
      <c r="F31" s="80"/>
      <c r="G31" s="80"/>
      <c r="H31" s="80"/>
    </row>
    <row r="32" spans="1:8" ht="12.75">
      <c r="A32" s="80"/>
      <c r="B32" s="80"/>
      <c r="C32" s="80"/>
      <c r="D32" s="80"/>
      <c r="E32" s="80"/>
      <c r="F32" s="80"/>
      <c r="G32" s="80"/>
      <c r="H32" s="80"/>
    </row>
    <row r="33" spans="1:8" ht="12.75">
      <c r="A33" s="80"/>
      <c r="B33" s="80"/>
      <c r="C33" s="80"/>
      <c r="D33" s="80"/>
      <c r="E33" s="80"/>
      <c r="F33" s="80"/>
      <c r="G33" s="80"/>
      <c r="H33" s="80"/>
    </row>
    <row r="34" spans="1:8" ht="12.75">
      <c r="A34" s="80"/>
      <c r="B34" s="80"/>
      <c r="C34" s="80"/>
      <c r="D34" s="80"/>
      <c r="E34" s="80"/>
      <c r="F34" s="80"/>
      <c r="G34" s="80"/>
      <c r="H34" s="80"/>
    </row>
    <row r="35" spans="1:8" ht="12.75">
      <c r="A35" s="80"/>
      <c r="B35" s="80"/>
      <c r="C35" s="80"/>
      <c r="D35" s="80"/>
      <c r="E35" s="80"/>
      <c r="F35" s="80"/>
      <c r="G35" s="80"/>
      <c r="H35" s="80"/>
    </row>
    <row r="36" spans="1:8" ht="12.75">
      <c r="A36" s="80"/>
      <c r="B36" s="80"/>
      <c r="C36" s="80"/>
      <c r="D36" s="80"/>
      <c r="E36" s="80"/>
      <c r="F36" s="80"/>
      <c r="G36" s="80"/>
      <c r="H36" s="80"/>
    </row>
    <row r="37" spans="1:8" ht="12.75">
      <c r="A37" s="80"/>
      <c r="B37" s="80"/>
      <c r="C37" s="80"/>
      <c r="D37" s="80"/>
      <c r="E37" s="80"/>
      <c r="F37" s="80"/>
      <c r="G37" s="80"/>
      <c r="H37" s="80"/>
    </row>
    <row r="38" spans="1:8" ht="12.75">
      <c r="A38" s="80"/>
      <c r="B38" s="80"/>
      <c r="C38" s="80"/>
      <c r="D38" s="80"/>
      <c r="E38" s="80"/>
      <c r="F38" s="80"/>
      <c r="G38" s="80"/>
      <c r="H38" s="80"/>
    </row>
    <row r="39" spans="1:8" ht="12.75">
      <c r="A39" s="80"/>
      <c r="B39" s="80"/>
      <c r="C39" s="80"/>
      <c r="D39" s="80"/>
      <c r="E39" s="80"/>
      <c r="F39" s="80"/>
      <c r="G39" s="80"/>
      <c r="H39" s="80"/>
    </row>
    <row r="40" spans="1:8" ht="12.75">
      <c r="A40" s="80"/>
      <c r="B40" s="80"/>
      <c r="C40" s="80"/>
      <c r="D40" s="80"/>
      <c r="E40" s="80"/>
      <c r="F40" s="80"/>
      <c r="G40" s="80"/>
      <c r="H40" s="80"/>
    </row>
    <row r="41" spans="1:8" ht="12.75">
      <c r="A41" s="80"/>
      <c r="B41" s="80"/>
      <c r="C41" s="80"/>
      <c r="D41" s="80"/>
      <c r="E41" s="80"/>
      <c r="F41" s="80"/>
      <c r="G41" s="80"/>
      <c r="H41" s="80"/>
    </row>
    <row r="42" spans="1:8" ht="12.75">
      <c r="A42" s="80"/>
      <c r="B42" s="80"/>
      <c r="C42" s="80"/>
      <c r="D42" s="80"/>
      <c r="E42" s="80"/>
      <c r="F42" s="80"/>
      <c r="G42" s="80"/>
      <c r="H42" s="80"/>
    </row>
    <row r="43" spans="1:8" ht="12.75">
      <c r="A43" s="80"/>
      <c r="B43" s="80"/>
      <c r="C43" s="80"/>
      <c r="D43" s="80"/>
      <c r="E43" s="80"/>
      <c r="F43" s="80"/>
      <c r="G43" s="80"/>
      <c r="H43" s="80"/>
    </row>
    <row r="44" spans="1:8" ht="12.75">
      <c r="A44" s="80"/>
      <c r="B44" s="80"/>
      <c r="C44" s="80"/>
      <c r="D44" s="80"/>
      <c r="E44" s="80"/>
      <c r="F44" s="80"/>
      <c r="G44" s="80"/>
      <c r="H44" s="80"/>
    </row>
    <row r="45" spans="1:8" ht="12.75">
      <c r="A45" s="80"/>
      <c r="B45" s="80"/>
      <c r="C45" s="80"/>
      <c r="D45" s="80"/>
      <c r="E45" s="80"/>
      <c r="F45" s="80"/>
      <c r="G45" s="80"/>
      <c r="H45" s="80"/>
    </row>
  </sheetData>
  <printOptions horizontalCentered="1"/>
  <pageMargins left="0.2" right="0.2" top="0.27" bottom="0.44" header="0.17" footer="0.25"/>
  <pageSetup fitToHeight="1" fitToWidth="1"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75" zoomScaleNormal="75" workbookViewId="0" topLeftCell="A1">
      <selection activeCell="A1" sqref="A1:D21"/>
    </sheetView>
  </sheetViews>
  <sheetFormatPr defaultColWidth="9.140625" defaultRowHeight="12.75"/>
  <cols>
    <col min="1" max="1" width="14.421875" style="0" customWidth="1"/>
    <col min="4" max="4" width="11.57421875" style="0" bestFit="1" customWidth="1"/>
  </cols>
  <sheetData>
    <row r="1" spans="1:8" ht="15.75">
      <c r="A1" s="198" t="s">
        <v>62</v>
      </c>
      <c r="B1" s="44"/>
      <c r="C1" s="80"/>
      <c r="D1" s="80"/>
      <c r="E1" s="80"/>
      <c r="F1" s="80"/>
      <c r="G1" s="80"/>
      <c r="H1" s="80"/>
    </row>
    <row r="2" spans="1:8" ht="15.75">
      <c r="A2" s="198"/>
      <c r="B2" s="44"/>
      <c r="C2" s="80"/>
      <c r="D2" s="80"/>
      <c r="E2" s="80"/>
      <c r="F2" s="80"/>
      <c r="G2" s="80"/>
      <c r="H2" s="80"/>
    </row>
    <row r="3" spans="1:8" ht="15.75">
      <c r="A3" s="198" t="s">
        <v>157</v>
      </c>
      <c r="B3" s="44"/>
      <c r="C3" s="80"/>
      <c r="D3" s="177"/>
      <c r="E3" s="80"/>
      <c r="F3" s="80"/>
      <c r="G3" s="80"/>
      <c r="H3" s="80"/>
    </row>
    <row r="4" spans="2:8" ht="13.5" thickBot="1">
      <c r="B4" s="44"/>
      <c r="C4" s="80"/>
      <c r="D4" s="241"/>
      <c r="E4" s="80"/>
      <c r="F4" s="80"/>
      <c r="G4" s="80"/>
      <c r="H4" s="80"/>
    </row>
    <row r="5" spans="1:8" ht="12.75">
      <c r="A5" s="200"/>
      <c r="B5" s="201" t="s">
        <v>0</v>
      </c>
      <c r="C5" s="202" t="s">
        <v>92</v>
      </c>
      <c r="D5" s="199" t="s">
        <v>167</v>
      </c>
      <c r="E5" s="80"/>
      <c r="F5" s="80"/>
      <c r="G5" s="80"/>
      <c r="H5" s="80"/>
    </row>
    <row r="6" spans="1:8" ht="13.5" thickBot="1">
      <c r="A6" s="200"/>
      <c r="B6" s="203" t="s">
        <v>4</v>
      </c>
      <c r="C6" s="186" t="s">
        <v>12</v>
      </c>
      <c r="D6" s="188" t="s">
        <v>168</v>
      </c>
      <c r="E6" s="80"/>
      <c r="F6" s="80"/>
      <c r="G6" s="80"/>
      <c r="H6" s="80"/>
    </row>
    <row r="7" spans="1:8" ht="12.75">
      <c r="A7" s="204" t="s">
        <v>13</v>
      </c>
      <c r="B7" s="205">
        <v>1938</v>
      </c>
      <c r="C7" s="206">
        <v>2802</v>
      </c>
      <c r="D7" s="240">
        <f>+C7/B7-1</f>
        <v>0.44582043343653255</v>
      </c>
      <c r="E7" s="80"/>
      <c r="F7" s="80"/>
      <c r="G7" s="80"/>
      <c r="H7" s="80"/>
    </row>
    <row r="8" spans="1:8" ht="12.75">
      <c r="A8" s="196" t="s">
        <v>14</v>
      </c>
      <c r="B8" s="190">
        <v>3153</v>
      </c>
      <c r="C8" s="191">
        <v>4576</v>
      </c>
      <c r="D8" s="197">
        <f>+C8/B8-1</f>
        <v>0.45131620678718676</v>
      </c>
      <c r="E8" s="80"/>
      <c r="F8" s="80"/>
      <c r="G8" s="80"/>
      <c r="H8" s="80"/>
    </row>
    <row r="9" spans="1:8" ht="12.75">
      <c r="A9" s="189" t="s">
        <v>16</v>
      </c>
      <c r="B9" s="190">
        <v>531</v>
      </c>
      <c r="C9" s="191">
        <v>857</v>
      </c>
      <c r="D9" s="197">
        <f>+C9/B9-1</f>
        <v>0.6139359698681732</v>
      </c>
      <c r="E9" s="80"/>
      <c r="F9" s="80"/>
      <c r="G9" s="80"/>
      <c r="H9" s="80"/>
    </row>
    <row r="10" spans="1:8" ht="12.75">
      <c r="A10" s="189" t="s">
        <v>17</v>
      </c>
      <c r="B10" s="190">
        <v>71</v>
      </c>
      <c r="C10" s="191">
        <v>141</v>
      </c>
      <c r="D10" s="197">
        <f>+C10/B10-1</f>
        <v>0.9859154929577465</v>
      </c>
      <c r="E10" s="80"/>
      <c r="F10" s="80"/>
      <c r="G10" s="80"/>
      <c r="H10" s="80"/>
    </row>
    <row r="11" spans="1:8" ht="13.5" thickBot="1">
      <c r="A11" s="207" t="s">
        <v>29</v>
      </c>
      <c r="B11" s="208">
        <v>5693</v>
      </c>
      <c r="C11" s="209">
        <v>8376</v>
      </c>
      <c r="D11" s="210">
        <f>+C11/B11-1</f>
        <v>0.47128051993676445</v>
      </c>
      <c r="E11" s="80"/>
      <c r="F11" s="80"/>
      <c r="G11" s="80"/>
      <c r="H11" s="80"/>
    </row>
    <row r="12" spans="1:8" ht="12.75">
      <c r="A12" s="230"/>
      <c r="B12" s="80"/>
      <c r="C12" s="80"/>
      <c r="D12" s="212"/>
      <c r="E12" s="80"/>
      <c r="F12" s="80"/>
      <c r="G12" s="80"/>
      <c r="H12" s="80"/>
    </row>
    <row r="13" spans="1:8" ht="12.75">
      <c r="A13" s="80"/>
      <c r="B13" s="80"/>
      <c r="C13" s="80"/>
      <c r="D13" s="80"/>
      <c r="E13" s="80"/>
      <c r="F13" s="80"/>
      <c r="G13" s="80"/>
      <c r="H13" s="80"/>
    </row>
    <row r="14" spans="1:8" ht="16.5" thickBot="1">
      <c r="A14" s="218" t="s">
        <v>158</v>
      </c>
      <c r="B14" s="80"/>
      <c r="C14" s="80"/>
      <c r="D14" s="80"/>
      <c r="E14" s="80"/>
      <c r="F14" s="80"/>
      <c r="G14" s="80"/>
      <c r="H14" s="80"/>
    </row>
    <row r="15" spans="1:8" ht="13.5" thickBot="1">
      <c r="A15" s="80"/>
      <c r="B15" s="235" t="s">
        <v>0</v>
      </c>
      <c r="C15" s="235" t="s">
        <v>92</v>
      </c>
      <c r="D15" s="212"/>
      <c r="E15" s="80"/>
      <c r="F15" s="80"/>
      <c r="G15" s="80"/>
      <c r="H15" s="80"/>
    </row>
    <row r="16" spans="1:8" ht="13.5" thickBot="1">
      <c r="A16" s="80"/>
      <c r="B16" s="236" t="s">
        <v>4</v>
      </c>
      <c r="C16" s="15" t="s">
        <v>12</v>
      </c>
      <c r="D16" s="80"/>
      <c r="E16" s="80"/>
      <c r="F16" s="80"/>
      <c r="G16" s="80"/>
      <c r="H16" s="80"/>
    </row>
    <row r="17" spans="1:8" ht="13.5" thickBot="1">
      <c r="A17" s="80"/>
      <c r="B17" s="244"/>
      <c r="C17" s="245"/>
      <c r="D17" s="80"/>
      <c r="E17" s="80"/>
      <c r="F17" s="80"/>
      <c r="G17" s="80"/>
      <c r="H17" s="80"/>
    </row>
    <row r="18" spans="1:8" ht="12.75">
      <c r="A18" s="228" t="s">
        <v>148</v>
      </c>
      <c r="B18" s="220">
        <v>1636</v>
      </c>
      <c r="C18" s="221">
        <v>2668</v>
      </c>
      <c r="D18" s="222" t="e">
        <f>+C18/#REF!</f>
        <v>#REF!</v>
      </c>
      <c r="E18" s="80"/>
      <c r="F18" s="80"/>
      <c r="G18" s="80"/>
      <c r="H18" s="80"/>
    </row>
    <row r="19" spans="1:8" ht="12.75">
      <c r="A19" s="193" t="s">
        <v>151</v>
      </c>
      <c r="B19" s="194">
        <v>446</v>
      </c>
      <c r="C19" s="195">
        <v>694</v>
      </c>
      <c r="D19" s="192" t="e">
        <f>+C19/#REF!</f>
        <v>#REF!</v>
      </c>
      <c r="E19" s="80"/>
      <c r="F19" s="80"/>
      <c r="G19" s="80"/>
      <c r="H19" s="80"/>
    </row>
    <row r="20" spans="1:8" ht="12.75">
      <c r="A20" s="193" t="s">
        <v>149</v>
      </c>
      <c r="B20" s="194">
        <v>22</v>
      </c>
      <c r="C20" s="195">
        <v>41</v>
      </c>
      <c r="D20" s="192" t="e">
        <f>+C20/#REF!</f>
        <v>#REF!</v>
      </c>
      <c r="E20" s="80"/>
      <c r="F20" s="80"/>
      <c r="G20" s="80"/>
      <c r="H20" s="80"/>
    </row>
    <row r="21" spans="1:8" ht="13.5" thickBot="1">
      <c r="A21" s="229" t="s">
        <v>152</v>
      </c>
      <c r="B21" s="223">
        <v>2104</v>
      </c>
      <c r="C21" s="224">
        <v>3403</v>
      </c>
      <c r="D21" s="225" t="e">
        <f>+C21/#REF!</f>
        <v>#REF!</v>
      </c>
      <c r="E21" s="80"/>
      <c r="F21" s="80"/>
      <c r="G21" s="80"/>
      <c r="H21" s="80"/>
    </row>
    <row r="22" spans="1:8" ht="12.75">
      <c r="A22" s="238"/>
      <c r="B22" s="82"/>
      <c r="C22" s="82"/>
      <c r="D22" s="80"/>
      <c r="E22" s="80"/>
      <c r="F22" s="80"/>
      <c r="G22" s="80"/>
      <c r="H22" s="80"/>
    </row>
    <row r="23" spans="1:8" ht="12.75">
      <c r="A23" s="238"/>
      <c r="B23" s="82"/>
      <c r="C23" s="82"/>
      <c r="D23" s="80"/>
      <c r="E23" s="80"/>
      <c r="F23" s="80"/>
      <c r="G23" s="80"/>
      <c r="H23" s="80"/>
    </row>
    <row r="24" spans="1:8" ht="15.75">
      <c r="A24" s="218" t="s">
        <v>159</v>
      </c>
      <c r="B24" s="82"/>
      <c r="C24" s="82"/>
      <c r="D24" s="80"/>
      <c r="E24" s="80"/>
      <c r="F24" s="80"/>
      <c r="G24" s="80"/>
      <c r="H24" s="80"/>
    </row>
    <row r="25" spans="1:8" ht="12.75">
      <c r="A25" s="80"/>
      <c r="B25" s="80"/>
      <c r="C25" s="80"/>
      <c r="D25" s="80"/>
      <c r="E25" s="80"/>
      <c r="F25" s="80"/>
      <c r="G25" s="80"/>
      <c r="H25" s="80"/>
    </row>
    <row r="26" spans="1:8" ht="12.75">
      <c r="A26" s="80"/>
      <c r="B26" s="80"/>
      <c r="C26" s="80"/>
      <c r="D26" s="80"/>
      <c r="E26" s="80"/>
      <c r="F26" s="80"/>
      <c r="G26" s="80"/>
      <c r="H26" s="80"/>
    </row>
    <row r="27" spans="1:8" ht="12.75">
      <c r="A27" s="80"/>
      <c r="B27" s="80"/>
      <c r="C27" s="80"/>
      <c r="D27" s="80"/>
      <c r="E27" s="80"/>
      <c r="F27" s="80"/>
      <c r="G27" s="80"/>
      <c r="H27" s="80"/>
    </row>
    <row r="28" spans="1:8" ht="12.75">
      <c r="A28" s="80"/>
      <c r="B28" s="80"/>
      <c r="C28" s="80"/>
      <c r="D28" s="80"/>
      <c r="E28" s="80"/>
      <c r="F28" s="80"/>
      <c r="G28" s="80"/>
      <c r="H28" s="80"/>
    </row>
    <row r="29" spans="1:8" ht="12.75">
      <c r="A29" s="80"/>
      <c r="B29" s="80"/>
      <c r="C29" s="80"/>
      <c r="D29" s="80"/>
      <c r="E29" s="80"/>
      <c r="F29" s="80"/>
      <c r="G29" s="80"/>
      <c r="H29" s="80"/>
    </row>
    <row r="30" spans="1:8" ht="12.75">
      <c r="A30" s="80"/>
      <c r="B30" s="80"/>
      <c r="C30" s="80"/>
      <c r="D30" s="80"/>
      <c r="E30" s="80"/>
      <c r="F30" s="80"/>
      <c r="G30" s="80"/>
      <c r="H30" s="80"/>
    </row>
    <row r="31" spans="1:8" ht="12.75">
      <c r="A31" s="80"/>
      <c r="B31" s="80"/>
      <c r="C31" s="80"/>
      <c r="D31" s="80"/>
      <c r="E31" s="80"/>
      <c r="F31" s="80"/>
      <c r="G31" s="80"/>
      <c r="H31" s="80"/>
    </row>
    <row r="32" spans="1:8" ht="12.75">
      <c r="A32" s="80"/>
      <c r="B32" s="80"/>
      <c r="C32" s="80"/>
      <c r="D32" s="80"/>
      <c r="E32" s="80"/>
      <c r="F32" s="80"/>
      <c r="G32" s="80"/>
      <c r="H32" s="80"/>
    </row>
    <row r="33" spans="1:8" ht="12.75">
      <c r="A33" s="80"/>
      <c r="B33" s="80"/>
      <c r="C33" s="80"/>
      <c r="D33" s="80"/>
      <c r="E33" s="80"/>
      <c r="F33" s="80"/>
      <c r="G33" s="80"/>
      <c r="H33" s="80"/>
    </row>
    <row r="34" spans="1:8" ht="12.75">
      <c r="A34" s="80"/>
      <c r="B34" s="80"/>
      <c r="C34" s="80"/>
      <c r="D34" s="80"/>
      <c r="E34" s="80"/>
      <c r="F34" s="80"/>
      <c r="G34" s="80"/>
      <c r="H34" s="80"/>
    </row>
    <row r="35" spans="1:8" ht="12.75">
      <c r="A35" s="80"/>
      <c r="B35" s="80"/>
      <c r="C35" s="80"/>
      <c r="D35" s="80"/>
      <c r="E35" s="80"/>
      <c r="F35" s="80"/>
      <c r="G35" s="80"/>
      <c r="H35" s="80"/>
    </row>
    <row r="36" spans="1:8" ht="12.75">
      <c r="A36" s="80"/>
      <c r="B36" s="80"/>
      <c r="C36" s="80"/>
      <c r="D36" s="80"/>
      <c r="E36" s="80"/>
      <c r="F36" s="80"/>
      <c r="G36" s="80"/>
      <c r="H36" s="80"/>
    </row>
    <row r="37" spans="1:8" ht="12.75">
      <c r="A37" s="80"/>
      <c r="B37" s="80"/>
      <c r="C37" s="80"/>
      <c r="D37" s="80"/>
      <c r="E37" s="80"/>
      <c r="F37" s="80"/>
      <c r="G37" s="80"/>
      <c r="H37" s="80"/>
    </row>
    <row r="38" spans="1:8" ht="12.75">
      <c r="A38" s="80"/>
      <c r="B38" s="80"/>
      <c r="C38" s="80"/>
      <c r="D38" s="80"/>
      <c r="E38" s="80"/>
      <c r="F38" s="80"/>
      <c r="G38" s="80"/>
      <c r="H38" s="80"/>
    </row>
    <row r="39" spans="1:8" ht="12.75">
      <c r="A39" s="80"/>
      <c r="B39" s="80"/>
      <c r="C39" s="80"/>
      <c r="D39" s="80"/>
      <c r="E39" s="80"/>
      <c r="F39" s="80"/>
      <c r="G39" s="80"/>
      <c r="H39" s="80"/>
    </row>
    <row r="40" spans="1:8" ht="12.75">
      <c r="A40" s="80"/>
      <c r="B40" s="80"/>
      <c r="C40" s="80"/>
      <c r="D40" s="80"/>
      <c r="E40" s="80"/>
      <c r="F40" s="80"/>
      <c r="G40" s="80"/>
      <c r="H40" s="80"/>
    </row>
    <row r="41" spans="1:8" ht="12.75">
      <c r="A41" s="80"/>
      <c r="B41" s="80"/>
      <c r="C41" s="80"/>
      <c r="D41" s="80"/>
      <c r="E41" s="80"/>
      <c r="F41" s="80"/>
      <c r="G41" s="80"/>
      <c r="H41" s="80"/>
    </row>
    <row r="42" spans="1:8" ht="12.75">
      <c r="A42" s="80"/>
      <c r="B42" s="80"/>
      <c r="C42" s="80"/>
      <c r="D42" s="80"/>
      <c r="E42" s="80"/>
      <c r="F42" s="80"/>
      <c r="G42" s="80"/>
      <c r="H42" s="80"/>
    </row>
    <row r="43" spans="1:8" ht="12.75">
      <c r="A43" s="80"/>
      <c r="B43" s="80"/>
      <c r="C43" s="80"/>
      <c r="D43" s="80"/>
      <c r="E43" s="80"/>
      <c r="F43" s="80"/>
      <c r="G43" s="80"/>
      <c r="H43" s="80"/>
    </row>
    <row r="44" spans="1:8" ht="12.75">
      <c r="A44" s="80"/>
      <c r="B44" s="80"/>
      <c r="C44" s="80"/>
      <c r="D44" s="80"/>
      <c r="E44" s="80"/>
      <c r="F44" s="80"/>
      <c r="G44" s="80"/>
      <c r="H44" s="80"/>
    </row>
    <row r="45" spans="1:8" ht="12.75">
      <c r="A45" s="80"/>
      <c r="B45" s="80"/>
      <c r="C45" s="80"/>
      <c r="D45" s="80"/>
      <c r="E45" s="80"/>
      <c r="F45" s="80"/>
      <c r="G45" s="80"/>
      <c r="H45" s="80"/>
    </row>
    <row r="46" spans="1:8" ht="12.75">
      <c r="A46" s="80"/>
      <c r="B46" s="80"/>
      <c r="C46" s="80"/>
      <c r="D46" s="80"/>
      <c r="E46" s="80"/>
      <c r="F46" s="80"/>
      <c r="G46" s="80"/>
      <c r="H46" s="80"/>
    </row>
  </sheetData>
  <printOptions horizontalCentered="1"/>
  <pageMargins left="0.2" right="0.2" top="0.36" bottom="0.41" header="0.25" footer="0.17"/>
  <pageSetup fitToHeight="1" fitToWidth="1"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75" zoomScaleNormal="75" workbookViewId="0" topLeftCell="A1">
      <selection activeCell="A1" sqref="A1:D22"/>
    </sheetView>
  </sheetViews>
  <sheetFormatPr defaultColWidth="9.140625" defaultRowHeight="12.75"/>
  <cols>
    <col min="1" max="1" width="14.421875" style="0" customWidth="1"/>
    <col min="4" max="4" width="11.57421875" style="0" bestFit="1" customWidth="1"/>
  </cols>
  <sheetData>
    <row r="1" spans="1:8" ht="15.75">
      <c r="A1" s="198" t="s">
        <v>73</v>
      </c>
      <c r="B1" s="44"/>
      <c r="C1" s="80"/>
      <c r="D1" s="80"/>
      <c r="E1" s="80"/>
      <c r="F1" s="80"/>
      <c r="G1" s="80"/>
      <c r="H1" s="80"/>
    </row>
    <row r="2" spans="1:8" ht="15.75">
      <c r="A2" s="198"/>
      <c r="B2" s="44"/>
      <c r="C2" s="80"/>
      <c r="D2" s="80"/>
      <c r="E2" s="80"/>
      <c r="F2" s="80"/>
      <c r="G2" s="80"/>
      <c r="H2" s="80"/>
    </row>
    <row r="3" spans="1:8" ht="15.75">
      <c r="A3" s="198" t="s">
        <v>157</v>
      </c>
      <c r="B3" s="44"/>
      <c r="C3" s="80"/>
      <c r="D3" s="177"/>
      <c r="E3" s="80"/>
      <c r="F3" s="80"/>
      <c r="G3" s="80"/>
      <c r="H3" s="80"/>
    </row>
    <row r="4" spans="2:8" ht="13.5" thickBot="1">
      <c r="B4" s="44"/>
      <c r="C4" s="80"/>
      <c r="D4" s="241"/>
      <c r="E4" s="80"/>
      <c r="F4" s="80"/>
      <c r="G4" s="80"/>
      <c r="H4" s="80"/>
    </row>
    <row r="5" spans="1:8" ht="12.75">
      <c r="A5" s="200"/>
      <c r="B5" s="201" t="s">
        <v>0</v>
      </c>
      <c r="C5" s="202" t="s">
        <v>92</v>
      </c>
      <c r="D5" s="199" t="s">
        <v>167</v>
      </c>
      <c r="E5" s="80"/>
      <c r="F5" s="80"/>
      <c r="G5" s="80"/>
      <c r="H5" s="80"/>
    </row>
    <row r="6" spans="1:8" ht="13.5" thickBot="1">
      <c r="A6" s="200"/>
      <c r="B6" s="203" t="s">
        <v>4</v>
      </c>
      <c r="C6" s="186" t="s">
        <v>12</v>
      </c>
      <c r="D6" s="188" t="s">
        <v>168</v>
      </c>
      <c r="E6" s="80"/>
      <c r="F6" s="80"/>
      <c r="G6" s="80"/>
      <c r="H6" s="80"/>
    </row>
    <row r="7" spans="1:8" ht="12.75">
      <c r="A7" s="204" t="s">
        <v>13</v>
      </c>
      <c r="B7" s="205">
        <v>7826.3</v>
      </c>
      <c r="C7" s="206">
        <v>12097.130989319172</v>
      </c>
      <c r="D7" s="240">
        <f>+C7/B7-1</f>
        <v>0.5457024378466417</v>
      </c>
      <c r="E7" s="80"/>
      <c r="F7" s="80"/>
      <c r="G7" s="80"/>
      <c r="H7" s="80"/>
    </row>
    <row r="8" spans="1:8" ht="12.75">
      <c r="A8" s="196" t="s">
        <v>14</v>
      </c>
      <c r="B8" s="190">
        <v>10794.2</v>
      </c>
      <c r="C8" s="191">
        <v>17189.728083847196</v>
      </c>
      <c r="D8" s="197">
        <f>+C8/B8-1</f>
        <v>0.5924967189645545</v>
      </c>
      <c r="E8" s="80"/>
      <c r="F8" s="80"/>
      <c r="G8" s="80"/>
      <c r="H8" s="80"/>
    </row>
    <row r="9" spans="1:8" ht="12.75">
      <c r="A9" s="189" t="s">
        <v>16</v>
      </c>
      <c r="B9" s="190">
        <v>2694.4</v>
      </c>
      <c r="C9" s="191">
        <v>4461.185867280631</v>
      </c>
      <c r="D9" s="197">
        <f>+C9/B9-1</f>
        <v>0.6557251585809942</v>
      </c>
      <c r="E9" s="80"/>
      <c r="F9" s="80"/>
      <c r="G9" s="80"/>
      <c r="H9" s="80"/>
    </row>
    <row r="10" spans="1:8" ht="12.75">
      <c r="A10" s="189" t="s">
        <v>17</v>
      </c>
      <c r="B10" s="190">
        <v>493.9</v>
      </c>
      <c r="C10" s="191">
        <v>759.758836524314</v>
      </c>
      <c r="D10" s="197">
        <f>+C10/B10-1</f>
        <v>0.538284746961559</v>
      </c>
      <c r="E10" s="80"/>
      <c r="F10" s="80"/>
      <c r="G10" s="80"/>
      <c r="H10" s="80"/>
    </row>
    <row r="11" spans="1:8" ht="13.5" thickBot="1">
      <c r="A11" s="207" t="s">
        <v>18</v>
      </c>
      <c r="B11" s="208">
        <v>21808.8</v>
      </c>
      <c r="C11" s="209">
        <v>34507.80377697131</v>
      </c>
      <c r="D11" s="210">
        <f>+C11/B11-1</f>
        <v>0.5822880569756848</v>
      </c>
      <c r="E11" s="80"/>
      <c r="F11" s="80"/>
      <c r="G11" s="80"/>
      <c r="H11" s="80"/>
    </row>
    <row r="12" spans="1:8" ht="12.75">
      <c r="A12" s="230"/>
      <c r="B12" s="80"/>
      <c r="C12" s="80"/>
      <c r="D12" s="212"/>
      <c r="E12" s="80"/>
      <c r="F12" s="80"/>
      <c r="G12" s="80"/>
      <c r="H12" s="80"/>
    </row>
    <row r="13" spans="1:8" ht="12.75">
      <c r="A13" s="80"/>
      <c r="B13" s="80"/>
      <c r="C13" s="80"/>
      <c r="D13" s="80"/>
      <c r="E13" s="80"/>
      <c r="F13" s="80"/>
      <c r="G13" s="80"/>
      <c r="H13" s="80"/>
    </row>
    <row r="14" spans="1:8" ht="16.5" thickBot="1">
      <c r="A14" s="218" t="s">
        <v>158</v>
      </c>
      <c r="B14" s="80"/>
      <c r="C14" s="80"/>
      <c r="D14" s="80"/>
      <c r="E14" s="80"/>
      <c r="F14" s="80"/>
      <c r="G14" s="80"/>
      <c r="H14" s="80"/>
    </row>
    <row r="15" spans="1:8" ht="12.75">
      <c r="A15" s="217"/>
      <c r="B15" s="201" t="s">
        <v>0</v>
      </c>
      <c r="C15" s="219" t="s">
        <v>92</v>
      </c>
      <c r="D15" s="212"/>
      <c r="E15" s="80"/>
      <c r="F15" s="80"/>
      <c r="G15" s="80"/>
      <c r="H15" s="80"/>
    </row>
    <row r="16" spans="1:8" ht="13.5" thickBot="1">
      <c r="A16" s="217"/>
      <c r="B16" s="203" t="s">
        <v>4</v>
      </c>
      <c r="C16" s="185" t="s">
        <v>12</v>
      </c>
      <c r="D16" s="80"/>
      <c r="E16" s="80"/>
      <c r="F16" s="80"/>
      <c r="G16" s="80"/>
      <c r="H16" s="80"/>
    </row>
    <row r="17" spans="1:8" ht="13.5" thickBot="1">
      <c r="A17" s="217"/>
      <c r="B17" s="246"/>
      <c r="C17" s="247"/>
      <c r="D17" s="80"/>
      <c r="E17" s="80"/>
      <c r="F17" s="80"/>
      <c r="G17" s="80"/>
      <c r="H17" s="80"/>
    </row>
    <row r="18" spans="1:8" ht="12.75">
      <c r="A18" s="204" t="s">
        <v>148</v>
      </c>
      <c r="B18" s="220">
        <v>4767</v>
      </c>
      <c r="C18" s="221">
        <v>6195.333333333334</v>
      </c>
      <c r="D18" s="222" t="e">
        <f>+C18/#REF!</f>
        <v>#REF!</v>
      </c>
      <c r="E18" s="80"/>
      <c r="F18" s="80"/>
      <c r="G18" s="80"/>
      <c r="H18" s="80"/>
    </row>
    <row r="19" spans="1:8" ht="12.75">
      <c r="A19" s="196" t="s">
        <v>151</v>
      </c>
      <c r="B19" s="194">
        <v>1792</v>
      </c>
      <c r="C19" s="195">
        <v>3057</v>
      </c>
      <c r="D19" s="192" t="e">
        <f>+C19/#REF!</f>
        <v>#REF!</v>
      </c>
      <c r="E19" s="80"/>
      <c r="F19" s="80"/>
      <c r="G19" s="80"/>
      <c r="H19" s="80"/>
    </row>
    <row r="20" spans="1:8" ht="12.75">
      <c r="A20" s="196" t="s">
        <v>149</v>
      </c>
      <c r="B20" s="194">
        <v>78</v>
      </c>
      <c r="C20" s="195">
        <v>280</v>
      </c>
      <c r="D20" s="192" t="e">
        <f>+C20/#REF!</f>
        <v>#REF!</v>
      </c>
      <c r="E20" s="80"/>
      <c r="F20" s="80"/>
      <c r="G20" s="80"/>
      <c r="H20" s="80"/>
    </row>
    <row r="21" spans="1:8" ht="25.5">
      <c r="A21" s="196" t="s">
        <v>150</v>
      </c>
      <c r="B21" s="194">
        <v>0</v>
      </c>
      <c r="C21" s="195">
        <v>180</v>
      </c>
      <c r="D21" s="192" t="e">
        <f>+C21/#REF!</f>
        <v>#REF!</v>
      </c>
      <c r="E21" s="80"/>
      <c r="F21" s="80"/>
      <c r="G21" s="80"/>
      <c r="H21" s="80"/>
    </row>
    <row r="22" spans="1:8" ht="13.5" thickBot="1">
      <c r="A22" s="207" t="s">
        <v>152</v>
      </c>
      <c r="B22" s="223">
        <v>6637</v>
      </c>
      <c r="C22" s="224">
        <v>9712.333333333334</v>
      </c>
      <c r="D22" s="225" t="e">
        <f>+C22/#REF!</f>
        <v>#REF!</v>
      </c>
      <c r="E22" s="80"/>
      <c r="F22" s="80"/>
      <c r="G22" s="80"/>
      <c r="H22" s="80"/>
    </row>
    <row r="23" spans="1:8" ht="12.75">
      <c r="A23" s="230"/>
      <c r="B23" s="237"/>
      <c r="C23" s="237"/>
      <c r="D23" s="80"/>
      <c r="E23" s="80"/>
      <c r="F23" s="80"/>
      <c r="G23" s="80"/>
      <c r="H23" s="80"/>
    </row>
    <row r="24" spans="1:8" ht="12.75">
      <c r="A24" s="230"/>
      <c r="B24" s="237"/>
      <c r="C24" s="237"/>
      <c r="D24" s="80"/>
      <c r="E24" s="80"/>
      <c r="F24" s="80"/>
      <c r="G24" s="80"/>
      <c r="H24" s="80"/>
    </row>
    <row r="25" spans="1:8" ht="12.75">
      <c r="A25" s="80"/>
      <c r="B25" s="80"/>
      <c r="C25" s="80"/>
      <c r="D25" s="80"/>
      <c r="E25" s="80"/>
      <c r="F25" s="80"/>
      <c r="G25" s="80"/>
      <c r="H25" s="80"/>
    </row>
    <row r="26" spans="1:8" ht="12.75">
      <c r="A26" s="80"/>
      <c r="B26" s="80"/>
      <c r="C26" s="80"/>
      <c r="D26" s="80"/>
      <c r="E26" s="80"/>
      <c r="F26" s="80"/>
      <c r="G26" s="80"/>
      <c r="H26" s="80"/>
    </row>
    <row r="27" spans="1:8" ht="12.75">
      <c r="A27" s="80"/>
      <c r="B27" s="80"/>
      <c r="C27" s="80"/>
      <c r="D27" s="80"/>
      <c r="E27" s="80"/>
      <c r="F27" s="80"/>
      <c r="G27" s="80"/>
      <c r="H27" s="80"/>
    </row>
    <row r="28" spans="1:8" ht="12.75">
      <c r="A28" s="80"/>
      <c r="B28" s="80"/>
      <c r="C28" s="80"/>
      <c r="D28" s="80"/>
      <c r="E28" s="80"/>
      <c r="F28" s="80"/>
      <c r="G28" s="80"/>
      <c r="H28" s="80"/>
    </row>
    <row r="29" spans="1:8" ht="12.75">
      <c r="A29" s="80"/>
      <c r="B29" s="80"/>
      <c r="C29" s="80"/>
      <c r="D29" s="80"/>
      <c r="E29" s="80"/>
      <c r="F29" s="80"/>
      <c r="G29" s="80"/>
      <c r="H29" s="80"/>
    </row>
    <row r="30" spans="1:8" ht="12.75">
      <c r="A30" s="80"/>
      <c r="B30" s="80"/>
      <c r="C30" s="80"/>
      <c r="D30" s="80"/>
      <c r="E30" s="80"/>
      <c r="F30" s="80"/>
      <c r="G30" s="80"/>
      <c r="H30" s="80"/>
    </row>
    <row r="31" spans="1:8" ht="12.75">
      <c r="A31" s="80"/>
      <c r="B31" s="80"/>
      <c r="C31" s="80"/>
      <c r="D31" s="80"/>
      <c r="E31" s="80"/>
      <c r="F31" s="80"/>
      <c r="G31" s="80"/>
      <c r="H31" s="80"/>
    </row>
    <row r="32" spans="1:8" ht="12.75">
      <c r="A32" s="80"/>
      <c r="B32" s="80"/>
      <c r="C32" s="80"/>
      <c r="D32" s="80"/>
      <c r="E32" s="80"/>
      <c r="F32" s="80"/>
      <c r="G32" s="80"/>
      <c r="H32" s="80"/>
    </row>
    <row r="33" spans="1:8" ht="12.75">
      <c r="A33" s="80"/>
      <c r="B33" s="80"/>
      <c r="C33" s="80"/>
      <c r="D33" s="80"/>
      <c r="E33" s="80"/>
      <c r="F33" s="80"/>
      <c r="G33" s="80"/>
      <c r="H33" s="80"/>
    </row>
    <row r="34" spans="1:8" ht="12.75">
      <c r="A34" s="80"/>
      <c r="B34" s="80"/>
      <c r="C34" s="80"/>
      <c r="D34" s="80"/>
      <c r="E34" s="80"/>
      <c r="F34" s="80"/>
      <c r="G34" s="80"/>
      <c r="H34" s="80"/>
    </row>
    <row r="35" spans="1:8" ht="12.75">
      <c r="A35" s="80"/>
      <c r="B35" s="80"/>
      <c r="C35" s="80"/>
      <c r="D35" s="80"/>
      <c r="E35" s="80"/>
      <c r="F35" s="80"/>
      <c r="G35" s="80"/>
      <c r="H35" s="80"/>
    </row>
    <row r="36" spans="1:8" ht="12.75">
      <c r="A36" s="80"/>
      <c r="B36" s="80"/>
      <c r="C36" s="80"/>
      <c r="D36" s="80"/>
      <c r="E36" s="80"/>
      <c r="F36" s="80"/>
      <c r="G36" s="80"/>
      <c r="H36" s="80"/>
    </row>
    <row r="37" spans="1:8" ht="12.75">
      <c r="A37" s="80"/>
      <c r="B37" s="80"/>
      <c r="C37" s="80"/>
      <c r="D37" s="80"/>
      <c r="E37" s="80"/>
      <c r="F37" s="80"/>
      <c r="G37" s="80"/>
      <c r="H37" s="80"/>
    </row>
    <row r="38" spans="1:8" ht="12.75">
      <c r="A38" s="80"/>
      <c r="B38" s="80"/>
      <c r="C38" s="80"/>
      <c r="D38" s="80"/>
      <c r="E38" s="80"/>
      <c r="F38" s="80"/>
      <c r="G38" s="80"/>
      <c r="H38" s="80"/>
    </row>
    <row r="39" spans="1:8" ht="12.75">
      <c r="A39" s="80"/>
      <c r="B39" s="80"/>
      <c r="C39" s="80"/>
      <c r="D39" s="80"/>
      <c r="E39" s="80"/>
      <c r="F39" s="80"/>
      <c r="G39" s="80"/>
      <c r="H39" s="80"/>
    </row>
    <row r="40" spans="1:8" ht="12.75">
      <c r="A40" s="80"/>
      <c r="B40" s="80"/>
      <c r="C40" s="80"/>
      <c r="D40" s="80"/>
      <c r="E40" s="80"/>
      <c r="F40" s="80"/>
      <c r="G40" s="80"/>
      <c r="H40" s="80"/>
    </row>
    <row r="41" spans="1:8" ht="12.75">
      <c r="A41" s="80"/>
      <c r="B41" s="80"/>
      <c r="C41" s="80"/>
      <c r="D41" s="80"/>
      <c r="E41" s="80"/>
      <c r="F41" s="80"/>
      <c r="G41" s="80"/>
      <c r="H41" s="80"/>
    </row>
    <row r="42" spans="1:8" ht="12.75">
      <c r="A42" s="80"/>
      <c r="B42" s="80"/>
      <c r="C42" s="80"/>
      <c r="D42" s="80"/>
      <c r="E42" s="80"/>
      <c r="F42" s="80"/>
      <c r="G42" s="80"/>
      <c r="H42" s="80"/>
    </row>
    <row r="43" spans="1:8" ht="12.75">
      <c r="A43" s="80"/>
      <c r="B43" s="80"/>
      <c r="C43" s="80"/>
      <c r="D43" s="80"/>
      <c r="E43" s="80"/>
      <c r="F43" s="80"/>
      <c r="G43" s="80"/>
      <c r="H43" s="80"/>
    </row>
    <row r="44" spans="1:8" ht="12.75">
      <c r="A44" s="80"/>
      <c r="B44" s="80"/>
      <c r="C44" s="80"/>
      <c r="D44" s="80"/>
      <c r="E44" s="80"/>
      <c r="F44" s="80"/>
      <c r="G44" s="80"/>
      <c r="H44" s="80"/>
    </row>
    <row r="45" spans="1:8" ht="12.75">
      <c r="A45" s="80"/>
      <c r="B45" s="80"/>
      <c r="C45" s="80"/>
      <c r="D45" s="80"/>
      <c r="E45" s="80"/>
      <c r="F45" s="80"/>
      <c r="G45" s="80"/>
      <c r="H45" s="80"/>
    </row>
    <row r="46" spans="1:8" ht="12.75">
      <c r="A46" s="80"/>
      <c r="B46" s="80"/>
      <c r="C46" s="80"/>
      <c r="D46" s="80"/>
      <c r="E46" s="80"/>
      <c r="F46" s="80"/>
      <c r="G46" s="80"/>
      <c r="H46" s="80"/>
    </row>
  </sheetData>
  <printOptions horizontalCentered="1"/>
  <pageMargins left="0.2" right="0.2" top="0.25" bottom="0.37" header="0.17" footer="0.21"/>
  <pageSetup fitToHeight="1" fitToWidth="1" horizontalDpi="600" verticalDpi="600" orientation="landscape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75" zoomScaleNormal="75" workbookViewId="0" topLeftCell="A1">
      <selection activeCell="A1" sqref="A1:D22"/>
    </sheetView>
  </sheetViews>
  <sheetFormatPr defaultColWidth="9.140625" defaultRowHeight="12.75"/>
  <cols>
    <col min="1" max="1" width="14.421875" style="0" customWidth="1"/>
    <col min="4" max="4" width="11.57421875" style="0" bestFit="1" customWidth="1"/>
  </cols>
  <sheetData>
    <row r="1" spans="1:8" ht="15.75">
      <c r="A1" s="198" t="s">
        <v>66</v>
      </c>
      <c r="B1" s="44"/>
      <c r="C1" s="80"/>
      <c r="D1" s="80"/>
      <c r="E1" s="80"/>
      <c r="F1" s="80"/>
      <c r="G1" s="80"/>
      <c r="H1" s="80"/>
    </row>
    <row r="2" spans="1:8" ht="15.75">
      <c r="A2" s="198"/>
      <c r="B2" s="44"/>
      <c r="C2" s="80"/>
      <c r="D2" s="80"/>
      <c r="E2" s="80"/>
      <c r="F2" s="80"/>
      <c r="G2" s="80"/>
      <c r="H2" s="80"/>
    </row>
    <row r="3" spans="1:8" ht="15.75">
      <c r="A3" s="198" t="s">
        <v>157</v>
      </c>
      <c r="B3" s="44"/>
      <c r="C3" s="80"/>
      <c r="D3" s="177"/>
      <c r="E3" s="80"/>
      <c r="F3" s="80"/>
      <c r="G3" s="80"/>
      <c r="H3" s="80"/>
    </row>
    <row r="4" spans="2:8" ht="13.5" thickBot="1">
      <c r="B4" s="44"/>
      <c r="C4" s="80"/>
      <c r="D4" s="241"/>
      <c r="E4" s="80"/>
      <c r="F4" s="80"/>
      <c r="G4" s="80"/>
      <c r="H4" s="80"/>
    </row>
    <row r="5" spans="1:8" ht="12.75">
      <c r="A5" s="200"/>
      <c r="B5" s="201" t="s">
        <v>0</v>
      </c>
      <c r="C5" s="202" t="s">
        <v>92</v>
      </c>
      <c r="D5" s="199" t="s">
        <v>167</v>
      </c>
      <c r="E5" s="80"/>
      <c r="F5" s="80"/>
      <c r="G5" s="80"/>
      <c r="H5" s="80"/>
    </row>
    <row r="6" spans="1:8" ht="13.5" thickBot="1">
      <c r="A6" s="200"/>
      <c r="B6" s="203" t="s">
        <v>4</v>
      </c>
      <c r="C6" s="186" t="s">
        <v>12</v>
      </c>
      <c r="D6" s="188" t="s">
        <v>168</v>
      </c>
      <c r="E6" s="80"/>
      <c r="F6" s="80"/>
      <c r="G6" s="80"/>
      <c r="H6" s="80"/>
    </row>
    <row r="7" spans="1:8" ht="12.75">
      <c r="A7" s="204" t="s">
        <v>13</v>
      </c>
      <c r="B7" s="205">
        <v>9819.5</v>
      </c>
      <c r="C7" s="206">
        <v>15256.873498704595</v>
      </c>
      <c r="D7" s="240">
        <f>+C7/B7-1</f>
        <v>0.5537322163760472</v>
      </c>
      <c r="E7" s="80"/>
      <c r="F7" s="80"/>
      <c r="G7" s="80"/>
      <c r="H7" s="80"/>
    </row>
    <row r="8" spans="1:8" ht="12.75">
      <c r="A8" s="196" t="s">
        <v>14</v>
      </c>
      <c r="B8" s="190">
        <v>13962.4</v>
      </c>
      <c r="C8" s="191">
        <v>17998.42620946096</v>
      </c>
      <c r="D8" s="197">
        <f>+C8/B8-1</f>
        <v>0.2890639295150519</v>
      </c>
      <c r="E8" s="80"/>
      <c r="F8" s="80"/>
      <c r="G8" s="80"/>
      <c r="H8" s="80"/>
    </row>
    <row r="9" spans="1:8" ht="12.75">
      <c r="A9" s="189" t="s">
        <v>16</v>
      </c>
      <c r="B9" s="190">
        <v>2878.6</v>
      </c>
      <c r="C9" s="191">
        <v>3337.3200895588725</v>
      </c>
      <c r="D9" s="197">
        <f>+C9/B9-1</f>
        <v>0.15935527324354637</v>
      </c>
      <c r="E9" s="80"/>
      <c r="F9" s="80"/>
      <c r="G9" s="80"/>
      <c r="H9" s="80"/>
    </row>
    <row r="10" spans="1:8" ht="12.75">
      <c r="A10" s="189" t="s">
        <v>17</v>
      </c>
      <c r="B10" s="190">
        <v>769.1</v>
      </c>
      <c r="C10" s="191">
        <v>991.9941816576296</v>
      </c>
      <c r="D10" s="197">
        <f>+C10/B10-1</f>
        <v>0.2898117041446231</v>
      </c>
      <c r="E10" s="80"/>
      <c r="F10" s="80"/>
      <c r="G10" s="80"/>
      <c r="H10" s="80"/>
    </row>
    <row r="11" spans="1:8" ht="13.5" thickBot="1">
      <c r="A11" s="207" t="s">
        <v>18</v>
      </c>
      <c r="B11" s="208">
        <v>27429.6</v>
      </c>
      <c r="C11" s="209">
        <v>37584.61397938206</v>
      </c>
      <c r="D11" s="210">
        <f>+C11/B11-1</f>
        <v>0.3702210013774194</v>
      </c>
      <c r="E11" s="80"/>
      <c r="F11" s="80"/>
      <c r="G11" s="80"/>
      <c r="H11" s="80"/>
    </row>
    <row r="12" spans="1:8" ht="12.75">
      <c r="A12" s="230"/>
      <c r="B12" s="80"/>
      <c r="C12" s="80"/>
      <c r="D12" s="212"/>
      <c r="E12" s="80"/>
      <c r="F12" s="80"/>
      <c r="G12" s="80"/>
      <c r="H12" s="80"/>
    </row>
    <row r="13" spans="1:8" ht="12.75">
      <c r="A13" s="80"/>
      <c r="B13" s="80"/>
      <c r="C13" s="80"/>
      <c r="D13" s="80"/>
      <c r="E13" s="80"/>
      <c r="F13" s="80"/>
      <c r="G13" s="80"/>
      <c r="H13" s="80"/>
    </row>
    <row r="14" spans="1:8" ht="16.5" thickBot="1">
      <c r="A14" s="218" t="s">
        <v>158</v>
      </c>
      <c r="B14" s="80"/>
      <c r="C14" s="80"/>
      <c r="D14" s="80"/>
      <c r="E14" s="80"/>
      <c r="F14" s="80"/>
      <c r="G14" s="80"/>
      <c r="H14" s="80"/>
    </row>
    <row r="15" spans="1:8" ht="12.75">
      <c r="A15" s="217"/>
      <c r="B15" s="201" t="s">
        <v>0</v>
      </c>
      <c r="C15" s="219" t="s">
        <v>92</v>
      </c>
      <c r="D15" s="212"/>
      <c r="E15" s="80"/>
      <c r="F15" s="80"/>
      <c r="G15" s="80"/>
      <c r="H15" s="80"/>
    </row>
    <row r="16" spans="1:8" ht="13.5" thickBot="1">
      <c r="A16" s="217"/>
      <c r="B16" s="203" t="s">
        <v>4</v>
      </c>
      <c r="C16" s="185" t="s">
        <v>12</v>
      </c>
      <c r="D16" s="80"/>
      <c r="E16" s="80"/>
      <c r="F16" s="80"/>
      <c r="G16" s="80"/>
      <c r="H16" s="80"/>
    </row>
    <row r="17" spans="1:8" ht="13.5" thickBot="1">
      <c r="A17" s="217"/>
      <c r="B17" s="246"/>
      <c r="C17" s="247"/>
      <c r="D17" s="80"/>
      <c r="E17" s="80"/>
      <c r="F17" s="80"/>
      <c r="G17" s="80"/>
      <c r="H17" s="80"/>
    </row>
    <row r="18" spans="1:8" ht="12.75">
      <c r="A18" s="204" t="s">
        <v>148</v>
      </c>
      <c r="B18" s="220">
        <v>7323</v>
      </c>
      <c r="C18" s="221">
        <v>10472</v>
      </c>
      <c r="D18" s="222" t="e">
        <f>+C18/#REF!</f>
        <v>#REF!</v>
      </c>
      <c r="E18" s="80"/>
      <c r="F18" s="80"/>
      <c r="G18" s="80"/>
      <c r="H18" s="80"/>
    </row>
    <row r="19" spans="1:8" ht="12.75">
      <c r="A19" s="196" t="s">
        <v>151</v>
      </c>
      <c r="B19" s="194">
        <v>1936</v>
      </c>
      <c r="C19" s="195">
        <v>2520</v>
      </c>
      <c r="D19" s="192" t="e">
        <f>+C19/#REF!</f>
        <v>#REF!</v>
      </c>
      <c r="E19" s="80"/>
      <c r="F19" s="80"/>
      <c r="G19" s="80"/>
      <c r="H19" s="80"/>
    </row>
    <row r="20" spans="1:8" ht="12.75">
      <c r="A20" s="196" t="s">
        <v>149</v>
      </c>
      <c r="B20" s="194">
        <v>155</v>
      </c>
      <c r="C20" s="195">
        <v>385</v>
      </c>
      <c r="D20" s="192" t="e">
        <f>+C20/#REF!</f>
        <v>#REF!</v>
      </c>
      <c r="E20" s="80"/>
      <c r="F20" s="80"/>
      <c r="G20" s="80"/>
      <c r="H20" s="80"/>
    </row>
    <row r="21" spans="1:8" ht="25.5">
      <c r="A21" s="196" t="s">
        <v>150</v>
      </c>
      <c r="B21" s="194">
        <v>0</v>
      </c>
      <c r="C21" s="195">
        <v>40</v>
      </c>
      <c r="D21" s="192" t="e">
        <f>+C21/#REF!</f>
        <v>#REF!</v>
      </c>
      <c r="E21" s="80"/>
      <c r="F21" s="80"/>
      <c r="G21" s="80"/>
      <c r="H21" s="80"/>
    </row>
    <row r="22" spans="1:8" ht="13.5" thickBot="1">
      <c r="A22" s="207" t="s">
        <v>152</v>
      </c>
      <c r="B22" s="223">
        <v>9414</v>
      </c>
      <c r="C22" s="224">
        <v>13417</v>
      </c>
      <c r="D22" s="225" t="e">
        <f>+C22/#REF!</f>
        <v>#REF!</v>
      </c>
      <c r="E22" s="80"/>
      <c r="F22" s="80"/>
      <c r="G22" s="80"/>
      <c r="H22" s="80"/>
    </row>
    <row r="23" spans="1:8" ht="12.75">
      <c r="A23" s="230"/>
      <c r="B23" s="237"/>
      <c r="C23" s="237"/>
      <c r="D23" s="80"/>
      <c r="E23" s="80"/>
      <c r="F23" s="80"/>
      <c r="G23" s="80"/>
      <c r="H23" s="80"/>
    </row>
    <row r="24" spans="1:8" ht="12.75">
      <c r="A24" s="230"/>
      <c r="B24" s="237"/>
      <c r="C24" s="237"/>
      <c r="D24" s="80"/>
      <c r="E24" s="80"/>
      <c r="F24" s="80"/>
      <c r="G24" s="80"/>
      <c r="H24" s="80"/>
    </row>
    <row r="25" spans="1:8" ht="12.75">
      <c r="A25" s="80"/>
      <c r="B25" s="80"/>
      <c r="C25" s="80"/>
      <c r="D25" s="80"/>
      <c r="E25" s="80"/>
      <c r="F25" s="80"/>
      <c r="G25" s="80"/>
      <c r="H25" s="80"/>
    </row>
    <row r="26" spans="1:8" ht="12.75">
      <c r="A26" s="80"/>
      <c r="B26" s="80"/>
      <c r="C26" s="80"/>
      <c r="D26" s="80"/>
      <c r="E26" s="80"/>
      <c r="F26" s="80"/>
      <c r="G26" s="80"/>
      <c r="H26" s="80"/>
    </row>
    <row r="27" spans="1:8" ht="12.75">
      <c r="A27" s="80"/>
      <c r="B27" s="80"/>
      <c r="C27" s="80"/>
      <c r="D27" s="80"/>
      <c r="E27" s="80"/>
      <c r="F27" s="80"/>
      <c r="G27" s="80"/>
      <c r="H27" s="80"/>
    </row>
    <row r="28" spans="1:8" ht="12.75">
      <c r="A28" s="80"/>
      <c r="B28" s="80"/>
      <c r="C28" s="80"/>
      <c r="D28" s="80"/>
      <c r="E28" s="80"/>
      <c r="F28" s="80"/>
      <c r="G28" s="80"/>
      <c r="H28" s="80"/>
    </row>
    <row r="29" spans="1:8" ht="12.75">
      <c r="A29" s="80"/>
      <c r="B29" s="80"/>
      <c r="C29" s="80"/>
      <c r="D29" s="80"/>
      <c r="E29" s="80"/>
      <c r="F29" s="80"/>
      <c r="G29" s="80"/>
      <c r="H29" s="80"/>
    </row>
    <row r="30" spans="1:8" ht="12.75">
      <c r="A30" s="80"/>
      <c r="B30" s="80"/>
      <c r="C30" s="80"/>
      <c r="D30" s="80"/>
      <c r="E30" s="80"/>
      <c r="F30" s="80"/>
      <c r="G30" s="80"/>
      <c r="H30" s="80"/>
    </row>
    <row r="31" spans="1:8" ht="12.75">
      <c r="A31" s="80"/>
      <c r="B31" s="80"/>
      <c r="C31" s="80"/>
      <c r="D31" s="80"/>
      <c r="E31" s="80"/>
      <c r="F31" s="80"/>
      <c r="G31" s="80"/>
      <c r="H31" s="80"/>
    </row>
    <row r="32" spans="1:8" ht="12.75">
      <c r="A32" s="80"/>
      <c r="B32" s="80"/>
      <c r="C32" s="80"/>
      <c r="D32" s="80"/>
      <c r="E32" s="80"/>
      <c r="F32" s="80"/>
      <c r="G32" s="80"/>
      <c r="H32" s="80"/>
    </row>
    <row r="33" spans="1:8" ht="12.75">
      <c r="A33" s="80"/>
      <c r="B33" s="80"/>
      <c r="C33" s="80"/>
      <c r="D33" s="80"/>
      <c r="E33" s="80"/>
      <c r="F33" s="80"/>
      <c r="G33" s="80"/>
      <c r="H33" s="80"/>
    </row>
    <row r="34" spans="1:8" ht="12.75">
      <c r="A34" s="80"/>
      <c r="B34" s="80"/>
      <c r="C34" s="80"/>
      <c r="D34" s="80"/>
      <c r="E34" s="80"/>
      <c r="F34" s="80"/>
      <c r="G34" s="80"/>
      <c r="H34" s="80"/>
    </row>
    <row r="35" spans="1:8" ht="12.75">
      <c r="A35" s="80"/>
      <c r="B35" s="80"/>
      <c r="C35" s="80"/>
      <c r="D35" s="80"/>
      <c r="E35" s="80"/>
      <c r="F35" s="80"/>
      <c r="G35" s="80"/>
      <c r="H35" s="80"/>
    </row>
    <row r="36" spans="1:8" ht="12.75">
      <c r="A36" s="80"/>
      <c r="B36" s="80"/>
      <c r="C36" s="80"/>
      <c r="D36" s="80"/>
      <c r="E36" s="80"/>
      <c r="F36" s="80"/>
      <c r="G36" s="80"/>
      <c r="H36" s="80"/>
    </row>
    <row r="37" spans="1:8" ht="12.75">
      <c r="A37" s="80"/>
      <c r="B37" s="80"/>
      <c r="C37" s="80"/>
      <c r="D37" s="80"/>
      <c r="E37" s="80"/>
      <c r="F37" s="80"/>
      <c r="G37" s="80"/>
      <c r="H37" s="80"/>
    </row>
    <row r="38" spans="1:8" ht="12.75">
      <c r="A38" s="80"/>
      <c r="B38" s="80"/>
      <c r="C38" s="80"/>
      <c r="D38" s="80"/>
      <c r="E38" s="80"/>
      <c r="F38" s="80"/>
      <c r="G38" s="80"/>
      <c r="H38" s="80"/>
    </row>
    <row r="39" spans="1:8" ht="12.75">
      <c r="A39" s="80"/>
      <c r="B39" s="80"/>
      <c r="C39" s="80"/>
      <c r="D39" s="80"/>
      <c r="E39" s="80"/>
      <c r="F39" s="80"/>
      <c r="G39" s="80"/>
      <c r="H39" s="80"/>
    </row>
    <row r="40" spans="1:8" ht="12.75">
      <c r="A40" s="80"/>
      <c r="B40" s="80"/>
      <c r="C40" s="80"/>
      <c r="D40" s="80"/>
      <c r="E40" s="80"/>
      <c r="F40" s="80"/>
      <c r="G40" s="80"/>
      <c r="H40" s="80"/>
    </row>
    <row r="41" spans="1:8" ht="12.75">
      <c r="A41" s="80"/>
      <c r="B41" s="80"/>
      <c r="C41" s="80"/>
      <c r="D41" s="80"/>
      <c r="E41" s="80"/>
      <c r="F41" s="80"/>
      <c r="G41" s="80"/>
      <c r="H41" s="80"/>
    </row>
    <row r="42" spans="1:8" ht="12.75">
      <c r="A42" s="80"/>
      <c r="B42" s="80"/>
      <c r="C42" s="80"/>
      <c r="D42" s="80"/>
      <c r="E42" s="80"/>
      <c r="F42" s="80"/>
      <c r="G42" s="80"/>
      <c r="H42" s="80"/>
    </row>
    <row r="43" spans="1:8" ht="12.75">
      <c r="A43" s="80"/>
      <c r="B43" s="80"/>
      <c r="C43" s="80"/>
      <c r="D43" s="80"/>
      <c r="E43" s="80"/>
      <c r="F43" s="80"/>
      <c r="G43" s="80"/>
      <c r="H43" s="80"/>
    </row>
    <row r="44" spans="1:8" ht="12.75">
      <c r="A44" s="80"/>
      <c r="B44" s="80"/>
      <c r="C44" s="80"/>
      <c r="D44" s="80"/>
      <c r="E44" s="80"/>
      <c r="F44" s="80"/>
      <c r="G44" s="80"/>
      <c r="H44" s="80"/>
    </row>
    <row r="45" spans="1:8" ht="12.75">
      <c r="A45" s="80"/>
      <c r="B45" s="80"/>
      <c r="C45" s="80"/>
      <c r="D45" s="80"/>
      <c r="E45" s="80"/>
      <c r="F45" s="80"/>
      <c r="G45" s="80"/>
      <c r="H45" s="80"/>
    </row>
    <row r="46" spans="1:8" ht="12.75">
      <c r="A46" s="80"/>
      <c r="B46" s="80"/>
      <c r="C46" s="80"/>
      <c r="D46" s="80"/>
      <c r="E46" s="80"/>
      <c r="F46" s="80"/>
      <c r="G46" s="80"/>
      <c r="H46" s="80"/>
    </row>
  </sheetData>
  <printOptions horizontalCentered="1"/>
  <pageMargins left="0.2" right="0.2" top="0.31" bottom="0.37" header="0.17" footer="0.2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Florida Dept. of Education</cp:lastModifiedBy>
  <cp:lastPrinted>2005-11-02T16:16:11Z</cp:lastPrinted>
  <dcterms:created xsi:type="dcterms:W3CDTF">2004-04-30T12:40:31Z</dcterms:created>
  <dcterms:modified xsi:type="dcterms:W3CDTF">2005-11-02T16:16:33Z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232912138</vt:i4>
  </property>
  <property fmtid="{D5CDD505-2E9C-101B-9397-08002B2CF9AE}" pid="3" name="_EmailSubject">
    <vt:lpwstr>Strategic Planning Committee</vt:lpwstr>
  </property>
  <property fmtid="{D5CDD505-2E9C-101B-9397-08002B2CF9AE}" pid="4" name="_AuthorEmail">
    <vt:lpwstr>Nancy.McKee@flbog.org</vt:lpwstr>
  </property>
  <property fmtid="{D5CDD505-2E9C-101B-9397-08002B2CF9AE}" pid="5" name="_AuthorEmailDisplayName">
    <vt:lpwstr>McKee, Nancy</vt:lpwstr>
  </property>
  <property fmtid="{D5CDD505-2E9C-101B-9397-08002B2CF9AE}" pid="6" name="_PreviousAdHocReviewCycleID">
    <vt:i4>389320891</vt:i4>
  </property>
  <property fmtid="{D5CDD505-2E9C-101B-9397-08002B2CF9AE}" pid="7" name="_ReviewingToolsShownOnce">
    <vt:lpwstr/>
  </property>
</Properties>
</file>