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9755" windowHeight="11505" activeTab="0"/>
  </bookViews>
  <sheets>
    <sheet name="5YR Combined Gross Pledge" sheetId="1" r:id="rId1"/>
  </sheets>
  <externalReferences>
    <externalReference r:id="rId4"/>
  </externalReferences>
  <definedNames>
    <definedName name="_1">#REF!</definedName>
    <definedName name="_1A">#REF!</definedName>
    <definedName name="_2">#REF!</definedName>
    <definedName name="_3">#REF!</definedName>
    <definedName name="_4">#REF!</definedName>
    <definedName name="ADD">#REF!</definedName>
    <definedName name="CONCOV">#REF!</definedName>
    <definedName name="COV">#REF!</definedName>
    <definedName name="COV2">#REF!</definedName>
    <definedName name="HIST">#REF!</definedName>
    <definedName name="PARITY">#REF!</definedName>
    <definedName name="Print_Area_MI">'[1]lott8038'!$M$1:$R$36</definedName>
    <definedName name="RATIOS">#REF!</definedName>
    <definedName name="SU">#REF!</definedName>
  </definedNames>
  <calcPr fullCalcOnLoad="1"/>
</workbook>
</file>

<file path=xl/sharedStrings.xml><?xml version="1.0" encoding="utf-8"?>
<sst xmlns="http://schemas.openxmlformats.org/spreadsheetml/2006/main" count="86" uniqueCount="84">
  <si>
    <t>STATE OF FLORIDA, BOARD OF GOVERNORS</t>
  </si>
  <si>
    <t>Attachment II</t>
  </si>
  <si>
    <t>University of South Florida</t>
  </si>
  <si>
    <t>USF ATHLETICS DISTRICT / SPORTS COMPLEX BANK TERM LOAN</t>
  </si>
  <si>
    <t xml:space="preserve">GROSS PLEDGE  BASIS  </t>
  </si>
  <si>
    <t>5-YEAR HISTORICAL AND PROJECTED DEBT SERVICE COVERAGE (1)</t>
  </si>
  <si>
    <t>USF Athletics District / Sport Complex (2)</t>
  </si>
  <si>
    <t>Historical</t>
  </si>
  <si>
    <t>Projected</t>
  </si>
  <si>
    <t>FY 2004-05</t>
  </si>
  <si>
    <t>FY 2005-06</t>
  </si>
  <si>
    <t>FY 2006-07</t>
  </si>
  <si>
    <t>FY 2007-08</t>
  </si>
  <si>
    <t>FY 2008-09</t>
  </si>
  <si>
    <t>FY 2009-10</t>
  </si>
  <si>
    <t>FY 2010-11</t>
  </si>
  <si>
    <t>FY 2011-12</t>
  </si>
  <si>
    <t>FY 2012-13</t>
  </si>
  <si>
    <t>FY 2013-14</t>
  </si>
  <si>
    <t>Annual Debt Service - Sports Complex:</t>
  </si>
  <si>
    <t>Proposed Debt - Foundation Loan (4)</t>
  </si>
  <si>
    <t>Proposed Debt - Bank Term Loan (25 Yr)  (5)</t>
  </si>
  <si>
    <t>Proposed Debt - Bank Term Loan (15 Yr)  (6)</t>
  </si>
  <si>
    <t xml:space="preserve">     Total Proposed Debt</t>
  </si>
  <si>
    <t xml:space="preserve"> Estimated Max Annual Debt Service (7)</t>
  </si>
  <si>
    <t>Available for Operations after Pledge</t>
  </si>
  <si>
    <t xml:space="preserve"> </t>
  </si>
  <si>
    <t>Coverage Ratios - Sports Complex:</t>
  </si>
  <si>
    <t>Annual Debt Service - Sports Complex</t>
  </si>
  <si>
    <t>Maximum Annual Debt Service - Sports Complex</t>
  </si>
  <si>
    <t>Student Athletics Fees (9)</t>
  </si>
  <si>
    <t>Ticket Sales (3)</t>
  </si>
  <si>
    <t>NCAA/Big East Distributions (3)</t>
  </si>
  <si>
    <t>Corporate Sponsorships (3)</t>
  </si>
  <si>
    <t>Development/Fundraising (3)</t>
  </si>
  <si>
    <t>Non-Event Revenue (3)</t>
  </si>
  <si>
    <t>Game Guarantees (3)</t>
  </si>
  <si>
    <t>Bowl Game Revenue (3)</t>
  </si>
  <si>
    <t>Event Revenue (3)</t>
  </si>
  <si>
    <t>Other (3)</t>
  </si>
  <si>
    <t>Coke - Pouring Rights (9)</t>
  </si>
  <si>
    <t>E&amp;G Appropriations (10)</t>
  </si>
  <si>
    <t>Athletics Department Expenses (8)</t>
  </si>
  <si>
    <t>Compensation &amp; Benefits</t>
  </si>
  <si>
    <t>Scholarships</t>
  </si>
  <si>
    <t>Team Travel &amp; Recruiting</t>
  </si>
  <si>
    <t>Event-Related</t>
  </si>
  <si>
    <t>Administrative</t>
  </si>
  <si>
    <t>Facilities - Operations, Maintenance &amp; Utilities</t>
  </si>
  <si>
    <t>Game Guarantees</t>
  </si>
  <si>
    <t>Team Equipment</t>
  </si>
  <si>
    <t>Bowl Game</t>
  </si>
  <si>
    <t>External Relations</t>
  </si>
  <si>
    <t>Big East Conference Dues</t>
  </si>
  <si>
    <t>Student-Athlete Medical Insurance/Costs</t>
  </si>
  <si>
    <t>Other Current Expenses</t>
  </si>
  <si>
    <t>Non-Operating Expenses</t>
  </si>
  <si>
    <t>Sports Complex Debt Service (4)(5)(6)</t>
  </si>
  <si>
    <t>2003A Annual Debt Service (Princ+Interest)  (9)</t>
  </si>
  <si>
    <t>Total Athletics Department Expenses</t>
  </si>
  <si>
    <t>Operating Income (Loss)</t>
  </si>
  <si>
    <t>Add: Interest Income</t>
  </si>
  <si>
    <t xml:space="preserve">Projected Net Income </t>
  </si>
  <si>
    <t>Implied Net Coverage Ratios - Total Athletics Department</t>
  </si>
  <si>
    <t>For Information Purposes Only</t>
  </si>
  <si>
    <t>Pledge is Gross</t>
  </si>
  <si>
    <t>Annual Debt Service - Total Athletics Department</t>
  </si>
  <si>
    <t>Max Annual Debt Service - Total Athletics Dept. (11)</t>
  </si>
  <si>
    <t>(1)   The financial information related to revenues and expenses was provided by the University and has not been audited.</t>
  </si>
  <si>
    <t>(2)   The USF Athletics District / Sports Complex is scheduled to be complete in FY 2010-2011.</t>
  </si>
  <si>
    <t>(3)   Sports Complex Pledged Revenues include revenues from Ticket Sales, NCAA/Big East Distributions, Corporate Sponsorships, Development/Fundraising, etc.</t>
  </si>
  <si>
    <t>(4)   Foundation Loan Interest: 7 Year Term @ 3.25%</t>
  </si>
  <si>
    <t>(5)   Bank Term Loan: 25 Year Term @ 5.25% (Basketball Facility)</t>
  </si>
  <si>
    <t>(6)   Bank Term Loan: 15 Year Term @ 5.00% (Other Facilities)</t>
  </si>
  <si>
    <t>(7)   Estimated Maximum Annual Debt Service based on total of above 3 proposed debt structures.</t>
  </si>
  <si>
    <t xml:space="preserve">(8)   Revenue and expense assumptions have been provided by the University. </t>
  </si>
  <si>
    <t>(9)   Student Athletics Fees and Coke Pouring Rights have been pledged to the Series 2003A COPs and cannot be pledged to the proposed debt.</t>
  </si>
  <si>
    <t>(10)   E&amp;G Appropriations cannot be pledged to the proposed debt pursuant to State Statutes.</t>
  </si>
  <si>
    <t>(11)   The Series 2003A COPs Maximum Annual Debt Service is $1,063,400.</t>
  </si>
  <si>
    <t>Athletics Department Operating Revenues Pledged Athletic District (8)</t>
  </si>
  <si>
    <t>Total Athletics Department Revenues Pledged Athletic District</t>
  </si>
  <si>
    <t>Other Athletics Department Operating Revenues (8)</t>
  </si>
  <si>
    <t xml:space="preserve">Total Other Athletics Department Revenues </t>
  </si>
  <si>
    <t>Total Athletics Department Revenues Pledged and Other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</si>
</sst>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0\x"/>
    <numFmt numFmtId="167" formatCode="_(* #,##0_);_(* \(#,##0\);_(* &quot;-&quot;??_);_(@_)"/>
    <numFmt numFmtId="168" formatCode="0.000"/>
    <numFmt numFmtId="169" formatCode="0.0000%"/>
    <numFmt numFmtId="170" formatCode="0_)"/>
    <numFmt numFmtId="171" formatCode="0.00_)"/>
    <numFmt numFmtId="172" formatCode="dd\-mmm\-yy_)"/>
    <numFmt numFmtId="173" formatCode="0.0000_)"/>
    <numFmt numFmtId="174" formatCode="[$$-C09]#,##0"/>
    <numFmt numFmtId="175" formatCode="&quot;$&quot;#,##0.00"/>
    <numFmt numFmtId="176" formatCode="#,##0.0"/>
    <numFmt numFmtId="177" formatCode="#,##0.000_);\(#,##0.000\)"/>
    <numFmt numFmtId="178" formatCode="#,##0.000"/>
    <numFmt numFmtId="179" formatCode="0.0000000%"/>
    <numFmt numFmtId="180" formatCode="#,##0.0000_);\(#,##0.0000\)"/>
    <numFmt numFmtId="181" formatCode="_(* #,##0.0_);_(* \(#,##0.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%"/>
    <numFmt numFmtId="189" formatCode="&quot;$&quot;#,##0.0"/>
    <numFmt numFmtId="190" formatCode="#,##0.000_);[Red]\(#,##0.000\)"/>
    <numFmt numFmtId="191" formatCode="&quot;$&quot;#,##0.000"/>
    <numFmt numFmtId="192" formatCode="#,##0.0000_);[Red]\(#,##0.0000\)"/>
    <numFmt numFmtId="193" formatCode="#,##0.00000_);[Red]\(#,##0.00000\)"/>
    <numFmt numFmtId="194" formatCode="0.00000%"/>
    <numFmt numFmtId="195" formatCode="[$-409]dddd\,\ mmmm\ dd\,\ yyyy"/>
    <numFmt numFmtId="196" formatCode="mm/dd/yy;@"/>
    <numFmt numFmtId="197" formatCode="0.000000%"/>
    <numFmt numFmtId="198" formatCode="[$-409]mmm\-yy;@"/>
    <numFmt numFmtId="199" formatCode="m/d/yy;@"/>
    <numFmt numFmtId="200" formatCode="0.00_);\(0.00\)"/>
    <numFmt numFmtId="201" formatCode="mmm\-yyyy"/>
    <numFmt numFmtId="202" formatCode="_(&quot;$&quot;* #,##0.0_);_(&quot;$&quot;* \(#,##0.0\);_(&quot;$&quot;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#,##0.0_);[Red]\(#,##0.0\)"/>
    <numFmt numFmtId="208" formatCode="#,##0.0_);\(#,##0.0\)"/>
    <numFmt numFmtId="209" formatCode="_(&quot;$&quot;* #,##0.0000_);_(&quot;$&quot;* \(#,##0.0000\);_(&quot;$&quot;* &quot;-&quot;????_);_(@_)"/>
    <numFmt numFmtId="210" formatCode="0.000000"/>
    <numFmt numFmtId="211" formatCode="0.00000"/>
    <numFmt numFmtId="212" formatCode="0.0000"/>
    <numFmt numFmtId="213" formatCode="0_);\(0\)"/>
    <numFmt numFmtId="214" formatCode="0.00000000"/>
    <numFmt numFmtId="215" formatCode="0.0000000"/>
    <numFmt numFmtId="216" formatCode="0.0\x"/>
    <numFmt numFmtId="217" formatCode="General_)"/>
    <numFmt numFmtId="218" formatCode="mmmm\ d\,\ yyyy"/>
  </numFmts>
  <fonts count="3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u val="single"/>
      <sz val="12"/>
      <name val="Book Antiqua"/>
      <family val="1"/>
    </font>
    <font>
      <b/>
      <u val="single"/>
      <sz val="12"/>
      <color indexed="10"/>
      <name val="Book Antiqua"/>
      <family val="1"/>
    </font>
    <font>
      <b/>
      <i/>
      <sz val="12"/>
      <name val="Book Antiqua"/>
      <family val="1"/>
    </font>
    <font>
      <i/>
      <sz val="12"/>
      <name val="Book Antiqua"/>
      <family val="1"/>
    </font>
    <font>
      <i/>
      <sz val="12"/>
      <color indexed="12"/>
      <name val="Book Antiqua"/>
      <family val="1"/>
    </font>
    <font>
      <b/>
      <i/>
      <sz val="12"/>
      <color indexed="12"/>
      <name val="Book Antiqua"/>
      <family val="1"/>
    </font>
    <font>
      <sz val="10.5"/>
      <name val="Book Antiqua"/>
      <family val="1"/>
    </font>
    <font>
      <sz val="10.5"/>
      <color indexed="12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14" fontId="21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6" fillId="0" borderId="0" xfId="42" applyNumberFormat="1" applyFont="1" applyFill="1" applyAlignment="1">
      <alignment horizontal="center"/>
    </xf>
    <xf numFmtId="0" fontId="24" fillId="0" borderId="0" xfId="42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Alignment="1">
      <alignment horizontal="left" indent="2"/>
    </xf>
    <xf numFmtId="9" fontId="24" fillId="0" borderId="0" xfId="59" applyFont="1" applyFill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 horizontal="left" indent="2"/>
    </xf>
    <xf numFmtId="3" fontId="22" fillId="0" borderId="0" xfId="0" applyNumberFormat="1" applyFont="1" applyFill="1" applyAlignment="1">
      <alignment/>
    </xf>
    <xf numFmtId="9" fontId="25" fillId="0" borderId="0" xfId="59" applyFont="1" applyFill="1" applyAlignment="1">
      <alignment/>
    </xf>
    <xf numFmtId="0" fontId="22" fillId="0" borderId="0" xfId="0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0" fontId="23" fillId="20" borderId="0" xfId="0" applyFont="1" applyFill="1" applyAlignment="1">
      <alignment horizontal="center"/>
    </xf>
    <xf numFmtId="0" fontId="27" fillId="20" borderId="0" xfId="42" applyNumberFormat="1" applyFont="1" applyFill="1" applyAlignment="1">
      <alignment horizontal="center"/>
    </xf>
    <xf numFmtId="0" fontId="23" fillId="20" borderId="0" xfId="42" applyNumberFormat="1" applyFont="1" applyFill="1" applyAlignment="1">
      <alignment horizontal="center"/>
    </xf>
    <xf numFmtId="0" fontId="27" fillId="20" borderId="0" xfId="0" applyFont="1" applyFill="1" applyAlignment="1">
      <alignment horizontal="center"/>
    </xf>
    <xf numFmtId="165" fontId="21" fillId="0" borderId="0" xfId="44" applyNumberFormat="1" applyFont="1" applyFill="1" applyAlignment="1">
      <alignment/>
    </xf>
    <xf numFmtId="9" fontId="21" fillId="0" borderId="0" xfId="59" applyFont="1" applyFill="1" applyAlignment="1">
      <alignment/>
    </xf>
    <xf numFmtId="43" fontId="23" fillId="0" borderId="0" xfId="42" applyFont="1" applyFill="1" applyBorder="1" applyAlignment="1">
      <alignment/>
    </xf>
    <xf numFmtId="43" fontId="24" fillId="0" borderId="0" xfId="42" applyFont="1" applyFill="1" applyBorder="1" applyAlignment="1">
      <alignment/>
    </xf>
    <xf numFmtId="9" fontId="24" fillId="0" borderId="0" xfId="59" applyFont="1" applyFill="1" applyBorder="1" applyAlignment="1">
      <alignment/>
    </xf>
    <xf numFmtId="3" fontId="24" fillId="0" borderId="0" xfId="59" applyNumberFormat="1" applyFont="1" applyFill="1" applyAlignment="1">
      <alignment/>
    </xf>
    <xf numFmtId="38" fontId="24" fillId="0" borderId="0" xfId="59" applyNumberFormat="1" applyFont="1" applyFill="1" applyAlignment="1">
      <alignment/>
    </xf>
    <xf numFmtId="9" fontId="21" fillId="0" borderId="0" xfId="59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  <xf numFmtId="6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6" fontId="21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0" xfId="0" applyFont="1" applyFill="1" applyAlignment="1">
      <alignment horizontal="left" indent="2"/>
    </xf>
    <xf numFmtId="0" fontId="28" fillId="0" borderId="0" xfId="0" applyFont="1" applyFill="1" applyBorder="1" applyAlignment="1">
      <alignment/>
    </xf>
    <xf numFmtId="166" fontId="28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 quotePrefix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165" fontId="22" fillId="0" borderId="0" xfId="44" applyNumberFormat="1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%20SRL%2080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t8038"/>
      <sheetName val="Sheet1"/>
      <sheetName val="Sheet2"/>
      <sheetName val="Sheet3"/>
    </sheetNames>
    <sheetDataSet>
      <sheetData sheetId="0">
        <row r="1">
          <cell r="M1" t="str">
            <v>State of Florida</v>
          </cell>
        </row>
        <row r="2">
          <cell r="M2" t="str">
            <v>Department of Education</v>
          </cell>
        </row>
        <row r="3">
          <cell r="M3" t="str">
            <v>Lottery Revenue Bonds, Series 2001B</v>
          </cell>
        </row>
        <row r="8">
          <cell r="M8" t="str">
            <v>Net Interest Cost Calculation</v>
          </cell>
        </row>
        <row r="9">
          <cell r="M9" t="str">
            <v>Form 8038-G</v>
          </cell>
        </row>
        <row r="13">
          <cell r="M13" t="str">
            <v>Total Interest</v>
          </cell>
          <cell r="Q13">
            <v>127683068.75</v>
          </cell>
        </row>
        <row r="15">
          <cell r="M15" t="str">
            <v>Net Original Issue Discount/(Premium)</v>
          </cell>
          <cell r="Q15">
            <v>-6234274.85</v>
          </cell>
        </row>
        <row r="20">
          <cell r="M20" t="str">
            <v>Insurance Premium</v>
          </cell>
          <cell r="Q20">
            <v>606442</v>
          </cell>
        </row>
        <row r="22">
          <cell r="M22" t="str">
            <v>Surety Bond Premium</v>
          </cell>
        </row>
        <row r="24">
          <cell r="M24" t="str">
            <v>Less Accrued Interest</v>
          </cell>
          <cell r="Q24">
            <v>-1121923.13</v>
          </cell>
        </row>
        <row r="25">
          <cell r="Q25">
            <v>120933312.77000001</v>
          </cell>
        </row>
        <row r="29">
          <cell r="M29" t="str">
            <v>Issue Price</v>
          </cell>
          <cell r="Q29">
            <v>27350513.450000003</v>
          </cell>
        </row>
        <row r="31">
          <cell r="M31" t="str">
            <v>Weighted Average</v>
          </cell>
          <cell r="Q31">
            <v>8.500062007027065</v>
          </cell>
        </row>
        <row r="32">
          <cell r="Q32" t="str">
            <v> </v>
          </cell>
        </row>
        <row r="33">
          <cell r="Q33">
            <v>232481060.24902776</v>
          </cell>
        </row>
        <row r="36">
          <cell r="M36" t="str">
            <v>Net Interest Cost</v>
          </cell>
          <cell r="Q36">
            <v>52.01856557280809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46.00390625" style="1" customWidth="1"/>
    <col min="2" max="2" width="31.7109375" style="1" customWidth="1"/>
    <col min="3" max="3" width="15.00390625" style="1" customWidth="1"/>
    <col min="4" max="4" width="4.28125" style="1" customWidth="1"/>
    <col min="5" max="5" width="15.00390625" style="1" customWidth="1"/>
    <col min="6" max="6" width="4.28125" style="1" customWidth="1"/>
    <col min="7" max="7" width="15.00390625" style="1" customWidth="1"/>
    <col min="8" max="8" width="4.28125" style="1" customWidth="1"/>
    <col min="9" max="9" width="15.00390625" style="1" customWidth="1"/>
    <col min="10" max="10" width="4.28125" style="1" customWidth="1"/>
    <col min="11" max="11" width="15.00390625" style="1" customWidth="1"/>
    <col min="12" max="12" width="4.28125" style="1" customWidth="1"/>
    <col min="13" max="13" width="15.00390625" style="1" customWidth="1"/>
    <col min="14" max="14" width="4.28125" style="1" customWidth="1"/>
    <col min="15" max="15" width="15.00390625" style="1" customWidth="1"/>
    <col min="16" max="16" width="4.28125" style="1" customWidth="1"/>
    <col min="17" max="17" width="15.00390625" style="1" customWidth="1"/>
    <col min="18" max="18" width="4.28125" style="1" customWidth="1"/>
    <col min="19" max="19" width="15.00390625" style="1" customWidth="1"/>
    <col min="20" max="20" width="4.28125" style="1" customWidth="1"/>
    <col min="21" max="21" width="16.8515625" style="1" customWidth="1"/>
    <col min="22" max="16384" width="9.140625" style="1" customWidth="1"/>
  </cols>
  <sheetData>
    <row r="1" spans="2:21" ht="16.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3" t="s">
        <v>1</v>
      </c>
    </row>
    <row r="2" spans="2:21" ht="16.5">
      <c r="B2" s="60" t="s">
        <v>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5"/>
    </row>
    <row r="3" spans="2:20" ht="16.5">
      <c r="B3" s="60" t="s">
        <v>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61"/>
    </row>
    <row r="4" spans="2:20" ht="16.5">
      <c r="B4" s="60" t="s">
        <v>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2:20" ht="16.5">
      <c r="B5" s="60" t="s">
        <v>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3:20" ht="12.75" customHeight="1">
      <c r="C6" s="6"/>
      <c r="D6" s="6"/>
      <c r="G6" s="7"/>
      <c r="H6" s="7"/>
      <c r="I6" s="7"/>
      <c r="K6" s="8"/>
      <c r="L6" s="9"/>
      <c r="M6" s="6"/>
      <c r="N6" s="6"/>
      <c r="O6" s="10"/>
      <c r="P6" s="10"/>
      <c r="Q6" s="8"/>
      <c r="R6" s="8"/>
      <c r="S6" s="8"/>
      <c r="T6" s="10"/>
    </row>
    <row r="7" spans="1:2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1"/>
      <c r="M7" s="2"/>
      <c r="N7" s="2"/>
      <c r="O7" s="2"/>
      <c r="P7" s="2"/>
      <c r="Q7" s="2"/>
      <c r="R7" s="2"/>
      <c r="S7" s="2"/>
      <c r="T7" s="2"/>
    </row>
    <row r="8" spans="1:21" ht="16.5">
      <c r="A8" s="12" t="s">
        <v>6</v>
      </c>
      <c r="B8" s="2"/>
      <c r="C8" s="59" t="s">
        <v>7</v>
      </c>
      <c r="D8" s="59"/>
      <c r="E8" s="59"/>
      <c r="F8" s="59"/>
      <c r="G8" s="59"/>
      <c r="H8" s="59"/>
      <c r="I8" s="59"/>
      <c r="J8" s="59"/>
      <c r="K8" s="59"/>
      <c r="L8" s="13"/>
      <c r="M8" s="59" t="s">
        <v>8</v>
      </c>
      <c r="N8" s="59"/>
      <c r="O8" s="59"/>
      <c r="P8" s="59"/>
      <c r="Q8" s="59"/>
      <c r="R8" s="59"/>
      <c r="S8" s="59"/>
      <c r="T8" s="59"/>
      <c r="U8" s="59"/>
    </row>
    <row r="9" spans="1:21" ht="16.5">
      <c r="A9" s="4"/>
      <c r="B9" s="14"/>
      <c r="C9" s="14" t="s">
        <v>9</v>
      </c>
      <c r="D9" s="15"/>
      <c r="E9" s="14" t="s">
        <v>10</v>
      </c>
      <c r="F9" s="15"/>
      <c r="G9" s="14" t="s">
        <v>11</v>
      </c>
      <c r="H9" s="15"/>
      <c r="I9" s="14" t="s">
        <v>12</v>
      </c>
      <c r="J9" s="15"/>
      <c r="K9" s="14" t="s">
        <v>13</v>
      </c>
      <c r="L9" s="15"/>
      <c r="M9" s="14" t="s">
        <v>14</v>
      </c>
      <c r="N9" s="15"/>
      <c r="O9" s="14" t="s">
        <v>15</v>
      </c>
      <c r="P9" s="15"/>
      <c r="Q9" s="16" t="s">
        <v>16</v>
      </c>
      <c r="R9" s="15"/>
      <c r="S9" s="14" t="s">
        <v>17</v>
      </c>
      <c r="T9" s="15"/>
      <c r="U9" s="16" t="s">
        <v>18</v>
      </c>
    </row>
    <row r="10" spans="1:21" ht="16.5">
      <c r="A10" s="17" t="s">
        <v>79</v>
      </c>
      <c r="C10" s="7"/>
      <c r="D10" s="21"/>
      <c r="E10" s="7"/>
      <c r="F10" s="21"/>
      <c r="G10" s="7"/>
      <c r="H10" s="21"/>
      <c r="I10" s="7"/>
      <c r="J10" s="21"/>
      <c r="K10" s="7"/>
      <c r="L10" s="21"/>
      <c r="M10" s="7"/>
      <c r="N10" s="21"/>
      <c r="O10" s="7"/>
      <c r="P10" s="21"/>
      <c r="Q10" s="7"/>
      <c r="R10" s="21"/>
      <c r="S10" s="7"/>
      <c r="T10" s="21"/>
      <c r="U10" s="7"/>
    </row>
    <row r="11" spans="1:21" ht="15.75">
      <c r="A11" s="20" t="s">
        <v>31</v>
      </c>
      <c r="C11" s="7">
        <v>3029184</v>
      </c>
      <c r="D11" s="21"/>
      <c r="E11" s="7">
        <v>4205226</v>
      </c>
      <c r="F11" s="21"/>
      <c r="G11" s="7">
        <v>4014353</v>
      </c>
      <c r="H11" s="21"/>
      <c r="I11" s="7">
        <v>6717314</v>
      </c>
      <c r="J11" s="21"/>
      <c r="K11" s="7">
        <v>6420512</v>
      </c>
      <c r="L11" s="21"/>
      <c r="M11" s="7">
        <v>5553000</v>
      </c>
      <c r="N11" s="21"/>
      <c r="O11" s="7">
        <v>6800100</v>
      </c>
      <c r="P11" s="21"/>
      <c r="Q11" s="7">
        <v>7605213</v>
      </c>
      <c r="R11" s="21"/>
      <c r="S11" s="7">
        <v>8508338</v>
      </c>
      <c r="T11" s="21"/>
      <c r="U11" s="7">
        <v>9216476</v>
      </c>
    </row>
    <row r="12" spans="1:21" ht="15.75">
      <c r="A12" s="20" t="s">
        <v>32</v>
      </c>
      <c r="C12" s="7">
        <f>1426973+0</f>
        <v>1426973</v>
      </c>
      <c r="D12" s="21"/>
      <c r="E12" s="7">
        <f>3570597</f>
        <v>3570597</v>
      </c>
      <c r="F12" s="21"/>
      <c r="G12" s="7">
        <f>4260052</f>
        <v>4260052</v>
      </c>
      <c r="H12" s="21"/>
      <c r="I12" s="7">
        <f>5057294+139687</f>
        <v>5196981</v>
      </c>
      <c r="J12" s="21"/>
      <c r="K12" s="7">
        <f>5859483+161136</f>
        <v>6020619</v>
      </c>
      <c r="L12" s="21"/>
      <c r="M12" s="7">
        <f>5725618+162000</f>
        <v>5887618</v>
      </c>
      <c r="N12" s="21"/>
      <c r="O12" s="7">
        <f>6237168+162000</f>
        <v>6399168</v>
      </c>
      <c r="P12" s="21"/>
      <c r="Q12" s="7">
        <f>6293429+162000</f>
        <v>6455429</v>
      </c>
      <c r="R12" s="21"/>
      <c r="S12" s="7">
        <f>6347539+162000</f>
        <v>6509539</v>
      </c>
      <c r="T12" s="21"/>
      <c r="U12" s="7">
        <f>6453039+162000</f>
        <v>6615039</v>
      </c>
    </row>
    <row r="13" spans="1:21" ht="15.75">
      <c r="A13" s="20" t="s">
        <v>33</v>
      </c>
      <c r="C13" s="7">
        <f>550200</f>
        <v>550200</v>
      </c>
      <c r="D13" s="21"/>
      <c r="E13" s="7">
        <v>458444</v>
      </c>
      <c r="F13" s="21"/>
      <c r="G13" s="7">
        <v>1425225</v>
      </c>
      <c r="H13" s="21"/>
      <c r="I13" s="7">
        <v>1228728</v>
      </c>
      <c r="J13" s="21"/>
      <c r="K13" s="7">
        <v>1751039</v>
      </c>
      <c r="L13" s="21"/>
      <c r="M13" s="7">
        <v>1931000</v>
      </c>
      <c r="N13" s="21"/>
      <c r="O13" s="7">
        <v>2031000</v>
      </c>
      <c r="P13" s="21"/>
      <c r="Q13" s="7">
        <v>2131000</v>
      </c>
      <c r="R13" s="21"/>
      <c r="S13" s="7">
        <v>2331000</v>
      </c>
      <c r="T13" s="21"/>
      <c r="U13" s="7">
        <v>2406000</v>
      </c>
    </row>
    <row r="14" spans="1:21" ht="15.75">
      <c r="A14" s="20" t="s">
        <v>34</v>
      </c>
      <c r="C14" s="7">
        <f>2638915-100000</f>
        <v>2538915</v>
      </c>
      <c r="D14" s="21"/>
      <c r="E14" s="7">
        <f>2178904-150000</f>
        <v>2028904</v>
      </c>
      <c r="F14" s="21"/>
      <c r="G14" s="7">
        <f>2566533-200000</f>
        <v>2366533</v>
      </c>
      <c r="H14" s="21"/>
      <c r="I14" s="7">
        <f>3262259-351423</f>
        <v>2910836</v>
      </c>
      <c r="J14" s="21"/>
      <c r="K14" s="7">
        <f>3485123-360453</f>
        <v>3124670</v>
      </c>
      <c r="L14" s="21"/>
      <c r="M14" s="7">
        <f>3212435-350000</f>
        <v>2862435</v>
      </c>
      <c r="N14" s="21"/>
      <c r="O14" s="7">
        <f>3422126-367500</f>
        <v>3054626</v>
      </c>
      <c r="P14" s="21"/>
      <c r="Q14" s="7">
        <f>3629493-385875</f>
        <v>3243618</v>
      </c>
      <c r="R14" s="21"/>
      <c r="S14" s="7">
        <f>3837778-405169</f>
        <v>3432609</v>
      </c>
      <c r="T14" s="21"/>
      <c r="U14" s="7">
        <f>4047028-425427</f>
        <v>3621601</v>
      </c>
    </row>
    <row r="15" spans="1:21" ht="15.75">
      <c r="A15" s="20" t="s">
        <v>35</v>
      </c>
      <c r="C15" s="7">
        <f>100000</f>
        <v>100000</v>
      </c>
      <c r="D15" s="21"/>
      <c r="E15" s="7">
        <f>150000</f>
        <v>150000</v>
      </c>
      <c r="F15" s="21"/>
      <c r="G15" s="7">
        <f>200000</f>
        <v>200000</v>
      </c>
      <c r="H15" s="21"/>
      <c r="I15" s="7">
        <f>351423</f>
        <v>351423</v>
      </c>
      <c r="J15" s="21"/>
      <c r="K15" s="7">
        <f>360453</f>
        <v>360453</v>
      </c>
      <c r="L15" s="21"/>
      <c r="M15" s="7">
        <f>350000</f>
        <v>350000</v>
      </c>
      <c r="N15" s="21"/>
      <c r="O15" s="7">
        <f>367500</f>
        <v>367500</v>
      </c>
      <c r="P15" s="21"/>
      <c r="Q15" s="7">
        <f>385875</f>
        <v>385875</v>
      </c>
      <c r="R15" s="21"/>
      <c r="S15" s="7">
        <f>405169</f>
        <v>405169</v>
      </c>
      <c r="T15" s="21"/>
      <c r="U15" s="7">
        <f>425427</f>
        <v>425427</v>
      </c>
    </row>
    <row r="16" spans="1:21" ht="15.75">
      <c r="A16" s="20" t="s">
        <v>36</v>
      </c>
      <c r="C16" s="7">
        <v>1058491</v>
      </c>
      <c r="D16" s="21"/>
      <c r="E16" s="7">
        <v>1479650</v>
      </c>
      <c r="F16" s="21"/>
      <c r="G16" s="7">
        <v>1108805</v>
      </c>
      <c r="H16" s="21"/>
      <c r="I16" s="7">
        <v>1413000</v>
      </c>
      <c r="J16" s="21"/>
      <c r="K16" s="7">
        <v>1258500</v>
      </c>
      <c r="L16" s="21"/>
      <c r="M16" s="7">
        <v>1050000</v>
      </c>
      <c r="N16" s="21"/>
      <c r="O16" s="7">
        <v>1475000</v>
      </c>
      <c r="P16" s="21"/>
      <c r="Q16" s="7">
        <v>1450000</v>
      </c>
      <c r="R16" s="21"/>
      <c r="S16" s="7">
        <v>950000</v>
      </c>
      <c r="T16" s="21"/>
      <c r="U16" s="7">
        <v>850000</v>
      </c>
    </row>
    <row r="17" spans="1:21" ht="15.75">
      <c r="A17" s="20" t="s">
        <v>37</v>
      </c>
      <c r="C17" s="7">
        <v>0</v>
      </c>
      <c r="D17" s="21"/>
      <c r="E17" s="7">
        <v>835442</v>
      </c>
      <c r="F17" s="21"/>
      <c r="G17" s="7">
        <v>1116382</v>
      </c>
      <c r="H17" s="21"/>
      <c r="I17" s="7">
        <v>1613089</v>
      </c>
      <c r="J17" s="21"/>
      <c r="K17" s="7">
        <v>1221587</v>
      </c>
      <c r="L17" s="21"/>
      <c r="M17" s="7">
        <v>1100000</v>
      </c>
      <c r="N17" s="21"/>
      <c r="O17" s="7">
        <v>1100000</v>
      </c>
      <c r="P17" s="21"/>
      <c r="Q17" s="7">
        <v>1100000</v>
      </c>
      <c r="R17" s="21"/>
      <c r="S17" s="7">
        <v>1100000</v>
      </c>
      <c r="T17" s="21"/>
      <c r="U17" s="7">
        <v>1100000</v>
      </c>
    </row>
    <row r="18" spans="1:21" ht="15.75">
      <c r="A18" s="20" t="s">
        <v>38</v>
      </c>
      <c r="C18" s="41">
        <f>140531+104801+96193+112511</f>
        <v>454036</v>
      </c>
      <c r="D18" s="37"/>
      <c r="E18" s="41">
        <f>2251863-1479650</f>
        <v>772213</v>
      </c>
      <c r="F18" s="37"/>
      <c r="G18" s="41">
        <f>1555869-1108805</f>
        <v>447064</v>
      </c>
      <c r="H18" s="37"/>
      <c r="I18" s="41">
        <f>2110613-1413000+739</f>
        <v>698352</v>
      </c>
      <c r="J18" s="37"/>
      <c r="K18" s="41">
        <f>2190265-1258500-116119</f>
        <v>815646</v>
      </c>
      <c r="L18" s="37"/>
      <c r="M18" s="41">
        <f>1819000-1050000</f>
        <v>769000</v>
      </c>
      <c r="N18" s="37"/>
      <c r="O18" s="41">
        <f>2299000-1475000</f>
        <v>824000</v>
      </c>
      <c r="P18" s="37"/>
      <c r="Q18" s="41">
        <f>2274000-1450000</f>
        <v>824000</v>
      </c>
      <c r="R18" s="37"/>
      <c r="S18" s="41">
        <f>1774000-950000</f>
        <v>824000</v>
      </c>
      <c r="T18" s="37"/>
      <c r="U18" s="41">
        <f>1674000-850000</f>
        <v>824000</v>
      </c>
    </row>
    <row r="19" spans="1:21" ht="15.75">
      <c r="A19" s="20" t="s">
        <v>39</v>
      </c>
      <c r="C19" s="22">
        <v>0</v>
      </c>
      <c r="D19" s="21"/>
      <c r="E19" s="22">
        <v>0</v>
      </c>
      <c r="F19" s="21"/>
      <c r="G19" s="22">
        <v>0</v>
      </c>
      <c r="H19" s="21"/>
      <c r="I19" s="22">
        <v>507630</v>
      </c>
      <c r="J19" s="21"/>
      <c r="K19" s="22">
        <v>595735</v>
      </c>
      <c r="L19" s="21"/>
      <c r="M19" s="22">
        <v>194984</v>
      </c>
      <c r="N19" s="21"/>
      <c r="O19" s="22">
        <v>181015</v>
      </c>
      <c r="P19" s="21"/>
      <c r="Q19" s="22">
        <v>187265</v>
      </c>
      <c r="R19" s="21"/>
      <c r="S19" s="22">
        <v>193744</v>
      </c>
      <c r="T19" s="21"/>
      <c r="U19" s="22">
        <v>200461</v>
      </c>
    </row>
    <row r="20" spans="1:21" ht="16.5">
      <c r="A20" s="17" t="s">
        <v>80</v>
      </c>
      <c r="C20" s="33">
        <f>SUM(C11:C19)</f>
        <v>9157799</v>
      </c>
      <c r="D20" s="21"/>
      <c r="E20" s="33">
        <f>SUM(E11:E19)</f>
        <v>13500476</v>
      </c>
      <c r="F20" s="21"/>
      <c r="G20" s="33">
        <f>SUM(G11:G19)</f>
        <v>14938414</v>
      </c>
      <c r="H20" s="21"/>
      <c r="I20" s="33">
        <f>SUM(I11:I19)</f>
        <v>20637353</v>
      </c>
      <c r="J20" s="33"/>
      <c r="K20" s="33">
        <f>SUM(K11:K19)</f>
        <v>21568761</v>
      </c>
      <c r="L20" s="33"/>
      <c r="M20" s="33">
        <f>SUM(M11:M19)</f>
        <v>19698037</v>
      </c>
      <c r="N20" s="33"/>
      <c r="O20" s="33">
        <f>SUM(O11:O19)</f>
        <v>22232409</v>
      </c>
      <c r="P20" s="33"/>
      <c r="Q20" s="33">
        <f>SUM(Q11:Q19)</f>
        <v>23382400</v>
      </c>
      <c r="R20" s="33"/>
      <c r="S20" s="33">
        <f>SUM(S11:S19)</f>
        <v>24254399</v>
      </c>
      <c r="T20" s="21"/>
      <c r="U20" s="33">
        <f>SUM(U11:U19)</f>
        <v>25259004</v>
      </c>
    </row>
    <row r="21" spans="1:21" ht="16.5">
      <c r="A21" s="4"/>
      <c r="B21" s="14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6"/>
      <c r="R21" s="15"/>
      <c r="S21" s="14"/>
      <c r="T21" s="15"/>
      <c r="U21" s="16"/>
    </row>
    <row r="22" spans="1:21" ht="16.5">
      <c r="A22" s="17" t="s">
        <v>19</v>
      </c>
      <c r="C22" s="18"/>
      <c r="D22" s="18"/>
      <c r="E22" s="18"/>
      <c r="F22" s="18"/>
      <c r="G22" s="18"/>
      <c r="H22" s="18"/>
      <c r="I22" s="18"/>
      <c r="K22" s="18"/>
      <c r="L22" s="19"/>
      <c r="M22" s="18"/>
      <c r="N22" s="18"/>
      <c r="O22" s="18"/>
      <c r="P22" s="18"/>
      <c r="Q22" s="18"/>
      <c r="R22" s="18"/>
      <c r="S22" s="18"/>
      <c r="U22" s="7"/>
    </row>
    <row r="23" spans="1:21" ht="15.75">
      <c r="A23" s="20" t="s">
        <v>20</v>
      </c>
      <c r="B23" s="7"/>
      <c r="C23" s="7"/>
      <c r="D23" s="7"/>
      <c r="E23" s="7"/>
      <c r="F23" s="7"/>
      <c r="G23" s="7"/>
      <c r="H23" s="7"/>
      <c r="I23" s="7"/>
      <c r="K23" s="7"/>
      <c r="L23" s="21"/>
      <c r="M23" s="7">
        <v>71709</v>
      </c>
      <c r="N23" s="21"/>
      <c r="O23" s="7">
        <v>139483</v>
      </c>
      <c r="P23" s="21"/>
      <c r="Q23" s="7">
        <v>122473</v>
      </c>
      <c r="R23" s="21"/>
      <c r="S23" s="7">
        <v>96322</v>
      </c>
      <c r="T23" s="21"/>
      <c r="U23" s="7">
        <v>70293</v>
      </c>
    </row>
    <row r="24" spans="1:21" ht="15.75">
      <c r="A24" s="20" t="s">
        <v>21</v>
      </c>
      <c r="B24" s="7"/>
      <c r="C24" s="7"/>
      <c r="D24" s="7"/>
      <c r="E24" s="7"/>
      <c r="F24" s="7"/>
      <c r="G24" s="7"/>
      <c r="H24" s="7"/>
      <c r="I24" s="7"/>
      <c r="K24" s="7"/>
      <c r="L24" s="21"/>
      <c r="M24" s="7">
        <v>0</v>
      </c>
      <c r="N24" s="21"/>
      <c r="O24" s="7">
        <v>627386</v>
      </c>
      <c r="P24" s="21"/>
      <c r="Q24" s="7">
        <v>792809</v>
      </c>
      <c r="R24" s="21"/>
      <c r="S24" s="7">
        <v>792419</v>
      </c>
      <c r="T24" s="21"/>
      <c r="U24" s="7">
        <v>792009</v>
      </c>
    </row>
    <row r="25" spans="1:21" ht="15.75">
      <c r="A25" s="20" t="s">
        <v>22</v>
      </c>
      <c r="B25" s="7"/>
      <c r="C25" s="22"/>
      <c r="D25" s="7"/>
      <c r="E25" s="22"/>
      <c r="F25" s="7"/>
      <c r="G25" s="22"/>
      <c r="H25" s="7"/>
      <c r="I25" s="22"/>
      <c r="K25" s="22"/>
      <c r="L25" s="21"/>
      <c r="M25" s="22">
        <v>30862</v>
      </c>
      <c r="N25" s="21"/>
      <c r="O25" s="22">
        <v>1355205</v>
      </c>
      <c r="P25" s="21"/>
      <c r="Q25" s="22">
        <v>1412407</v>
      </c>
      <c r="R25" s="21"/>
      <c r="S25" s="22">
        <v>1411389</v>
      </c>
      <c r="T25" s="21"/>
      <c r="U25" s="22">
        <v>1410321</v>
      </c>
    </row>
    <row r="26" spans="1:21" ht="15.75">
      <c r="A26" s="20" t="s">
        <v>23</v>
      </c>
      <c r="B26" s="7"/>
      <c r="C26" s="7"/>
      <c r="D26" s="7"/>
      <c r="E26" s="7"/>
      <c r="F26" s="7"/>
      <c r="G26" s="7"/>
      <c r="H26" s="7"/>
      <c r="I26" s="7"/>
      <c r="K26" s="7"/>
      <c r="L26" s="21"/>
      <c r="M26" s="7">
        <f>SUM(M23:M25)</f>
        <v>102571</v>
      </c>
      <c r="N26" s="21"/>
      <c r="O26" s="7">
        <f>SUM(O23:O25)</f>
        <v>2122074</v>
      </c>
      <c r="P26" s="21"/>
      <c r="Q26" s="7">
        <f>SUM(Q23:Q25)</f>
        <v>2327689</v>
      </c>
      <c r="R26" s="21"/>
      <c r="S26" s="7">
        <f>SUM(S23:S25)</f>
        <v>2300130</v>
      </c>
      <c r="T26" s="21"/>
      <c r="U26" s="7">
        <f>SUM(U23:U25)</f>
        <v>2272623</v>
      </c>
    </row>
    <row r="27" spans="1:21" ht="12.75" customHeight="1">
      <c r="A27" s="20"/>
      <c r="B27" s="7"/>
      <c r="C27" s="7"/>
      <c r="D27" s="7"/>
      <c r="E27" s="7"/>
      <c r="F27" s="7"/>
      <c r="G27" s="7"/>
      <c r="H27" s="7"/>
      <c r="I27" s="7"/>
      <c r="K27" s="7"/>
      <c r="L27" s="21"/>
      <c r="M27" s="7"/>
      <c r="N27" s="21"/>
      <c r="O27" s="7"/>
      <c r="P27" s="21"/>
      <c r="Q27" s="7"/>
      <c r="R27" s="21"/>
      <c r="S27" s="7"/>
      <c r="T27" s="21"/>
      <c r="U27" s="7"/>
    </row>
    <row r="28" spans="1:21" ht="15.75">
      <c r="A28" s="20" t="s">
        <v>24</v>
      </c>
      <c r="B28" s="7"/>
      <c r="C28" s="7"/>
      <c r="D28" s="7"/>
      <c r="E28" s="7"/>
      <c r="F28" s="7"/>
      <c r="G28" s="7"/>
      <c r="H28" s="7"/>
      <c r="I28" s="7"/>
      <c r="K28" s="7"/>
      <c r="L28" s="21"/>
      <c r="M28" s="7">
        <v>2327689</v>
      </c>
      <c r="N28" s="21"/>
      <c r="O28" s="7">
        <v>2327689</v>
      </c>
      <c r="P28" s="21"/>
      <c r="Q28" s="7">
        <v>2327689</v>
      </c>
      <c r="R28" s="21"/>
      <c r="S28" s="7">
        <v>2300130</v>
      </c>
      <c r="T28" s="21"/>
      <c r="U28" s="7">
        <v>2272623</v>
      </c>
    </row>
    <row r="29" spans="1:21" ht="12.75" customHeight="1">
      <c r="A29" s="20"/>
      <c r="B29" s="7"/>
      <c r="C29" s="7"/>
      <c r="D29" s="7"/>
      <c r="E29" s="7"/>
      <c r="F29" s="7"/>
      <c r="G29" s="7"/>
      <c r="H29" s="7"/>
      <c r="I29" s="7"/>
      <c r="K29" s="7"/>
      <c r="L29" s="21"/>
      <c r="M29" s="7"/>
      <c r="N29" s="21"/>
      <c r="O29" s="7"/>
      <c r="P29" s="21"/>
      <c r="Q29" s="7"/>
      <c r="R29" s="21"/>
      <c r="S29" s="7"/>
      <c r="T29" s="21"/>
      <c r="U29" s="7"/>
    </row>
    <row r="30" spans="1:21" s="17" customFormat="1" ht="16.5">
      <c r="A30" s="23" t="s">
        <v>25</v>
      </c>
      <c r="B30" s="24"/>
      <c r="C30" s="24"/>
      <c r="D30" s="24"/>
      <c r="E30" s="24"/>
      <c r="F30" s="24"/>
      <c r="G30" s="24"/>
      <c r="H30" s="24"/>
      <c r="I30" s="24"/>
      <c r="K30" s="24"/>
      <c r="L30" s="25"/>
      <c r="M30" s="24">
        <f>M20-M26</f>
        <v>19595466</v>
      </c>
      <c r="N30" s="25"/>
      <c r="O30" s="24">
        <f>O20-O26</f>
        <v>20110335</v>
      </c>
      <c r="P30" s="24" t="s">
        <v>26</v>
      </c>
      <c r="Q30" s="24">
        <f>Q20-Q26</f>
        <v>21054711</v>
      </c>
      <c r="R30" s="24" t="s">
        <v>26</v>
      </c>
      <c r="S30" s="24">
        <f>S20-S26</f>
        <v>21954269</v>
      </c>
      <c r="T30" s="24" t="s">
        <v>26</v>
      </c>
      <c r="U30" s="24">
        <f>U20-U26</f>
        <v>22986381</v>
      </c>
    </row>
    <row r="31" spans="1:21" ht="12.75" customHeight="1">
      <c r="A31" s="20"/>
      <c r="B31" s="7"/>
      <c r="C31" s="7"/>
      <c r="D31" s="7"/>
      <c r="E31" s="7"/>
      <c r="F31" s="7"/>
      <c r="G31" s="7"/>
      <c r="H31" s="7"/>
      <c r="I31" s="7"/>
      <c r="K31" s="7"/>
      <c r="L31" s="21"/>
      <c r="M31" s="7"/>
      <c r="N31" s="21"/>
      <c r="O31" s="7"/>
      <c r="P31" s="7"/>
      <c r="Q31" s="7"/>
      <c r="R31" s="7"/>
      <c r="S31" s="7"/>
      <c r="T31" s="7"/>
      <c r="U31" s="7"/>
    </row>
    <row r="32" spans="1:19" ht="16.5">
      <c r="A32" s="17" t="s">
        <v>27</v>
      </c>
      <c r="C32" s="18"/>
      <c r="D32" s="18"/>
      <c r="E32" s="18"/>
      <c r="F32" s="18"/>
      <c r="G32" s="18"/>
      <c r="H32" s="18"/>
      <c r="I32" s="18"/>
      <c r="K32" s="18"/>
      <c r="L32" s="19"/>
      <c r="M32" s="18"/>
      <c r="N32" s="18"/>
      <c r="O32" s="18"/>
      <c r="P32" s="18"/>
      <c r="Q32" s="18"/>
      <c r="R32" s="18"/>
      <c r="S32" s="18"/>
    </row>
    <row r="33" spans="1:21" ht="16.5">
      <c r="A33" s="20" t="s">
        <v>28</v>
      </c>
      <c r="B33" s="26"/>
      <c r="C33" s="27"/>
      <c r="D33" s="27"/>
      <c r="E33" s="27"/>
      <c r="F33" s="27"/>
      <c r="G33" s="27"/>
      <c r="H33" s="27"/>
      <c r="I33" s="27"/>
      <c r="K33" s="27"/>
      <c r="L33" s="28"/>
      <c r="M33" s="27">
        <f>M20/M26</f>
        <v>192.0429458618908</v>
      </c>
      <c r="N33" s="27"/>
      <c r="O33" s="27">
        <f>O20/O26</f>
        <v>10.476735966794749</v>
      </c>
      <c r="P33" s="27"/>
      <c r="Q33" s="27">
        <f>Q20/Q26</f>
        <v>10.045328220393705</v>
      </c>
      <c r="R33" s="27"/>
      <c r="S33" s="27">
        <f>S20/S26</f>
        <v>10.544794859420989</v>
      </c>
      <c r="T33" s="27"/>
      <c r="U33" s="27">
        <f>U20/U26</f>
        <v>11.114471691961228</v>
      </c>
    </row>
    <row r="34" spans="1:21" ht="16.5">
      <c r="A34" s="20" t="s">
        <v>29</v>
      </c>
      <c r="B34" s="26"/>
      <c r="C34" s="27"/>
      <c r="D34" s="27"/>
      <c r="E34" s="27"/>
      <c r="F34" s="27"/>
      <c r="G34" s="27"/>
      <c r="H34" s="27"/>
      <c r="I34" s="27"/>
      <c r="K34" s="27"/>
      <c r="L34" s="28"/>
      <c r="M34" s="27">
        <f>M20/M28</f>
        <v>8.462486612257909</v>
      </c>
      <c r="N34" s="27"/>
      <c r="O34" s="27">
        <f>O20/O28</f>
        <v>9.551279831626992</v>
      </c>
      <c r="P34" s="27"/>
      <c r="Q34" s="27">
        <f>Q20/Q28</f>
        <v>10.045328220393705</v>
      </c>
      <c r="R34" s="27"/>
      <c r="S34" s="27">
        <f>S20/S28</f>
        <v>10.544794859420989</v>
      </c>
      <c r="T34" s="27"/>
      <c r="U34" s="27">
        <f>U20/U28</f>
        <v>11.114471691961228</v>
      </c>
    </row>
    <row r="35" spans="1:21" ht="7.5" customHeight="1">
      <c r="A35" s="29"/>
      <c r="B35" s="30"/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2"/>
      <c r="R35" s="31"/>
      <c r="S35" s="30"/>
      <c r="T35" s="31"/>
      <c r="U35" s="32"/>
    </row>
    <row r="37" spans="1:19" ht="16.5">
      <c r="A37" s="17" t="s">
        <v>81</v>
      </c>
      <c r="C37" s="18"/>
      <c r="D37" s="18"/>
      <c r="E37" s="18"/>
      <c r="F37" s="18"/>
      <c r="G37" s="18"/>
      <c r="H37" s="18"/>
      <c r="I37" s="18"/>
      <c r="K37" s="18"/>
      <c r="L37" s="19"/>
      <c r="M37" s="18"/>
      <c r="N37" s="18"/>
      <c r="O37" s="18"/>
      <c r="P37" s="18"/>
      <c r="Q37" s="18"/>
      <c r="R37" s="18"/>
      <c r="S37" s="18"/>
    </row>
    <row r="38" spans="1:21" ht="15.75">
      <c r="A38" s="20" t="s">
        <v>30</v>
      </c>
      <c r="C38" s="33">
        <v>9183299</v>
      </c>
      <c r="D38" s="34"/>
      <c r="E38" s="33">
        <v>10227371</v>
      </c>
      <c r="F38" s="34"/>
      <c r="G38" s="33">
        <v>10812956</v>
      </c>
      <c r="H38" s="34"/>
      <c r="I38" s="33">
        <v>11553648</v>
      </c>
      <c r="J38" s="34"/>
      <c r="K38" s="33">
        <v>12482689</v>
      </c>
      <c r="L38" s="21"/>
      <c r="M38" s="33">
        <v>12792720</v>
      </c>
      <c r="N38" s="21"/>
      <c r="O38" s="33">
        <v>13348341</v>
      </c>
      <c r="P38" s="21"/>
      <c r="Q38" s="33">
        <v>13841085</v>
      </c>
      <c r="R38" s="21"/>
      <c r="S38" s="33">
        <v>14316385</v>
      </c>
      <c r="T38" s="21"/>
      <c r="U38" s="33">
        <v>14791685</v>
      </c>
    </row>
    <row r="39" spans="1:21" ht="15.75">
      <c r="A39" s="20" t="s">
        <v>40</v>
      </c>
      <c r="C39" s="7">
        <v>800000</v>
      </c>
      <c r="D39" s="21"/>
      <c r="E39" s="7">
        <v>800000</v>
      </c>
      <c r="F39" s="21"/>
      <c r="G39" s="7">
        <v>800000</v>
      </c>
      <c r="H39" s="21"/>
      <c r="I39" s="7">
        <v>800000</v>
      </c>
      <c r="J39" s="21"/>
      <c r="K39" s="7">
        <v>800000</v>
      </c>
      <c r="L39" s="21"/>
      <c r="M39" s="7">
        <v>800000</v>
      </c>
      <c r="N39" s="21"/>
      <c r="O39" s="7">
        <v>800000</v>
      </c>
      <c r="P39" s="21"/>
      <c r="Q39" s="7">
        <v>800000</v>
      </c>
      <c r="R39" s="21"/>
      <c r="S39" s="7">
        <v>800000</v>
      </c>
      <c r="T39" s="21"/>
      <c r="U39" s="7">
        <v>800000</v>
      </c>
    </row>
    <row r="40" spans="1:21" ht="15.75">
      <c r="A40" s="20" t="s">
        <v>41</v>
      </c>
      <c r="C40" s="22">
        <v>312201</v>
      </c>
      <c r="D40" s="21"/>
      <c r="E40" s="22">
        <f>344364+78364</f>
        <v>422728</v>
      </c>
      <c r="F40" s="21"/>
      <c r="G40" s="22">
        <f>358732+218180</f>
        <v>576912</v>
      </c>
      <c r="H40" s="21"/>
      <c r="I40" s="22">
        <f>556758</f>
        <v>556758</v>
      </c>
      <c r="J40" s="21"/>
      <c r="K40" s="22">
        <v>528371</v>
      </c>
      <c r="L40" s="21"/>
      <c r="M40" s="22">
        <v>528371</v>
      </c>
      <c r="N40" s="21"/>
      <c r="O40" s="22">
        <v>528371</v>
      </c>
      <c r="P40" s="21"/>
      <c r="Q40" s="22">
        <v>528371</v>
      </c>
      <c r="R40" s="21"/>
      <c r="S40" s="22">
        <v>528371</v>
      </c>
      <c r="T40" s="21"/>
      <c r="U40" s="22">
        <v>528371</v>
      </c>
    </row>
    <row r="41" spans="1:21" ht="16.5">
      <c r="A41" s="23" t="s">
        <v>82</v>
      </c>
      <c r="C41" s="7">
        <f>SUM(C38:C40)</f>
        <v>10295500</v>
      </c>
      <c r="D41" s="21"/>
      <c r="E41" s="7">
        <f>SUM(E38:E40)</f>
        <v>11450099</v>
      </c>
      <c r="F41" s="21"/>
      <c r="G41" s="7">
        <f>SUM(G38:G40)</f>
        <v>12189868</v>
      </c>
      <c r="H41" s="21"/>
      <c r="I41" s="7">
        <f>SUM(I38:I40)</f>
        <v>12910406</v>
      </c>
      <c r="J41" s="21"/>
      <c r="K41" s="7">
        <f>SUM(K38:K40)</f>
        <v>13811060</v>
      </c>
      <c r="L41" s="21"/>
      <c r="M41" s="7">
        <f>SUM(M38:M40)</f>
        <v>14121091</v>
      </c>
      <c r="N41" s="21"/>
      <c r="O41" s="7">
        <f>SUM(O38:O40)</f>
        <v>14676712</v>
      </c>
      <c r="P41" s="21"/>
      <c r="Q41" s="7">
        <f>SUM(Q38:Q40)</f>
        <v>15169456</v>
      </c>
      <c r="R41" s="21"/>
      <c r="S41" s="7">
        <f>SUM(S38:S40)</f>
        <v>15644756</v>
      </c>
      <c r="T41" s="21"/>
      <c r="U41" s="7">
        <f>SUM(U38:U40)</f>
        <v>16120056</v>
      </c>
    </row>
    <row r="42" spans="1:21" ht="16.5">
      <c r="A42" s="23"/>
      <c r="C42" s="7"/>
      <c r="D42" s="21"/>
      <c r="E42" s="7"/>
      <c r="F42" s="21"/>
      <c r="G42" s="7"/>
      <c r="H42" s="21"/>
      <c r="I42" s="7"/>
      <c r="J42" s="21"/>
      <c r="K42" s="7"/>
      <c r="L42" s="21"/>
      <c r="M42" s="7"/>
      <c r="N42" s="21"/>
      <c r="O42" s="7"/>
      <c r="P42" s="21"/>
      <c r="Q42" s="7"/>
      <c r="R42" s="21"/>
      <c r="S42" s="7"/>
      <c r="T42" s="21"/>
      <c r="U42" s="7"/>
    </row>
    <row r="43" spans="1:21" s="17" customFormat="1" ht="16.5">
      <c r="A43" s="17" t="s">
        <v>83</v>
      </c>
      <c r="C43" s="58">
        <f>SUM(C20,C41)</f>
        <v>19453299</v>
      </c>
      <c r="D43" s="25"/>
      <c r="E43" s="58">
        <f>SUM(E20,E41)</f>
        <v>24950575</v>
      </c>
      <c r="F43" s="25"/>
      <c r="G43" s="58">
        <f>SUM(G20,G41)</f>
        <v>27128282</v>
      </c>
      <c r="H43" s="25"/>
      <c r="I43" s="58">
        <f>SUM(I20,I41)</f>
        <v>33547759</v>
      </c>
      <c r="J43" s="58"/>
      <c r="K43" s="58">
        <f>SUM(K20,K41)</f>
        <v>35379821</v>
      </c>
      <c r="L43" s="58"/>
      <c r="M43" s="58">
        <f>SUM(M20,M41)</f>
        <v>33819128</v>
      </c>
      <c r="N43" s="58"/>
      <c r="O43" s="58">
        <f>SUM(O20,O41)</f>
        <v>36909121</v>
      </c>
      <c r="P43" s="58"/>
      <c r="Q43" s="58">
        <f>SUM(Q20,Q41)</f>
        <v>38551856</v>
      </c>
      <c r="R43" s="58"/>
      <c r="S43" s="58">
        <f>SUM(S20,S41)</f>
        <v>39899155</v>
      </c>
      <c r="T43" s="25"/>
      <c r="U43" s="58">
        <f>SUM(U20,U41)</f>
        <v>41379060</v>
      </c>
    </row>
    <row r="44" spans="1:21" ht="12.75" customHeight="1">
      <c r="A44" s="20"/>
      <c r="B44" s="18"/>
      <c r="C44" s="35"/>
      <c r="D44" s="36"/>
      <c r="E44" s="35"/>
      <c r="F44" s="36"/>
      <c r="G44" s="35"/>
      <c r="H44" s="36"/>
      <c r="I44" s="35"/>
      <c r="J44" s="36"/>
      <c r="K44" s="35"/>
      <c r="L44" s="36"/>
      <c r="M44" s="35"/>
      <c r="N44" s="36"/>
      <c r="O44" s="35"/>
      <c r="P44" s="36"/>
      <c r="Q44" s="35"/>
      <c r="R44" s="36"/>
      <c r="S44" s="35"/>
      <c r="T44" s="36"/>
      <c r="U44" s="7"/>
    </row>
    <row r="45" spans="1:21" ht="16.5">
      <c r="A45" s="17" t="s">
        <v>42</v>
      </c>
      <c r="B45" s="18"/>
      <c r="C45" s="7"/>
      <c r="D45" s="36"/>
      <c r="E45" s="35"/>
      <c r="F45" s="36"/>
      <c r="G45" s="35"/>
      <c r="H45" s="36"/>
      <c r="I45" s="35"/>
      <c r="J45" s="36"/>
      <c r="K45" s="35"/>
      <c r="L45" s="36"/>
      <c r="M45" s="7"/>
      <c r="N45" s="36"/>
      <c r="O45" s="35"/>
      <c r="P45" s="36"/>
      <c r="Q45" s="35"/>
      <c r="R45" s="36"/>
      <c r="S45" s="35"/>
      <c r="T45" s="36"/>
      <c r="U45" s="7"/>
    </row>
    <row r="46" spans="1:21" ht="15.75">
      <c r="A46" s="20" t="s">
        <v>43</v>
      </c>
      <c r="C46" s="7">
        <v>6792039</v>
      </c>
      <c r="D46" s="21"/>
      <c r="E46" s="7">
        <v>8091963</v>
      </c>
      <c r="F46" s="21"/>
      <c r="G46" s="7">
        <v>10192355</v>
      </c>
      <c r="H46" s="21"/>
      <c r="I46" s="7">
        <v>10997015</v>
      </c>
      <c r="J46" s="21"/>
      <c r="K46" s="7">
        <v>12046182</v>
      </c>
      <c r="L46" s="21"/>
      <c r="M46" s="7">
        <v>12351970</v>
      </c>
      <c r="N46" s="21"/>
      <c r="O46" s="7">
        <v>13124983</v>
      </c>
      <c r="P46" s="21"/>
      <c r="Q46" s="7">
        <v>13663464.010149002</v>
      </c>
      <c r="R46" s="21"/>
      <c r="S46" s="7">
        <v>14210875.081858085</v>
      </c>
      <c r="T46" s="21"/>
      <c r="U46" s="7">
        <v>14767489.519218113</v>
      </c>
    </row>
    <row r="47" spans="1:21" ht="15.75">
      <c r="A47" s="20" t="s">
        <v>44</v>
      </c>
      <c r="C47" s="7">
        <v>2942984</v>
      </c>
      <c r="D47" s="21"/>
      <c r="E47" s="7">
        <v>2998179</v>
      </c>
      <c r="F47" s="21"/>
      <c r="G47" s="7">
        <v>3343793</v>
      </c>
      <c r="H47" s="21"/>
      <c r="I47" s="7">
        <v>3661878</v>
      </c>
      <c r="J47" s="21"/>
      <c r="K47" s="7">
        <v>3932338</v>
      </c>
      <c r="L47" s="21"/>
      <c r="M47" s="7">
        <v>4237841</v>
      </c>
      <c r="N47" s="21"/>
      <c r="O47" s="7">
        <v>4152594</v>
      </c>
      <c r="P47" s="21"/>
      <c r="Q47" s="7">
        <v>4288986.62631859</v>
      </c>
      <c r="R47" s="21"/>
      <c r="S47" s="7">
        <v>4448508.631855655</v>
      </c>
      <c r="T47" s="21"/>
      <c r="U47" s="7">
        <v>4632749.78121589</v>
      </c>
    </row>
    <row r="48" spans="1:21" ht="15.75">
      <c r="A48" s="20" t="s">
        <v>45</v>
      </c>
      <c r="C48" s="7">
        <v>2239247</v>
      </c>
      <c r="D48" s="21"/>
      <c r="E48" s="7">
        <v>2569062</v>
      </c>
      <c r="F48" s="21"/>
      <c r="G48" s="7">
        <v>2890802</v>
      </c>
      <c r="H48" s="21"/>
      <c r="I48" s="7">
        <v>3429789</v>
      </c>
      <c r="J48" s="21"/>
      <c r="K48" s="7">
        <v>3619349</v>
      </c>
      <c r="L48" s="37"/>
      <c r="M48" s="7">
        <v>3684349</v>
      </c>
      <c r="N48" s="21"/>
      <c r="O48" s="7">
        <v>3814349</v>
      </c>
      <c r="P48" s="21"/>
      <c r="Q48" s="7">
        <v>3909349</v>
      </c>
      <c r="R48" s="21"/>
      <c r="S48" s="7">
        <v>4004349</v>
      </c>
      <c r="T48" s="21"/>
      <c r="U48" s="7">
        <v>4099349</v>
      </c>
    </row>
    <row r="49" spans="1:21" ht="15.75">
      <c r="A49" s="20" t="s">
        <v>46</v>
      </c>
      <c r="C49" s="7">
        <f>683427+291081+364640</f>
        <v>1339148</v>
      </c>
      <c r="D49" s="21"/>
      <c r="E49" s="7">
        <f>625051+351869+535547</f>
        <v>1512467</v>
      </c>
      <c r="F49" s="21"/>
      <c r="G49" s="7">
        <f>880726+437734+402592</f>
        <v>1721052</v>
      </c>
      <c r="H49" s="21"/>
      <c r="I49" s="7">
        <v>2992390</v>
      </c>
      <c r="J49" s="21"/>
      <c r="K49" s="7">
        <v>3084399</v>
      </c>
      <c r="L49" s="37"/>
      <c r="M49" s="7">
        <v>3040281</v>
      </c>
      <c r="N49" s="21"/>
      <c r="O49" s="7">
        <v>3448966</v>
      </c>
      <c r="P49" s="21"/>
      <c r="Q49" s="7">
        <v>3631522.4000000004</v>
      </c>
      <c r="R49" s="21"/>
      <c r="S49" s="7">
        <v>3817353.722</v>
      </c>
      <c r="T49" s="21"/>
      <c r="U49" s="7">
        <v>3990669.71994</v>
      </c>
    </row>
    <row r="50" spans="1:21" ht="15.75">
      <c r="A50" s="20" t="s">
        <v>47</v>
      </c>
      <c r="C50" s="7">
        <f>1604324-299232+175280+0</f>
        <v>1480372</v>
      </c>
      <c r="D50" s="21"/>
      <c r="E50" s="7">
        <f>1842091-263673+170593+0</f>
        <v>1749011</v>
      </c>
      <c r="F50" s="21"/>
      <c r="G50" s="7">
        <f>1935478-280867+167277+0</f>
        <v>1821888</v>
      </c>
      <c r="H50" s="21"/>
      <c r="I50" s="7">
        <v>2374770</v>
      </c>
      <c r="J50" s="21"/>
      <c r="K50" s="7">
        <v>2578376</v>
      </c>
      <c r="L50" s="37"/>
      <c r="M50" s="7">
        <v>2292130</v>
      </c>
      <c r="N50" s="21"/>
      <c r="O50" s="7">
        <v>2479654</v>
      </c>
      <c r="P50" s="21"/>
      <c r="Q50" s="7">
        <v>2538506.6625166666</v>
      </c>
      <c r="R50" s="21"/>
      <c r="S50" s="7">
        <v>2598736.3522067163</v>
      </c>
      <c r="T50" s="21"/>
      <c r="U50" s="7">
        <v>2660391.921574618</v>
      </c>
    </row>
    <row r="51" spans="1:21" ht="15.75">
      <c r="A51" s="20" t="s">
        <v>48</v>
      </c>
      <c r="C51" s="7">
        <f>611194+493127</f>
        <v>1104321</v>
      </c>
      <c r="D51" s="21"/>
      <c r="E51" s="7">
        <f>844196+648569</f>
        <v>1492765</v>
      </c>
      <c r="F51" s="21"/>
      <c r="G51" s="7">
        <f>861275+609182</f>
        <v>1470457</v>
      </c>
      <c r="H51" s="21"/>
      <c r="I51" s="7">
        <v>1488929</v>
      </c>
      <c r="J51" s="21"/>
      <c r="K51" s="7">
        <v>1385221</v>
      </c>
      <c r="L51" s="37"/>
      <c r="M51" s="7">
        <v>1418221</v>
      </c>
      <c r="N51" s="21"/>
      <c r="O51" s="7">
        <v>1690598</v>
      </c>
      <c r="P51" s="21"/>
      <c r="Q51" s="7">
        <v>1744734.0817262367</v>
      </c>
      <c r="R51" s="21"/>
      <c r="S51" s="7">
        <v>1800689.6503878888</v>
      </c>
      <c r="T51" s="21"/>
      <c r="U51" s="7">
        <v>1858529.0815510098</v>
      </c>
    </row>
    <row r="52" spans="1:21" ht="15.75">
      <c r="A52" s="20" t="s">
        <v>49</v>
      </c>
      <c r="C52" s="7">
        <v>1152250</v>
      </c>
      <c r="D52" s="21"/>
      <c r="E52" s="7">
        <v>1115561</v>
      </c>
      <c r="F52" s="21"/>
      <c r="G52" s="7">
        <v>1135071</v>
      </c>
      <c r="H52" s="21"/>
      <c r="I52" s="7">
        <v>1425597</v>
      </c>
      <c r="J52" s="21"/>
      <c r="K52" s="7">
        <v>1420658</v>
      </c>
      <c r="L52" s="37"/>
      <c r="M52" s="7">
        <v>1500000</v>
      </c>
      <c r="N52" s="21"/>
      <c r="O52" s="7">
        <v>1350000</v>
      </c>
      <c r="P52" s="21"/>
      <c r="Q52" s="7">
        <v>1600000</v>
      </c>
      <c r="R52" s="21"/>
      <c r="S52" s="7">
        <v>1600000</v>
      </c>
      <c r="T52" s="21"/>
      <c r="U52" s="7">
        <v>1650000</v>
      </c>
    </row>
    <row r="53" spans="1:21" ht="15.75">
      <c r="A53" s="20" t="s">
        <v>50</v>
      </c>
      <c r="C53" s="7">
        <f>671655</f>
        <v>671655</v>
      </c>
      <c r="D53" s="21"/>
      <c r="E53" s="7">
        <f>859068</f>
        <v>859068</v>
      </c>
      <c r="F53" s="21"/>
      <c r="G53" s="7">
        <f>918338</f>
        <v>918338</v>
      </c>
      <c r="H53" s="21"/>
      <c r="I53" s="7">
        <v>757419</v>
      </c>
      <c r="J53" s="21"/>
      <c r="K53" s="7">
        <v>877403</v>
      </c>
      <c r="L53" s="37"/>
      <c r="M53" s="7">
        <v>819403</v>
      </c>
      <c r="N53" s="21"/>
      <c r="O53" s="7">
        <v>835791</v>
      </c>
      <c r="P53" s="21"/>
      <c r="Q53" s="7">
        <v>852506.8812000001</v>
      </c>
      <c r="R53" s="21"/>
      <c r="S53" s="7">
        <v>869557.018824</v>
      </c>
      <c r="T53" s="21"/>
      <c r="U53" s="7">
        <v>886948.15920048</v>
      </c>
    </row>
    <row r="54" spans="1:21" ht="15.75">
      <c r="A54" s="20" t="s">
        <v>51</v>
      </c>
      <c r="C54" s="7">
        <v>0</v>
      </c>
      <c r="D54" s="21"/>
      <c r="E54" s="7">
        <v>681487</v>
      </c>
      <c r="F54" s="21"/>
      <c r="G54" s="7">
        <v>907051</v>
      </c>
      <c r="H54" s="21"/>
      <c r="I54" s="7">
        <v>1340450</v>
      </c>
      <c r="J54" s="21"/>
      <c r="K54" s="7">
        <v>743090</v>
      </c>
      <c r="L54" s="37"/>
      <c r="M54" s="7">
        <v>900000</v>
      </c>
      <c r="N54" s="21"/>
      <c r="O54" s="7">
        <v>900000</v>
      </c>
      <c r="P54" s="21"/>
      <c r="Q54" s="7">
        <v>900000</v>
      </c>
      <c r="R54" s="21"/>
      <c r="S54" s="7">
        <v>900000</v>
      </c>
      <c r="T54" s="21"/>
      <c r="U54" s="7">
        <v>900000</v>
      </c>
    </row>
    <row r="55" spans="1:21" ht="15.75">
      <c r="A55" s="20" t="s">
        <v>52</v>
      </c>
      <c r="C55" s="7">
        <v>771702</v>
      </c>
      <c r="D55" s="21"/>
      <c r="E55" s="7">
        <v>1242256</v>
      </c>
      <c r="F55" s="21"/>
      <c r="G55" s="7">
        <v>1135203</v>
      </c>
      <c r="H55" s="21"/>
      <c r="I55" s="7">
        <v>1192509</v>
      </c>
      <c r="J55" s="21"/>
      <c r="K55" s="7">
        <v>886766</v>
      </c>
      <c r="L55" s="37"/>
      <c r="M55" s="7">
        <v>773403</v>
      </c>
      <c r="N55" s="21"/>
      <c r="O55" s="7">
        <v>791061</v>
      </c>
      <c r="P55" s="21"/>
      <c r="Q55" s="7">
        <v>813719.9156441031</v>
      </c>
      <c r="R55" s="21"/>
      <c r="S55" s="7">
        <v>821378.3734661547</v>
      </c>
      <c r="T55" s="21"/>
      <c r="U55" s="7">
        <v>839036.8312882063</v>
      </c>
    </row>
    <row r="56" spans="1:21" ht="15.75">
      <c r="A56" s="20" t="s">
        <v>53</v>
      </c>
      <c r="C56" s="7">
        <v>316109</v>
      </c>
      <c r="D56" s="21"/>
      <c r="E56" s="7">
        <v>732163</v>
      </c>
      <c r="F56" s="21"/>
      <c r="G56" s="7">
        <v>507550</v>
      </c>
      <c r="H56" s="21"/>
      <c r="I56" s="7">
        <v>500000</v>
      </c>
      <c r="J56" s="21"/>
      <c r="K56" s="7">
        <v>500000</v>
      </c>
      <c r="L56" s="37"/>
      <c r="M56" s="7">
        <v>500000</v>
      </c>
      <c r="N56" s="21"/>
      <c r="O56" s="7">
        <v>0</v>
      </c>
      <c r="P56" s="21"/>
      <c r="Q56" s="7">
        <v>0</v>
      </c>
      <c r="R56" s="21"/>
      <c r="S56" s="7">
        <v>0</v>
      </c>
      <c r="T56" s="21"/>
      <c r="U56" s="7">
        <v>0</v>
      </c>
    </row>
    <row r="57" spans="1:21" ht="15.75">
      <c r="A57" s="20" t="s">
        <v>54</v>
      </c>
      <c r="C57" s="7">
        <v>299232</v>
      </c>
      <c r="D57" s="21"/>
      <c r="E57" s="7">
        <v>263673</v>
      </c>
      <c r="F57" s="21"/>
      <c r="G57" s="7">
        <v>280867</v>
      </c>
      <c r="H57" s="21"/>
      <c r="I57" s="7">
        <v>389572</v>
      </c>
      <c r="J57" s="21"/>
      <c r="K57" s="7">
        <v>432575</v>
      </c>
      <c r="L57" s="37"/>
      <c r="M57" s="7">
        <v>449878</v>
      </c>
      <c r="N57" s="21"/>
      <c r="O57" s="7">
        <v>467873</v>
      </c>
      <c r="P57" s="21"/>
      <c r="Q57" s="7">
        <v>486588.0448</v>
      </c>
      <c r="R57" s="21"/>
      <c r="S57" s="7">
        <v>506051.56659199996</v>
      </c>
      <c r="T57" s="21"/>
      <c r="U57" s="7">
        <v>526293.6292556799</v>
      </c>
    </row>
    <row r="58" spans="1:21" ht="15.75">
      <c r="A58" s="20" t="s">
        <v>55</v>
      </c>
      <c r="C58" s="7">
        <v>0</v>
      </c>
      <c r="D58" s="21"/>
      <c r="E58" s="7">
        <v>0</v>
      </c>
      <c r="F58" s="21"/>
      <c r="G58" s="7">
        <v>0</v>
      </c>
      <c r="H58" s="21"/>
      <c r="I58" s="7">
        <v>0</v>
      </c>
      <c r="J58" s="21"/>
      <c r="K58" s="7">
        <v>0</v>
      </c>
      <c r="L58" s="37"/>
      <c r="M58" s="7">
        <v>20000</v>
      </c>
      <c r="N58" s="21"/>
      <c r="O58" s="7">
        <v>30000</v>
      </c>
      <c r="P58" s="21"/>
      <c r="Q58" s="7">
        <v>40000</v>
      </c>
      <c r="R58" s="21"/>
      <c r="S58" s="7">
        <v>50000</v>
      </c>
      <c r="T58" s="21"/>
      <c r="U58" s="7">
        <v>60000</v>
      </c>
    </row>
    <row r="59" spans="1:21" ht="15.75">
      <c r="A59" s="20" t="s">
        <v>56</v>
      </c>
      <c r="C59" s="7">
        <v>0</v>
      </c>
      <c r="D59" s="21"/>
      <c r="E59" s="7">
        <v>0</v>
      </c>
      <c r="F59" s="21"/>
      <c r="G59" s="7">
        <v>0</v>
      </c>
      <c r="H59" s="21"/>
      <c r="I59" s="7">
        <v>364152</v>
      </c>
      <c r="J59" s="21"/>
      <c r="K59" s="7">
        <v>538573</v>
      </c>
      <c r="L59" s="37"/>
      <c r="M59" s="7">
        <v>0</v>
      </c>
      <c r="N59" s="21"/>
      <c r="O59" s="7">
        <v>0</v>
      </c>
      <c r="P59" s="21"/>
      <c r="Q59" s="7">
        <v>0</v>
      </c>
      <c r="R59" s="21"/>
      <c r="S59" s="7">
        <v>0</v>
      </c>
      <c r="T59" s="21"/>
      <c r="U59" s="7">
        <v>0</v>
      </c>
    </row>
    <row r="60" spans="1:21" ht="15.75">
      <c r="A60" s="20" t="s">
        <v>57</v>
      </c>
      <c r="C60" s="7">
        <f>C26</f>
        <v>0</v>
      </c>
      <c r="D60" s="38"/>
      <c r="E60" s="7">
        <f>E26</f>
        <v>0</v>
      </c>
      <c r="F60" s="38"/>
      <c r="G60" s="7">
        <f>G26</f>
        <v>0</v>
      </c>
      <c r="H60" s="38"/>
      <c r="I60" s="7">
        <f>I26</f>
        <v>0</v>
      </c>
      <c r="J60" s="39"/>
      <c r="K60" s="7">
        <f>K26</f>
        <v>0</v>
      </c>
      <c r="L60" s="39"/>
      <c r="M60" s="7">
        <f>M26</f>
        <v>102571</v>
      </c>
      <c r="N60" s="39"/>
      <c r="O60" s="7">
        <f>O26</f>
        <v>2122074</v>
      </c>
      <c r="P60" s="39"/>
      <c r="Q60" s="7">
        <f>Q26</f>
        <v>2327689</v>
      </c>
      <c r="R60" s="39"/>
      <c r="S60" s="7">
        <f>S26</f>
        <v>2300130</v>
      </c>
      <c r="T60" s="39"/>
      <c r="U60" s="7">
        <f>U26</f>
        <v>2272623</v>
      </c>
    </row>
    <row r="61" spans="1:21" ht="15.75">
      <c r="A61" s="20" t="s">
        <v>58</v>
      </c>
      <c r="C61" s="22">
        <v>0</v>
      </c>
      <c r="D61" s="21"/>
      <c r="E61" s="22">
        <v>687928</v>
      </c>
      <c r="F61" s="21"/>
      <c r="G61" s="22">
        <v>989143</v>
      </c>
      <c r="H61" s="21"/>
      <c r="I61" s="22">
        <v>1001691</v>
      </c>
      <c r="J61" s="21"/>
      <c r="K61" s="22">
        <v>1057462</v>
      </c>
      <c r="L61" s="40"/>
      <c r="M61" s="22">
        <v>1051585</v>
      </c>
      <c r="N61" s="34"/>
      <c r="O61" s="22">
        <v>1053463</v>
      </c>
      <c r="P61" s="34"/>
      <c r="Q61" s="22">
        <v>1059252</v>
      </c>
      <c r="R61" s="34"/>
      <c r="S61" s="22">
        <v>1063889</v>
      </c>
      <c r="T61" s="34"/>
      <c r="U61" s="22">
        <v>1067372</v>
      </c>
    </row>
    <row r="62" spans="1:21" ht="16.5">
      <c r="A62" s="26" t="s">
        <v>59</v>
      </c>
      <c r="B62" s="18"/>
      <c r="C62" s="41">
        <f>SUM(C46:C61)</f>
        <v>19109059</v>
      </c>
      <c r="D62" s="21"/>
      <c r="E62" s="41">
        <f>SUM(E46:E61)</f>
        <v>23995583</v>
      </c>
      <c r="F62" s="21"/>
      <c r="G62" s="41">
        <f>SUM(G46:G61)</f>
        <v>27313570</v>
      </c>
      <c r="H62" s="21"/>
      <c r="I62" s="41">
        <f>SUM(I46:I61)</f>
        <v>31916161</v>
      </c>
      <c r="J62" s="21"/>
      <c r="K62" s="41">
        <f>SUM(K46:K61)</f>
        <v>33102392</v>
      </c>
      <c r="L62" s="37"/>
      <c r="M62" s="41">
        <f>SUM(M46:M61)</f>
        <v>33141632</v>
      </c>
      <c r="N62" s="21"/>
      <c r="O62" s="41">
        <f>SUM(O46:O61)</f>
        <v>36261406</v>
      </c>
      <c r="P62" s="21"/>
      <c r="Q62" s="41">
        <f>SUM(Q46:Q61)</f>
        <v>37856318.6223546</v>
      </c>
      <c r="R62" s="21"/>
      <c r="S62" s="41">
        <f>SUM(S46:S61)</f>
        <v>38991518.39719051</v>
      </c>
      <c r="T62" s="21"/>
      <c r="U62" s="7">
        <f>SUM(U46:U61)</f>
        <v>40211452.643244</v>
      </c>
    </row>
    <row r="63" spans="3:21" ht="12.75" customHeight="1">
      <c r="C63" s="41"/>
      <c r="D63" s="19"/>
      <c r="E63" s="41"/>
      <c r="F63" s="19"/>
      <c r="G63" s="41"/>
      <c r="H63" s="19"/>
      <c r="I63" s="41"/>
      <c r="J63" s="19"/>
      <c r="K63" s="41"/>
      <c r="L63" s="19"/>
      <c r="M63" s="41"/>
      <c r="N63" s="19"/>
      <c r="O63" s="41"/>
      <c r="P63" s="19"/>
      <c r="Q63" s="41"/>
      <c r="R63" s="19"/>
      <c r="S63" s="41"/>
      <c r="T63" s="19"/>
      <c r="U63" s="7"/>
    </row>
    <row r="64" spans="1:21" ht="15.75">
      <c r="A64" s="1" t="s">
        <v>60</v>
      </c>
      <c r="C64" s="42">
        <f>C43-C62</f>
        <v>344240</v>
      </c>
      <c r="D64" s="42"/>
      <c r="E64" s="42">
        <f>E43-E62</f>
        <v>954992</v>
      </c>
      <c r="F64" s="42"/>
      <c r="G64" s="42">
        <f>G43-G62</f>
        <v>-185288</v>
      </c>
      <c r="H64" s="42"/>
      <c r="I64" s="42">
        <f>I43-I62</f>
        <v>1631598</v>
      </c>
      <c r="J64" s="43"/>
      <c r="K64" s="42">
        <f>K43-K62</f>
        <v>2277429</v>
      </c>
      <c r="L64" s="43"/>
      <c r="M64" s="42">
        <f>M43-M62</f>
        <v>677496</v>
      </c>
      <c r="N64" s="42"/>
      <c r="O64" s="42">
        <f>O43-O62</f>
        <v>647715</v>
      </c>
      <c r="P64" s="42"/>
      <c r="Q64" s="42">
        <f>Q43-Q62</f>
        <v>695537.3776454031</v>
      </c>
      <c r="R64" s="42"/>
      <c r="S64" s="42">
        <f>S43-S62</f>
        <v>907636.6028094888</v>
      </c>
      <c r="T64" s="43"/>
      <c r="U64" s="42">
        <f>U43-U62</f>
        <v>1167607.3567560017</v>
      </c>
    </row>
    <row r="65" spans="3:21" ht="12.75" customHeight="1">
      <c r="C65" s="44"/>
      <c r="D65" s="19"/>
      <c r="E65" s="44"/>
      <c r="F65" s="19"/>
      <c r="G65" s="44"/>
      <c r="H65" s="19"/>
      <c r="I65" s="44"/>
      <c r="J65" s="19"/>
      <c r="K65" s="44"/>
      <c r="L65" s="19"/>
      <c r="M65" s="44"/>
      <c r="N65" s="19"/>
      <c r="O65" s="44"/>
      <c r="P65" s="19"/>
      <c r="Q65" s="44"/>
      <c r="R65" s="19"/>
      <c r="S65" s="44"/>
      <c r="T65" s="19"/>
      <c r="U65" s="7"/>
    </row>
    <row r="66" spans="1:21" ht="16.5">
      <c r="A66" s="17" t="s">
        <v>61</v>
      </c>
      <c r="C66" s="22">
        <v>399804</v>
      </c>
      <c r="D66" s="21"/>
      <c r="E66" s="22">
        <f>425167</f>
        <v>425167</v>
      </c>
      <c r="F66" s="21"/>
      <c r="G66" s="22">
        <f>499461</f>
        <v>499461</v>
      </c>
      <c r="H66" s="21"/>
      <c r="I66" s="22">
        <f>494612</f>
        <v>494612</v>
      </c>
      <c r="J66" s="21"/>
      <c r="K66" s="22">
        <f>125370+371750</f>
        <v>497120</v>
      </c>
      <c r="L66" s="21"/>
      <c r="M66" s="22">
        <f>110000+242000</f>
        <v>352000</v>
      </c>
      <c r="N66" s="21"/>
      <c r="O66" s="22">
        <f>110000+242000</f>
        <v>352000</v>
      </c>
      <c r="P66" s="21"/>
      <c r="Q66" s="22">
        <f>110000+242000</f>
        <v>352000</v>
      </c>
      <c r="R66" s="21"/>
      <c r="S66" s="22">
        <f>110000+242000</f>
        <v>352000</v>
      </c>
      <c r="T66" s="21"/>
      <c r="U66" s="22">
        <f>110000+242000</f>
        <v>352000</v>
      </c>
    </row>
    <row r="67" spans="3:21" ht="12.75" customHeight="1">
      <c r="C67" s="44"/>
      <c r="D67" s="44"/>
      <c r="E67" s="44"/>
      <c r="F67" s="44"/>
      <c r="G67" s="44"/>
      <c r="H67" s="44"/>
      <c r="I67" s="44"/>
      <c r="K67" s="44"/>
      <c r="L67" s="19"/>
      <c r="M67" s="44"/>
      <c r="N67" s="44"/>
      <c r="O67" s="44"/>
      <c r="P67" s="44"/>
      <c r="Q67" s="44"/>
      <c r="R67" s="44"/>
      <c r="S67" s="44"/>
      <c r="U67" s="7"/>
    </row>
    <row r="68" spans="1:21" ht="15.75">
      <c r="A68" s="1" t="s">
        <v>62</v>
      </c>
      <c r="C68" s="45">
        <f>C64+C66</f>
        <v>744044</v>
      </c>
      <c r="E68" s="45">
        <f>E64+E66</f>
        <v>1380159</v>
      </c>
      <c r="G68" s="45">
        <f>G64+G66</f>
        <v>314173</v>
      </c>
      <c r="I68" s="45">
        <f>I64+I66</f>
        <v>2126210</v>
      </c>
      <c r="K68" s="45">
        <f>K64+K66</f>
        <v>2774549</v>
      </c>
      <c r="M68" s="45">
        <f>M64+M66</f>
        <v>1029496</v>
      </c>
      <c r="O68" s="45">
        <f>O64+O66</f>
        <v>999715</v>
      </c>
      <c r="Q68" s="45">
        <f>Q64+Q66</f>
        <v>1047537.3776454031</v>
      </c>
      <c r="S68" s="45">
        <f>S64+S66</f>
        <v>1259636.6028094888</v>
      </c>
      <c r="U68" s="45">
        <f>U64+U66</f>
        <v>1519607.3567560017</v>
      </c>
    </row>
    <row r="69" spans="3:21" ht="12.75" customHeight="1">
      <c r="C69" s="44"/>
      <c r="D69" s="44"/>
      <c r="E69" s="44"/>
      <c r="F69" s="44"/>
      <c r="G69" s="44"/>
      <c r="H69" s="44"/>
      <c r="I69" s="44"/>
      <c r="K69" s="44"/>
      <c r="L69" s="19"/>
      <c r="M69" s="44"/>
      <c r="N69" s="44"/>
      <c r="O69" s="44"/>
      <c r="P69" s="44"/>
      <c r="Q69" s="44"/>
      <c r="R69" s="44"/>
      <c r="S69" s="44"/>
      <c r="U69" s="7"/>
    </row>
    <row r="70" spans="1:21" ht="12.75" customHeight="1">
      <c r="A70" s="20"/>
      <c r="B70" s="7"/>
      <c r="C70" s="7"/>
      <c r="D70" s="7"/>
      <c r="E70" s="7"/>
      <c r="F70" s="7"/>
      <c r="G70" s="7"/>
      <c r="H70" s="7"/>
      <c r="I70" s="7"/>
      <c r="K70" s="7"/>
      <c r="L70" s="21"/>
      <c r="M70" s="24"/>
      <c r="N70" s="25"/>
      <c r="O70" s="24"/>
      <c r="P70" s="25"/>
      <c r="Q70" s="24"/>
      <c r="R70" s="25"/>
      <c r="S70" s="24"/>
      <c r="T70" s="25"/>
      <c r="U70" s="24"/>
    </row>
    <row r="71" spans="3:19" ht="12.75" customHeight="1">
      <c r="C71" s="18"/>
      <c r="D71" s="18"/>
      <c r="E71" s="18"/>
      <c r="F71" s="18"/>
      <c r="G71" s="18"/>
      <c r="H71" s="18"/>
      <c r="I71" s="18"/>
      <c r="K71" s="18"/>
      <c r="L71" s="19"/>
      <c r="M71" s="18"/>
      <c r="N71" s="18"/>
      <c r="O71" s="18"/>
      <c r="P71" s="18"/>
      <c r="Q71" s="18"/>
      <c r="R71" s="18"/>
      <c r="S71" s="18"/>
    </row>
    <row r="72" spans="1:19" s="47" customFormat="1" ht="15.75">
      <c r="A72" s="46" t="s">
        <v>63</v>
      </c>
      <c r="C72" s="48"/>
      <c r="D72" s="48"/>
      <c r="E72" s="48"/>
      <c r="F72" s="48"/>
      <c r="G72" s="48"/>
      <c r="H72" s="48"/>
      <c r="I72" s="48"/>
      <c r="K72" s="48"/>
      <c r="L72" s="49"/>
      <c r="M72" s="48"/>
      <c r="N72" s="48"/>
      <c r="O72" s="48"/>
      <c r="P72" s="48"/>
      <c r="Q72" s="48"/>
      <c r="R72" s="48"/>
      <c r="S72" s="48"/>
    </row>
    <row r="73" spans="1:19" s="47" customFormat="1" ht="15.75">
      <c r="A73" s="46" t="s">
        <v>64</v>
      </c>
      <c r="C73" s="48"/>
      <c r="D73" s="48"/>
      <c r="E73" s="48"/>
      <c r="F73" s="48"/>
      <c r="G73" s="48"/>
      <c r="H73" s="48"/>
      <c r="I73" s="48"/>
      <c r="K73" s="48"/>
      <c r="L73" s="49"/>
      <c r="M73" s="48"/>
      <c r="N73" s="48"/>
      <c r="O73" s="48"/>
      <c r="P73" s="48"/>
      <c r="Q73" s="48"/>
      <c r="R73" s="48"/>
      <c r="S73" s="48"/>
    </row>
    <row r="74" spans="1:19" s="47" customFormat="1" ht="15.75">
      <c r="A74" s="46" t="s">
        <v>65</v>
      </c>
      <c r="C74" s="48"/>
      <c r="D74" s="48"/>
      <c r="E74" s="48"/>
      <c r="F74" s="48"/>
      <c r="G74" s="48"/>
      <c r="H74" s="48"/>
      <c r="I74" s="48"/>
      <c r="K74" s="48"/>
      <c r="L74" s="49"/>
      <c r="M74" s="48"/>
      <c r="N74" s="48"/>
      <c r="O74" s="48"/>
      <c r="P74" s="48"/>
      <c r="Q74" s="48"/>
      <c r="R74" s="48"/>
      <c r="S74" s="48"/>
    </row>
    <row r="75" spans="1:21" s="47" customFormat="1" ht="15.75">
      <c r="A75" s="50" t="s">
        <v>66</v>
      </c>
      <c r="B75" s="51"/>
      <c r="C75" s="52"/>
      <c r="D75" s="52"/>
      <c r="E75" s="52"/>
      <c r="F75" s="52"/>
      <c r="G75" s="52"/>
      <c r="H75" s="52"/>
      <c r="I75" s="52"/>
      <c r="K75" s="52"/>
      <c r="L75" s="53"/>
      <c r="M75" s="52">
        <f>(M68+M60+M61)/(M60+M61)</f>
        <v>1.8919903375280291</v>
      </c>
      <c r="N75" s="52"/>
      <c r="O75" s="52">
        <f>(O68+O60+O61)/(O60+O61)</f>
        <v>1.314817619823041</v>
      </c>
      <c r="P75" s="52"/>
      <c r="Q75" s="52">
        <f>(Q68+Q60+Q61)/(Q60+Q61)</f>
        <v>1.3092871643307051</v>
      </c>
      <c r="R75" s="52"/>
      <c r="S75" s="52">
        <f>(S68+S60+S61)/(S60+S61)</f>
        <v>1.374443962061299</v>
      </c>
      <c r="T75" s="52"/>
      <c r="U75" s="52">
        <f>(U68+U60+U61)/(U60+U61)</f>
        <v>1.454972943599018</v>
      </c>
    </row>
    <row r="76" spans="1:21" s="47" customFormat="1" ht="15.75">
      <c r="A76" s="50" t="s">
        <v>67</v>
      </c>
      <c r="B76" s="51"/>
      <c r="C76" s="52"/>
      <c r="D76" s="52"/>
      <c r="E76" s="52"/>
      <c r="F76" s="52"/>
      <c r="G76" s="52"/>
      <c r="H76" s="52"/>
      <c r="I76" s="52"/>
      <c r="K76" s="52"/>
      <c r="L76" s="53"/>
      <c r="M76" s="52"/>
      <c r="N76" s="52"/>
      <c r="O76" s="52">
        <f>(O68+O60+O61)/(O28+1063400)</f>
        <v>1.2312422351639842</v>
      </c>
      <c r="P76" s="52"/>
      <c r="Q76" s="52">
        <f>(Q68+Q60+Q61)/(Q28+1063400)</f>
        <v>1.3076856365743874</v>
      </c>
      <c r="R76" s="52"/>
      <c r="S76" s="52">
        <f>(S68+S60+S61)/(S28+1063400)</f>
        <v>1.3746437828143316</v>
      </c>
      <c r="T76" s="52"/>
      <c r="U76" s="52">
        <f>(U68+U60+U61)/(U28+1063400)</f>
        <v>1.4567052915270673</v>
      </c>
    </row>
    <row r="77" spans="2:19" ht="12.75" customHeight="1">
      <c r="B77" s="18"/>
      <c r="C77" s="18"/>
      <c r="D77" s="18"/>
      <c r="E77" s="18"/>
      <c r="F77" s="18"/>
      <c r="G77" s="18"/>
      <c r="H77" s="18"/>
      <c r="I77" s="18"/>
      <c r="K77" s="18"/>
      <c r="L77" s="19"/>
      <c r="M77" s="18"/>
      <c r="N77" s="18"/>
      <c r="O77" s="18"/>
      <c r="P77" s="18"/>
      <c r="Q77" s="18"/>
      <c r="R77" s="18"/>
      <c r="S77" s="18"/>
    </row>
    <row r="78" ht="12.75" customHeight="1">
      <c r="L78" s="54"/>
    </row>
    <row r="79" spans="1:12" s="56" customFormat="1" ht="14.25">
      <c r="A79" s="55" t="s">
        <v>68</v>
      </c>
      <c r="L79" s="57"/>
    </row>
    <row r="80" spans="1:12" s="56" customFormat="1" ht="14.25">
      <c r="A80" s="55" t="s">
        <v>69</v>
      </c>
      <c r="L80" s="57"/>
    </row>
    <row r="81" spans="1:12" s="56" customFormat="1" ht="14.25">
      <c r="A81" s="55" t="s">
        <v>70</v>
      </c>
      <c r="L81" s="57"/>
    </row>
    <row r="82" spans="1:12" s="56" customFormat="1" ht="14.25">
      <c r="A82" s="55" t="s">
        <v>71</v>
      </c>
      <c r="L82" s="57"/>
    </row>
    <row r="83" spans="1:12" s="56" customFormat="1" ht="14.25">
      <c r="A83" s="55" t="s">
        <v>72</v>
      </c>
      <c r="L83" s="57"/>
    </row>
    <row r="84" spans="1:12" s="56" customFormat="1" ht="14.25">
      <c r="A84" s="55" t="s">
        <v>73</v>
      </c>
      <c r="L84" s="57"/>
    </row>
    <row r="85" spans="1:12" s="56" customFormat="1" ht="14.25">
      <c r="A85" s="55" t="s">
        <v>74</v>
      </c>
      <c r="L85" s="57"/>
    </row>
    <row r="86" spans="1:12" s="56" customFormat="1" ht="14.25">
      <c r="A86" s="55" t="s">
        <v>75</v>
      </c>
      <c r="L86" s="57"/>
    </row>
    <row r="87" spans="1:12" s="56" customFormat="1" ht="14.25">
      <c r="A87" s="55" t="s">
        <v>76</v>
      </c>
      <c r="L87" s="57"/>
    </row>
    <row r="88" spans="1:12" s="56" customFormat="1" ht="14.25">
      <c r="A88" s="55" t="s">
        <v>77</v>
      </c>
      <c r="L88" s="57"/>
    </row>
    <row r="89" spans="1:12" s="56" customFormat="1" ht="14.25">
      <c r="A89" s="55" t="s">
        <v>78</v>
      </c>
      <c r="L89" s="57"/>
    </row>
  </sheetData>
  <sheetProtection/>
  <mergeCells count="7">
    <mergeCell ref="M8:U8"/>
    <mergeCell ref="C8:K8"/>
    <mergeCell ref="B1:T1"/>
    <mergeCell ref="B4:T4"/>
    <mergeCell ref="B5:T5"/>
    <mergeCell ref="B3:T3"/>
    <mergeCell ref="B2:T2"/>
  </mergeCells>
  <printOptions verticalCentered="1"/>
  <pageMargins left="0.25" right="0" top="0.5" bottom="0.5" header="0.5" footer="0.5"/>
  <pageSetup fitToHeight="1" fitToWidth="1"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sstapleton</dc:creator>
  <cp:keywords/>
  <dc:description/>
  <cp:lastModifiedBy>sstapleton</cp:lastModifiedBy>
  <cp:lastPrinted>2009-11-16T18:27:37Z</cp:lastPrinted>
  <dcterms:created xsi:type="dcterms:W3CDTF">2009-11-13T21:41:38Z</dcterms:created>
  <dcterms:modified xsi:type="dcterms:W3CDTF">2009-11-16T18:32:33Z</dcterms:modified>
  <cp:category/>
  <cp:version/>
  <cp:contentType/>
  <cp:contentStatus/>
</cp:coreProperties>
</file>