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40" windowHeight="7320" tabRatio="663" firstSheet="7" activeTab="7"/>
  </bookViews>
  <sheets>
    <sheet name="No of Beds" sheetId="1" state="hidden" r:id="rId1"/>
    <sheet name="Trends - Linda's Data" sheetId="2" state="hidden" r:id="rId2"/>
    <sheet name="What Ifs" sheetId="3" state="hidden" r:id="rId3"/>
    <sheet name="Bond Pymt Fixed-30 Year" sheetId="4" state="hidden" r:id="rId4"/>
    <sheet name="Bond Pymt Ext - Var" sheetId="5" state="hidden" r:id="rId5"/>
    <sheet name="E Bldg Estimates" sheetId="6" state="hidden" r:id="rId6"/>
    <sheet name="New Bond Lead" sheetId="7" state="hidden" r:id="rId7"/>
    <sheet name="Hist&amp;Proj Debt Service-30 Year" sheetId="8" r:id="rId8"/>
    <sheet name="Hist&amp;Proj - Var" sheetId="9" state="hidden" r:id="rId9"/>
    <sheet name="Sheet1" sheetId="10" state="hidden" r:id="rId10"/>
  </sheets>
  <externalReferences>
    <externalReference r:id="rId13"/>
  </externalReferences>
  <definedNames>
    <definedName name="_xlnm.Print_Area" localSheetId="3">'Bond Pymt Fixed-30 Year'!$A$1:$G$45</definedName>
    <definedName name="_xlnm.Print_Area" localSheetId="7">'Hist&amp;Proj Debt Service-30 Year'!$A$1:$K$44</definedName>
    <definedName name="_xlnm.Print_Area" localSheetId="0">'No of Beds'!$A$1:$J$36</definedName>
    <definedName name="_xlnm.Print_Area" localSheetId="1">'Trends - Linda''s Data'!$A$1:$N$98</definedName>
    <definedName name="_xlnm.Print_Area" localSheetId="2">'What Ifs'!$A$1:$M$135</definedName>
  </definedNames>
  <calcPr fullCalcOnLoad="1"/>
</workbook>
</file>

<file path=xl/comments6.xml><?xml version="1.0" encoding="utf-8"?>
<comments xmlns="http://schemas.openxmlformats.org/spreadsheetml/2006/main">
  <authors>
    <author>Spalding University</author>
  </authors>
  <commentList>
    <comment ref="C81" authorId="0">
      <text>
        <r>
          <rPr>
            <b/>
            <sz val="8"/>
            <rFont val="Tahoma"/>
            <family val="2"/>
          </rPr>
          <t>University of West Florida: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Insert amount requested directly into this cell.</t>
        </r>
      </text>
    </comment>
  </commentList>
</comments>
</file>

<file path=xl/sharedStrings.xml><?xml version="1.0" encoding="utf-8"?>
<sst xmlns="http://schemas.openxmlformats.org/spreadsheetml/2006/main" count="544" uniqueCount="403">
  <si>
    <t>Current Buildings</t>
  </si>
  <si>
    <t>Number of Rooms</t>
  </si>
  <si>
    <t>Argo</t>
  </si>
  <si>
    <t>Martin</t>
  </si>
  <si>
    <t>Pace</t>
  </si>
  <si>
    <t xml:space="preserve">Village </t>
  </si>
  <si>
    <t>Southside</t>
  </si>
  <si>
    <t>Number of Beds</t>
  </si>
  <si>
    <t>East-2 BR</t>
  </si>
  <si>
    <t>4 BR</t>
  </si>
  <si>
    <t>West-2 BR</t>
  </si>
  <si>
    <t>Totals</t>
  </si>
  <si>
    <t>Number of Billable Beds (no triples)</t>
  </si>
  <si>
    <t>With Triples (2008-2009)</t>
  </si>
  <si>
    <t>Students in Housing</t>
  </si>
  <si>
    <t>Percentage</t>
  </si>
  <si>
    <t>Number of Students</t>
  </si>
  <si>
    <t>2008-2009</t>
  </si>
  <si>
    <t>2009-2010</t>
  </si>
  <si>
    <t>2010-2011</t>
  </si>
  <si>
    <t>2011-2012</t>
  </si>
  <si>
    <t>Number of Students in Housing</t>
  </si>
  <si>
    <t>2012-2013</t>
  </si>
  <si>
    <t>2013-2014</t>
  </si>
  <si>
    <t>2007-2008</t>
  </si>
  <si>
    <t>If require freshman to live on campus - 75%</t>
  </si>
  <si>
    <t>Number of Freshmen in Housing - Current Trend is 55%</t>
  </si>
  <si>
    <t>South Side Units - billable beds</t>
  </si>
  <si>
    <t>Total Revenue from Southside units - singles</t>
  </si>
  <si>
    <t xml:space="preserve">                                                                           - doubles</t>
  </si>
  <si>
    <t xml:space="preserve">   Administrative Fees</t>
  </si>
  <si>
    <t xml:space="preserve">   Capital Expenses</t>
  </si>
  <si>
    <t xml:space="preserve">   Communications &amp; Transmissions</t>
  </si>
  <si>
    <t xml:space="preserve">   Contracted Services</t>
  </si>
  <si>
    <t xml:space="preserve">   Furniture &amp; Appliance Inventory R&amp;M</t>
  </si>
  <si>
    <t xml:space="preserve">   Insurance</t>
  </si>
  <si>
    <t xml:space="preserve">   Maintenance &amp; Custodial Supplies</t>
  </si>
  <si>
    <t xml:space="preserve">   Office Supplies</t>
  </si>
  <si>
    <t xml:space="preserve">   Travel</t>
  </si>
  <si>
    <t xml:space="preserve">   Utilities</t>
  </si>
  <si>
    <t xml:space="preserve">   Residence Life </t>
  </si>
  <si>
    <t>South Side Units = 23% billable beds</t>
  </si>
  <si>
    <t>Location</t>
  </si>
  <si>
    <t>Pensacola</t>
  </si>
  <si>
    <t>Non-Deg</t>
  </si>
  <si>
    <t>Undergrad</t>
  </si>
  <si>
    <t xml:space="preserve">Grad </t>
  </si>
  <si>
    <t>Total</t>
  </si>
  <si>
    <t>Pensacola Area</t>
  </si>
  <si>
    <t>Pensacola, Pensacola Area</t>
  </si>
  <si>
    <t>Pensacola, Pensacola Area, Online Campus</t>
  </si>
  <si>
    <t>Online Campus</t>
  </si>
  <si>
    <t>Pensacola Area,  Online Campus</t>
  </si>
  <si>
    <t>Pensacola, Online Campus</t>
  </si>
  <si>
    <t>Eglin, Online Campus</t>
  </si>
  <si>
    <t>Fort Walton Beach (FWB), Eglin, Online Campus</t>
  </si>
  <si>
    <t>FWB Area, Online Campus</t>
  </si>
  <si>
    <t>FWB Campus, Eglin, Online Campus</t>
  </si>
  <si>
    <t>FWB Campus, FWB Area, Online Campus</t>
  </si>
  <si>
    <t>FWB Campus, Online Campus</t>
  </si>
  <si>
    <t>Pensacola Area, FWB Campus, Online Campus</t>
  </si>
  <si>
    <t>Pensacola Area, FWB Area, Online Campus</t>
  </si>
  <si>
    <t>Unduplicated Headcount by Locations (RR963R02)</t>
  </si>
  <si>
    <t>Pensacola, FWB Campus, Online Campus</t>
  </si>
  <si>
    <t>Pensacola, FWB Campus, FWB Area, Online Campus</t>
  </si>
  <si>
    <t>Pensacola, Eglin, Online Campus</t>
  </si>
  <si>
    <t>Pensacola, FWB Area, Eglin, Online Campus</t>
  </si>
  <si>
    <t>Pensacola, FWB Area, Online Campus</t>
  </si>
  <si>
    <t>FWB Area</t>
  </si>
  <si>
    <t>FWB Campus</t>
  </si>
  <si>
    <t>FWB Campus, FWB Area</t>
  </si>
  <si>
    <t>Pensacola Area, FWB Area</t>
  </si>
  <si>
    <t>Pensacola Area, FWB Campus</t>
  </si>
  <si>
    <t>Pensacola, FWB Area</t>
  </si>
  <si>
    <t>Pensacola, FWB Campus</t>
  </si>
  <si>
    <t>Pensacola, FWB Campus, FWB Area</t>
  </si>
  <si>
    <t>Pensacola, Pensacola Area, FWB Area</t>
  </si>
  <si>
    <t>Eglin</t>
  </si>
  <si>
    <t>FWB Area, Eglin</t>
  </si>
  <si>
    <t>FWB Campus, Eglin</t>
  </si>
  <si>
    <t>Pensacola, Eglin</t>
  </si>
  <si>
    <t>Pensacola, FWB Area, Eglin</t>
  </si>
  <si>
    <t>Pensacola, FWB Campus, Eglin</t>
  </si>
  <si>
    <t>Total Students FWB</t>
  </si>
  <si>
    <t>Total Students Eglin</t>
  </si>
  <si>
    <t>Total Pensacola Online Campus</t>
  </si>
  <si>
    <t>Total FWB Online Campus</t>
  </si>
  <si>
    <t>Total Eglin Online Campus</t>
  </si>
  <si>
    <t>Total Students, Pensacola</t>
  </si>
  <si>
    <t>Total Online Students</t>
  </si>
  <si>
    <t>Total On-Campus Students</t>
  </si>
  <si>
    <t>Total Pensacola Students, Online and On-Campus</t>
  </si>
  <si>
    <t>Total FWB Students, Online and On-Campus</t>
  </si>
  <si>
    <t>Total Eglin Students, Online and On-Campus</t>
  </si>
  <si>
    <t>Total Students from all Locations</t>
  </si>
  <si>
    <t>Southside Units</t>
  </si>
  <si>
    <t>Buildings 26-29 - Doubles</t>
  </si>
  <si>
    <t>Rate</t>
  </si>
  <si>
    <t>Beds</t>
  </si>
  <si>
    <t>Buildings 30-31 (4 from bldg 29) - Singles</t>
  </si>
  <si>
    <t>Semester Revenues</t>
  </si>
  <si>
    <t>Annual Revenues</t>
  </si>
  <si>
    <t>Total Revenue from Southside units - per semester</t>
  </si>
  <si>
    <t>New Building Requirements - number of beds</t>
  </si>
  <si>
    <t>Student Resident Trends</t>
  </si>
  <si>
    <t>First Term at UWF</t>
  </si>
  <si>
    <t>First Term Freshman</t>
  </si>
  <si>
    <t>Residency - In-State</t>
  </si>
  <si>
    <t xml:space="preserve">                         Out-of-State</t>
  </si>
  <si>
    <t xml:space="preserve">                         Out-of-Country</t>
  </si>
  <si>
    <t>Transfer Students - Total</t>
  </si>
  <si>
    <t xml:space="preserve">                                        From Florida Schools</t>
  </si>
  <si>
    <t>Financial Aid</t>
  </si>
  <si>
    <t>Florida Prepaid College</t>
  </si>
  <si>
    <t xml:space="preserve">     Freshman</t>
  </si>
  <si>
    <t xml:space="preserve">     Sophomore</t>
  </si>
  <si>
    <t xml:space="preserve">     Junior</t>
  </si>
  <si>
    <t xml:space="preserve">     Senior</t>
  </si>
  <si>
    <t>Fall 2005</t>
  </si>
  <si>
    <t>Fall 2006</t>
  </si>
  <si>
    <t>Spr 2006</t>
  </si>
  <si>
    <t>Spr 2005</t>
  </si>
  <si>
    <t>Fall 2007</t>
  </si>
  <si>
    <t>Spr 2007</t>
  </si>
  <si>
    <t>Fall 2008</t>
  </si>
  <si>
    <t>Spr 2008</t>
  </si>
  <si>
    <t xml:space="preserve">Buildings 33-35 - Singles (sororities/fraternities) </t>
  </si>
  <si>
    <t>Buildings by Library</t>
  </si>
  <si>
    <t>Building NE of Commons - 6 buildings</t>
  </si>
  <si>
    <t>Building South of Commons</t>
  </si>
  <si>
    <t>Buildings 23-25 - Doubles</t>
  </si>
  <si>
    <t>Buildings by Hopkins Hall</t>
  </si>
  <si>
    <t>Buildings 14-16 - Doubles</t>
  </si>
  <si>
    <t xml:space="preserve">   Salaries - Staff </t>
  </si>
  <si>
    <t xml:space="preserve">   Salaries - OPS</t>
  </si>
  <si>
    <t>Total annual South Side Revenues</t>
  </si>
  <si>
    <t>Total expenses attributable to SS units</t>
  </si>
  <si>
    <r>
      <t xml:space="preserve">Housing Expenditures </t>
    </r>
    <r>
      <rPr>
        <sz val="11"/>
        <rFont val="Calibri"/>
        <family val="2"/>
      </rPr>
      <t xml:space="preserve"> (not including Dep and Amort)</t>
    </r>
  </si>
  <si>
    <t>Amount that goes toward debt and summer projects</t>
  </si>
  <si>
    <t>Revenues for Other Buildings</t>
  </si>
  <si>
    <t>Village East - 2 BR</t>
  </si>
  <si>
    <t xml:space="preserve">                         - 4 BR</t>
  </si>
  <si>
    <t>Village West - 2 BR</t>
  </si>
  <si>
    <t xml:space="preserve">                           - 4BR</t>
  </si>
  <si>
    <t>Other Buildings - Total Beds</t>
  </si>
  <si>
    <t>Argo/Martin/Pace Triples</t>
  </si>
  <si>
    <t xml:space="preserve">                                      Interest Payment</t>
  </si>
  <si>
    <t xml:space="preserve">  Total Bond Payments</t>
  </si>
  <si>
    <t>Total Expenses</t>
  </si>
  <si>
    <t>Total Revenue from Southside units - per year (99% &amp; 85%)</t>
  </si>
  <si>
    <t>Other Income</t>
  </si>
  <si>
    <t xml:space="preserve">   Summer Rents</t>
  </si>
  <si>
    <t xml:space="preserve">   Conference Income</t>
  </si>
  <si>
    <t xml:space="preserve">   Commissions Revenue</t>
  </si>
  <si>
    <t xml:space="preserve">   Misc. (late fees, damage, lock outs, lost keys, etc)</t>
  </si>
  <si>
    <t xml:space="preserve">   Interest Income</t>
  </si>
  <si>
    <t>Total from Rent Revenues, including South Side - Annual</t>
  </si>
  <si>
    <t>Total Other Income</t>
  </si>
  <si>
    <t>Total Housing Income</t>
  </si>
  <si>
    <t>Total Expenses (not including Dep and Amort)</t>
  </si>
  <si>
    <t>Total Revenue</t>
  </si>
  <si>
    <t>Net Income</t>
  </si>
  <si>
    <t>Annual R&amp;M Requirement</t>
  </si>
  <si>
    <t xml:space="preserve">   Interest on Defeasance</t>
  </si>
  <si>
    <t xml:space="preserve">Summer Projects </t>
  </si>
  <si>
    <t>Operating Reserve Requirement</t>
  </si>
  <si>
    <t>Cash to Long Term Savings (new building)</t>
  </si>
  <si>
    <t>Total Revenues</t>
  </si>
  <si>
    <t>Total Net Income</t>
  </si>
  <si>
    <t>Debt Ratio</t>
  </si>
  <si>
    <t>Remove 6 Southside Buildings - 26-31</t>
  </si>
  <si>
    <t>Remove 3 Southside Buildings - 23-25</t>
  </si>
  <si>
    <t>Remove 3 Southside Buildings - 33-35</t>
  </si>
  <si>
    <t>Remove 6 Buildings - 26-31</t>
  </si>
  <si>
    <t>Remove 3 Buildings - 23-25</t>
  </si>
  <si>
    <t>Remove 3 Buildings - 33-35</t>
  </si>
  <si>
    <t>2014-2015</t>
  </si>
  <si>
    <t>2015-2016</t>
  </si>
  <si>
    <t>2016-2017</t>
  </si>
  <si>
    <t>2017-2018</t>
  </si>
  <si>
    <t>Remove 9 Southside Buildings - 26-31 &amp; 23-25</t>
  </si>
  <si>
    <t>Remove 12 Southside Buildings - 26-31 &amp; 23-25 &amp; 33-35</t>
  </si>
  <si>
    <t xml:space="preserve">Number of Students on Pensacola Campus </t>
  </si>
  <si>
    <t>Percentage Growth</t>
  </si>
  <si>
    <t xml:space="preserve">Growth Per Year </t>
  </si>
  <si>
    <t>Total Expenses, less debt, dep and amort.</t>
  </si>
  <si>
    <t>Total Pensacola Students</t>
  </si>
  <si>
    <t>Current Enrollment - UWF all campuses</t>
  </si>
  <si>
    <t>Pensacola Students, (Unduplicated Headcount - RR963R02)</t>
  </si>
  <si>
    <t>For"What If" scenarios place a 1 in the column/row to subtract</t>
  </si>
  <si>
    <t xml:space="preserve">Number in Housing </t>
  </si>
  <si>
    <t>New Building revenues beginning in 2010</t>
  </si>
  <si>
    <t>Bond Estimator</t>
  </si>
  <si>
    <t>Cost</t>
  </si>
  <si>
    <t>Payment from Reserve</t>
  </si>
  <si>
    <t>Amount</t>
  </si>
  <si>
    <t>Interest</t>
  </si>
  <si>
    <t>COI</t>
  </si>
  <si>
    <t>Years</t>
  </si>
  <si>
    <t>Payment Calculator</t>
  </si>
  <si>
    <t>Year</t>
  </si>
  <si>
    <t>Due</t>
  </si>
  <si>
    <t>Principal</t>
  </si>
  <si>
    <t>Balance</t>
  </si>
  <si>
    <t>Total Annual Payment</t>
  </si>
  <si>
    <t>* Change assumptions in highlighted boxes for new Payment amount.</t>
  </si>
  <si>
    <t>Department of Housing and Residence Life</t>
  </si>
  <si>
    <t>2010-2011 Rental Revenue Projection</t>
  </si>
  <si>
    <t>New Revenue</t>
  </si>
  <si>
    <t>Old Revenue</t>
  </si>
  <si>
    <t>Added Revenue</t>
  </si>
  <si>
    <t>Added Expenses</t>
  </si>
  <si>
    <t>Net additional revenue</t>
  </si>
  <si>
    <t>Based On 100%</t>
  </si>
  <si>
    <t>Occupancy</t>
  </si>
  <si>
    <t>More Realistic</t>
  </si>
  <si>
    <t>Billable</t>
  </si>
  <si>
    <t>Per</t>
  </si>
  <si>
    <t>Revenue</t>
  </si>
  <si>
    <t>Accommodation</t>
  </si>
  <si>
    <t>Semester</t>
  </si>
  <si>
    <t>Per Semester</t>
  </si>
  <si>
    <t>Southside Village Single</t>
  </si>
  <si>
    <t>Southside Village Double</t>
  </si>
  <si>
    <t>Martin Hall Double</t>
  </si>
  <si>
    <t>Pace Hall Double</t>
  </si>
  <si>
    <t>Argo Hall Double</t>
  </si>
  <si>
    <t>Village East 4-Bedroom</t>
  </si>
  <si>
    <t>Village East 2-Bedroom</t>
  </si>
  <si>
    <t>Village West 4-Bedroom</t>
  </si>
  <si>
    <t>Village West 2-Bedroom</t>
  </si>
  <si>
    <t>E-Building - Doubles</t>
  </si>
  <si>
    <t>E-Building - Singles</t>
  </si>
  <si>
    <t>Total Fall 09 Revenue</t>
  </si>
  <si>
    <t>Total Spring 10 Revenue</t>
  </si>
  <si>
    <t>based on # of beds</t>
  </si>
  <si>
    <t>Total Revenue Academic Year</t>
  </si>
  <si>
    <t>based on 1/2 estimated</t>
  </si>
  <si>
    <t>Position</t>
  </si>
  <si>
    <t>Staff</t>
  </si>
  <si>
    <t>FY 2009-2010</t>
  </si>
  <si>
    <t>FY 09-10</t>
  </si>
  <si>
    <t>FY 08-09</t>
  </si>
  <si>
    <t>(salary only)</t>
  </si>
  <si>
    <t>Fringe</t>
  </si>
  <si>
    <t>35% of salary</t>
  </si>
  <si>
    <t>Maintenance Mechanic</t>
  </si>
  <si>
    <t>Grads/Ras:</t>
  </si>
  <si>
    <t># Employees</t>
  </si>
  <si>
    <t>Yr. Salary</t>
  </si>
  <si>
    <t>Resident Assistants</t>
  </si>
  <si>
    <t>Graduate Hall Directors</t>
  </si>
  <si>
    <t>Total Ras, Grads</t>
  </si>
  <si>
    <t>Area Desks:</t>
  </si>
  <si>
    <t>Hrs/Wk</t>
  </si>
  <si>
    <t>Weeks</t>
  </si>
  <si>
    <t>Total Hrs.</t>
  </si>
  <si>
    <t>Area Office Managers</t>
  </si>
  <si>
    <t>Area Office</t>
  </si>
  <si>
    <t>Total Desk Workers</t>
  </si>
  <si>
    <t>Total OPS Salaries</t>
  </si>
  <si>
    <t>Add FICA 7.65%</t>
  </si>
  <si>
    <t>Total Salary Expense</t>
  </si>
  <si>
    <t>Other Expenditures</t>
  </si>
  <si>
    <t>Monthly</t>
  </si>
  <si>
    <t>one time</t>
  </si>
  <si>
    <t>Capital Expenses</t>
  </si>
  <si>
    <t>Communications &amp; Transmissions</t>
  </si>
  <si>
    <t>Contracted Services</t>
  </si>
  <si>
    <t>Furniture &amp; Appliance Inventory R&amp;M</t>
  </si>
  <si>
    <t>HD &amp; RA Programming</t>
  </si>
  <si>
    <t>Insurance</t>
  </si>
  <si>
    <t>Maintenance &amp; Custodial Supplies</t>
  </si>
  <si>
    <t>Office Supplies</t>
  </si>
  <si>
    <t>Residence Life Programming</t>
  </si>
  <si>
    <t>Staff Training</t>
  </si>
  <si>
    <t>Utilities</t>
  </si>
  <si>
    <t>Vehicles</t>
  </si>
  <si>
    <t xml:space="preserve">     Total Other Exp</t>
  </si>
  <si>
    <t>Total Salaries and Other Expenses</t>
  </si>
  <si>
    <t>New 300 Bed Facility added</t>
  </si>
  <si>
    <t>Rental Income based on indicated Occupancy:</t>
  </si>
  <si>
    <t>Building Design Engineer</t>
  </si>
  <si>
    <t>Total Occupancy</t>
  </si>
  <si>
    <t>Number of Freshmen - FTIC (grow 400 addition per year)</t>
  </si>
  <si>
    <t>Principle</t>
  </si>
  <si>
    <t>New Bond Payments - Total (from bond payment estimator)</t>
  </si>
  <si>
    <t xml:space="preserve">  Current Bond Payments - Principle</t>
  </si>
  <si>
    <t xml:space="preserve">Interest </t>
  </si>
  <si>
    <t>Bond payments with new facilities</t>
  </si>
  <si>
    <t>Data from Admissions</t>
  </si>
  <si>
    <t xml:space="preserve">   From Escambia County</t>
  </si>
  <si>
    <t xml:space="preserve">   From Santa Rosa County</t>
  </si>
  <si>
    <t xml:space="preserve">   From Okaloosa County</t>
  </si>
  <si>
    <t xml:space="preserve">   From Central Florida to Tallahassee</t>
  </si>
  <si>
    <t xml:space="preserve">   From Tallahassee West</t>
  </si>
  <si>
    <t xml:space="preserve">   From South Florida</t>
  </si>
  <si>
    <t xml:space="preserve">   Non-Florida</t>
  </si>
  <si>
    <t>Number Students</t>
  </si>
  <si>
    <t>FTIC Frsh</t>
  </si>
  <si>
    <t>Transfers</t>
  </si>
  <si>
    <t>Graduate</t>
  </si>
  <si>
    <t>FTIC</t>
  </si>
  <si>
    <t>Transfer</t>
  </si>
  <si>
    <t>Grad</t>
  </si>
  <si>
    <t xml:space="preserve">                         From Escambia/Santa Rosa</t>
  </si>
  <si>
    <t xml:space="preserve">                         From  Okaloosa</t>
  </si>
  <si>
    <t>Percentage of local students</t>
  </si>
  <si>
    <t>Fall 2003</t>
  </si>
  <si>
    <t>Fall 2004</t>
  </si>
  <si>
    <t>Year to Year Retention</t>
  </si>
  <si>
    <t>Percentage Occupancy - Fall</t>
  </si>
  <si>
    <t xml:space="preserve">                                                       - Spring</t>
  </si>
  <si>
    <t>Amortized over 5 years</t>
  </si>
  <si>
    <t>Target in 2010</t>
  </si>
  <si>
    <t>Percentage rental rate increase</t>
  </si>
  <si>
    <t>Fall 2009</t>
  </si>
  <si>
    <t>Fall 2010</t>
  </si>
  <si>
    <t>Fall 2011</t>
  </si>
  <si>
    <t>Fall 2012</t>
  </si>
  <si>
    <t>22% of Expenses - all South Side units</t>
  </si>
  <si>
    <t>New Housing, effects on debt ratio</t>
  </si>
  <si>
    <t>New Bond Payment 2011 - bond include first two payments</t>
  </si>
  <si>
    <t>Percentage Occupancy - With Private Developer - Fall</t>
  </si>
  <si>
    <t xml:space="preserve">                                                                                                                 - Spring</t>
  </si>
  <si>
    <t>Private Developer - 500 Bed Facility  (use 1 in column/row as above)</t>
  </si>
  <si>
    <t xml:space="preserve">        Special Student</t>
  </si>
  <si>
    <t xml:space="preserve">        Doctoral</t>
  </si>
  <si>
    <t xml:space="preserve">        Intensive English</t>
  </si>
  <si>
    <t xml:space="preserve">        Graduate</t>
  </si>
  <si>
    <t xml:space="preserve">    Other</t>
  </si>
  <si>
    <t>ANNUAL DEBT SERVICE REQUIREMENTS</t>
  </si>
  <si>
    <t>Fiscal Year Ending June 1</t>
  </si>
  <si>
    <t>1998 Principal</t>
  </si>
  <si>
    <t>1998 Interest</t>
  </si>
  <si>
    <t>Total 1998 Bonds</t>
  </si>
  <si>
    <t>1999 Principal</t>
  </si>
  <si>
    <t>1999 Interest</t>
  </si>
  <si>
    <t>Total 1999 Bonds Remaining in 2005 Series</t>
  </si>
  <si>
    <t>2002 Gulf Breeze Bond Interest</t>
  </si>
  <si>
    <t>Interest Paid from 2005 Defeasance for 1999 Bonds</t>
  </si>
  <si>
    <t xml:space="preserve">2005 Principal </t>
  </si>
  <si>
    <t>2005 Interest</t>
  </si>
  <si>
    <t>2005 Total</t>
  </si>
  <si>
    <t>2009 Principal</t>
  </si>
  <si>
    <t>2009 Interest</t>
  </si>
  <si>
    <t>2009 Total</t>
  </si>
  <si>
    <t>Total All Debt Service</t>
  </si>
  <si>
    <t>Annual Interest Paid</t>
  </si>
  <si>
    <t>Interest Payable Prior Year</t>
  </si>
  <si>
    <t>Current Year Accrual</t>
  </si>
  <si>
    <t>Dec 1  Payment</t>
  </si>
  <si>
    <t>June 1 Payment</t>
  </si>
  <si>
    <t>Historical and Projected Debt Service Coverage</t>
  </si>
  <si>
    <t>Revenues</t>
  </si>
  <si>
    <t>Rental Income</t>
  </si>
  <si>
    <t>Other</t>
  </si>
  <si>
    <t xml:space="preserve">   Total Revenues</t>
  </si>
  <si>
    <t>Expenses</t>
  </si>
  <si>
    <t>Salaries and Wages</t>
  </si>
  <si>
    <t>Administrative and General</t>
  </si>
  <si>
    <t>Maintenance and Repairs</t>
  </si>
  <si>
    <t>Other Expenses</t>
  </si>
  <si>
    <t>Bond Interest</t>
  </si>
  <si>
    <t xml:space="preserve">   Total Expenses</t>
  </si>
  <si>
    <t>Excess (Deficiency) of Rev. over Exp.</t>
  </si>
  <si>
    <t>Operating Expenses Before Debt Service</t>
  </si>
  <si>
    <t>Net Income Before Debt Service</t>
  </si>
  <si>
    <t>Debt Coverage Ratio</t>
  </si>
  <si>
    <t>Assumptions:</t>
  </si>
  <si>
    <t>Replacements</t>
  </si>
  <si>
    <t>UWF projects growth in student enrollment to be at 4% per year.</t>
  </si>
  <si>
    <t>Housing rental rates will increase at 5% per year.</t>
  </si>
  <si>
    <t>Most operating expenses are projected to increase at 5% per year, with the exception of utilities which are expected to grow at 10% per year.</t>
  </si>
  <si>
    <t xml:space="preserve">  (not current policy)</t>
  </si>
  <si>
    <t>Annual Revenues (99% and 95%)</t>
  </si>
  <si>
    <t>Total Bond payments with new facilities (adding revised 2009 total debt service pymt)</t>
  </si>
  <si>
    <t>Number of new beds required (forced 250)</t>
  </si>
  <si>
    <t>New Bond Payments - Total (from FA Calc)</t>
  </si>
  <si>
    <t>CAPI</t>
  </si>
  <si>
    <t>Debt Service</t>
  </si>
  <si>
    <t>Current Bond Principal Payment</t>
  </si>
  <si>
    <t>Current Bond Interest</t>
  </si>
  <si>
    <t>Interest Income - Debt service reserve and contruction fund</t>
  </si>
  <si>
    <t>New Bond Principal Payment</t>
  </si>
  <si>
    <t>New Bond Interest Payment</t>
  </si>
  <si>
    <t xml:space="preserve">Based on an increase of 250 beds for FY2011 and occupancy of 93% fof fall and 90% for spring of that year </t>
  </si>
  <si>
    <t>Debt principle and interest based on $15,000,000 with an average coupon rate of 6.7%</t>
  </si>
  <si>
    <t xml:space="preserve">FY Ending </t>
  </si>
  <si>
    <t>2010 - 2011  Salaries and Benefits Projection</t>
  </si>
  <si>
    <t>2010-2011 OPS Salaries Projection</t>
  </si>
  <si>
    <t xml:space="preserve">  Rental Income from New Building</t>
  </si>
  <si>
    <t xml:space="preserve">  Additional Expenses from New Building</t>
  </si>
  <si>
    <t>Most operating expenses are projected to increase at 5% per year, with the exception of utilities which are expected to grow at 12% per year.</t>
  </si>
  <si>
    <t>Based on an increase of 250 beds for FY2011 and occupancy of 93% for fall and 90% for spring of that year for the whole system, with a gradual growth to our current norm of 99% for fall and 93% for spring over the next three to five years</t>
  </si>
  <si>
    <t>FY Ending</t>
  </si>
  <si>
    <t>PB:D.M. 2-26-09 10.48AM</t>
  </si>
  <si>
    <t>UWF Housing System - Historical and Projected Debt Service Coverage</t>
  </si>
  <si>
    <t>Attachment II</t>
  </si>
  <si>
    <t xml:space="preserve">   (New Debt as 20 Year Bank Loan)</t>
  </si>
  <si>
    <t>New Loan Principal Payment</t>
  </si>
  <si>
    <t>New Loan Interest Payment</t>
  </si>
  <si>
    <t>Debt principle and interest based on $15,000,000 with an average coupon rate of 5.1%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</si>
</sst>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&quot;$&quot;#,##0.00"/>
    <numFmt numFmtId="167" formatCode="0.0%"/>
    <numFmt numFmtId="168" formatCode="_(&quot;$&quot;* #,##0.000_);_(&quot;$&quot;* \(#,##0.000\);_(&quot;$&quot;* &quot;-&quot;???_);_(@_)"/>
    <numFmt numFmtId="169" formatCode="[$-409]d\-mmm\-yy;@"/>
  </numFmts>
  <fonts count="45"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2"/>
      <name val="Palatino Linotype"/>
      <family val="1"/>
    </font>
    <font>
      <b/>
      <sz val="11"/>
      <name val="Palatino Linotype"/>
      <family val="1"/>
    </font>
    <font>
      <b/>
      <sz val="10"/>
      <name val="Palatino Linotype"/>
      <family val="1"/>
    </font>
    <font>
      <sz val="10"/>
      <color indexed="8"/>
      <name val="Palatino Linotype"/>
      <family val="1"/>
    </font>
    <font>
      <sz val="9"/>
      <color indexed="8"/>
      <name val="Palatino Linotype"/>
      <family val="1"/>
    </font>
    <font>
      <sz val="10"/>
      <name val="Palatino Linotype"/>
      <family val="1"/>
    </font>
    <font>
      <b/>
      <sz val="16"/>
      <name val="Palatino Linotype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u val="single"/>
      <sz val="11"/>
      <name val="Calibri"/>
      <family val="2"/>
    </font>
    <font>
      <b/>
      <u val="single"/>
      <sz val="11"/>
      <color indexed="8"/>
      <name val="Calibri"/>
      <family val="2"/>
    </font>
    <font>
      <sz val="18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thin"/>
      <right style="thin"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/>
    </xf>
    <xf numFmtId="0" fontId="0" fillId="0" borderId="10" xfId="0" applyBorder="1" applyAlignment="1">
      <alignment/>
    </xf>
    <xf numFmtId="10" fontId="0" fillId="0" borderId="0" xfId="0" applyNumberFormat="1" applyAlignment="1">
      <alignment/>
    </xf>
    <xf numFmtId="0" fontId="0" fillId="0" borderId="11" xfId="0" applyBorder="1" applyAlignment="1">
      <alignment/>
    </xf>
    <xf numFmtId="1" fontId="0" fillId="0" borderId="12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39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164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11" xfId="0" applyNumberFormat="1" applyFont="1" applyBorder="1" applyAlignment="1">
      <alignment/>
    </xf>
    <xf numFmtId="0" fontId="36" fillId="0" borderId="0" xfId="0" applyFont="1" applyFill="1" applyBorder="1" applyAlignment="1">
      <alignment/>
    </xf>
    <xf numFmtId="0" fontId="36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40" fillId="0" borderId="0" xfId="0" applyFont="1" applyFill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37" fillId="0" borderId="1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10" xfId="0" applyFont="1" applyFill="1" applyBorder="1" applyAlignment="1">
      <alignment/>
    </xf>
    <xf numFmtId="3" fontId="1" fillId="0" borderId="0" xfId="58" applyNumberFormat="1" applyFont="1" applyAlignment="1">
      <alignment horizontal="right"/>
      <protection/>
    </xf>
    <xf numFmtId="1" fontId="0" fillId="0" borderId="0" xfId="0" applyNumberFormat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4" xfId="0" applyNumberForma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1" fontId="0" fillId="6" borderId="15" xfId="0" applyNumberFormat="1" applyFill="1" applyBorder="1" applyAlignment="1">
      <alignment/>
    </xf>
    <xf numFmtId="9" fontId="0" fillId="0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43" fontId="0" fillId="0" borderId="0" xfId="45" applyFont="1" applyAlignment="1">
      <alignment/>
    </xf>
    <xf numFmtId="43" fontId="0" fillId="0" borderId="0" xfId="45" applyFont="1" applyAlignment="1">
      <alignment horizontal="center"/>
    </xf>
    <xf numFmtId="43" fontId="0" fillId="0" borderId="0" xfId="0" applyNumberFormat="1" applyAlignment="1">
      <alignment/>
    </xf>
    <xf numFmtId="43" fontId="0" fillId="0" borderId="11" xfId="0" applyNumberFormat="1" applyBorder="1" applyAlignment="1">
      <alignment/>
    </xf>
    <xf numFmtId="8" fontId="0" fillId="0" borderId="0" xfId="45" applyNumberFormat="1" applyFont="1" applyAlignment="1">
      <alignment/>
    </xf>
    <xf numFmtId="44" fontId="0" fillId="2" borderId="16" xfId="48" applyFont="1" applyFill="1" applyBorder="1" applyAlignment="1" applyProtection="1">
      <alignment/>
      <protection locked="0"/>
    </xf>
    <xf numFmtId="43" fontId="0" fillId="2" borderId="16" xfId="45" applyFont="1" applyFill="1" applyBorder="1" applyAlignment="1" applyProtection="1">
      <alignment/>
      <protection locked="0"/>
    </xf>
    <xf numFmtId="10" fontId="0" fillId="2" borderId="16" xfId="64" applyNumberFormat="1" applyFont="1" applyFill="1" applyBorder="1" applyAlignment="1" applyProtection="1">
      <alignment/>
      <protection locked="0"/>
    </xf>
    <xf numFmtId="165" fontId="0" fillId="2" borderId="17" xfId="45" applyNumberFormat="1" applyFont="1" applyFill="1" applyBorder="1" applyAlignment="1" applyProtection="1">
      <alignment/>
      <protection locked="0"/>
    </xf>
    <xf numFmtId="8" fontId="0" fillId="0" borderId="15" xfId="45" applyNumberFormat="1" applyFont="1" applyBorder="1" applyAlignment="1">
      <alignment/>
    </xf>
    <xf numFmtId="8" fontId="0" fillId="0" borderId="11" xfId="0" applyNumberFormat="1" applyBorder="1" applyAlignment="1">
      <alignment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wrapText="1"/>
      <protection locked="0"/>
    </xf>
    <xf numFmtId="4" fontId="2" fillId="0" borderId="0" xfId="0" applyNumberFormat="1" applyFont="1" applyAlignment="1" applyProtection="1">
      <alignment horizontal="left"/>
      <protection locked="0"/>
    </xf>
    <xf numFmtId="4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4" fontId="2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3" fontId="2" fillId="0" borderId="1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0" fillId="0" borderId="0" xfId="0" applyNumberForma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/>
    </xf>
    <xf numFmtId="42" fontId="0" fillId="0" borderId="0" xfId="0" applyNumberFormat="1" applyAlignment="1">
      <alignment wrapText="1"/>
    </xf>
    <xf numFmtId="4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42" fontId="0" fillId="0" borderId="0" xfId="0" applyNumberFormat="1" applyBorder="1" applyAlignment="1">
      <alignment wrapText="1"/>
    </xf>
    <xf numFmtId="42" fontId="0" fillId="0" borderId="0" xfId="0" applyNumberFormat="1" applyBorder="1" applyAlignment="1">
      <alignment/>
    </xf>
    <xf numFmtId="42" fontId="0" fillId="0" borderId="10" xfId="0" applyNumberFormat="1" applyBorder="1" applyAlignment="1">
      <alignment wrapText="1"/>
    </xf>
    <xf numFmtId="42" fontId="0" fillId="0" borderId="10" xfId="0" applyNumberFormat="1" applyBorder="1" applyAlignment="1">
      <alignment/>
    </xf>
    <xf numFmtId="9" fontId="0" fillId="0" borderId="0" xfId="0" applyNumberFormat="1" applyBorder="1" applyAlignment="1">
      <alignment/>
    </xf>
    <xf numFmtId="42" fontId="0" fillId="0" borderId="0" xfId="0" applyNumberFormat="1" applyAlignment="1">
      <alignment horizontal="center" wrapText="1"/>
    </xf>
    <xf numFmtId="0" fontId="3" fillId="0" borderId="0" xfId="0" applyFont="1" applyBorder="1" applyAlignment="1">
      <alignment wrapText="1"/>
    </xf>
    <xf numFmtId="42" fontId="3" fillId="0" borderId="0" xfId="0" applyNumberFormat="1" applyFont="1" applyAlignment="1">
      <alignment/>
    </xf>
    <xf numFmtId="14" fontId="4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66" fontId="0" fillId="0" borderId="0" xfId="0" applyNumberFormat="1" applyBorder="1" applyAlignment="1">
      <alignment/>
    </xf>
    <xf numFmtId="166" fontId="3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166" fontId="0" fillId="0" borderId="11" xfId="0" applyNumberFormat="1" applyBorder="1" applyAlignment="1">
      <alignment/>
    </xf>
    <xf numFmtId="166" fontId="3" fillId="0" borderId="11" xfId="0" applyNumberFormat="1" applyFont="1" applyBorder="1" applyAlignment="1">
      <alignment/>
    </xf>
    <xf numFmtId="4" fontId="2" fillId="0" borderId="0" xfId="0" applyNumberFormat="1" applyFont="1" applyAlignment="1">
      <alignment horizontal="left" wrapText="1"/>
    </xf>
    <xf numFmtId="166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Alignment="1">
      <alignment/>
    </xf>
    <xf numFmtId="166" fontId="0" fillId="0" borderId="0" xfId="0" applyNumberFormat="1" applyAlignment="1">
      <alignment/>
    </xf>
    <xf numFmtId="166" fontId="0" fillId="0" borderId="10" xfId="0" applyNumberFormat="1" applyBorder="1" applyAlignment="1">
      <alignment/>
    </xf>
    <xf numFmtId="166" fontId="3" fillId="0" borderId="0" xfId="0" applyNumberFormat="1" applyFont="1" applyAlignment="1">
      <alignment/>
    </xf>
    <xf numFmtId="166" fontId="3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166" fontId="3" fillId="0" borderId="10" xfId="0" applyNumberFormat="1" applyFont="1" applyBorder="1" applyAlignment="1">
      <alignment/>
    </xf>
    <xf numFmtId="4" fontId="5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164" fontId="3" fillId="0" borderId="0" xfId="0" applyNumberFormat="1" applyFont="1" applyFill="1" applyAlignment="1">
      <alignment/>
    </xf>
    <xf numFmtId="164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164" fontId="2" fillId="0" borderId="0" xfId="0" applyNumberFormat="1" applyFont="1" applyFill="1" applyAlignment="1">
      <alignment/>
    </xf>
    <xf numFmtId="4" fontId="5" fillId="0" borderId="0" xfId="0" applyNumberFormat="1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42" applyNumberFormat="1" applyFont="1" applyFill="1" applyBorder="1" applyAlignment="1" applyProtection="1">
      <alignment/>
      <protection hidden="1"/>
    </xf>
    <xf numFmtId="0" fontId="2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164" fontId="2" fillId="0" borderId="18" xfId="0" applyNumberFormat="1" applyFont="1" applyFill="1" applyBorder="1" applyAlignment="1">
      <alignment/>
    </xf>
    <xf numFmtId="164" fontId="6" fillId="0" borderId="18" xfId="0" applyNumberFormat="1" applyFont="1" applyFill="1" applyBorder="1" applyAlignment="1">
      <alignment/>
    </xf>
    <xf numFmtId="3" fontId="0" fillId="0" borderId="11" xfId="0" applyNumberForma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67" fontId="0" fillId="0" borderId="0" xfId="0" applyNumberFormat="1" applyAlignment="1">
      <alignment/>
    </xf>
    <xf numFmtId="41" fontId="0" fillId="0" borderId="0" xfId="0" applyNumberFormat="1" applyFont="1" applyAlignment="1">
      <alignment/>
    </xf>
    <xf numFmtId="3" fontId="0" fillId="0" borderId="14" xfId="0" applyNumberFormat="1" applyFont="1" applyBorder="1" applyAlignment="1">
      <alignment/>
    </xf>
    <xf numFmtId="2" fontId="0" fillId="0" borderId="19" xfId="0" applyNumberFormat="1" applyFont="1" applyBorder="1" applyAlignment="1">
      <alignment/>
    </xf>
    <xf numFmtId="0" fontId="36" fillId="0" borderId="0" xfId="0" applyFont="1" applyAlignment="1">
      <alignment horizontal="center"/>
    </xf>
    <xf numFmtId="2" fontId="0" fillId="0" borderId="2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44" fontId="0" fillId="0" borderId="0" xfId="0" applyNumberFormat="1" applyAlignment="1">
      <alignment/>
    </xf>
    <xf numFmtId="10" fontId="0" fillId="0" borderId="0" xfId="63" applyNumberFormat="1" applyFont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21" xfId="0" applyFont="1" applyBorder="1" applyAlignment="1">
      <alignment/>
    </xf>
    <xf numFmtId="9" fontId="0" fillId="24" borderId="22" xfId="0" applyNumberFormat="1" applyFont="1" applyFill="1" applyBorder="1" applyAlignment="1">
      <alignment/>
    </xf>
    <xf numFmtId="9" fontId="0" fillId="24" borderId="23" xfId="0" applyNumberFormat="1" applyFont="1" applyFill="1" applyBorder="1" applyAlignment="1">
      <alignment/>
    </xf>
    <xf numFmtId="167" fontId="0" fillId="24" borderId="16" xfId="0" applyNumberFormat="1" applyFill="1" applyBorder="1" applyAlignment="1" applyProtection="1">
      <alignment/>
      <protection locked="0"/>
    </xf>
    <xf numFmtId="10" fontId="0" fillId="24" borderId="16" xfId="0" applyNumberFormat="1" applyFill="1" applyBorder="1" applyAlignment="1" applyProtection="1">
      <alignment/>
      <protection locked="0"/>
    </xf>
    <xf numFmtId="0" fontId="0" fillId="24" borderId="24" xfId="0" applyFont="1" applyFill="1" applyBorder="1" applyAlignment="1" applyProtection="1">
      <alignment/>
      <protection locked="0"/>
    </xf>
    <xf numFmtId="0" fontId="0" fillId="24" borderId="18" xfId="0" applyFont="1" applyFill="1" applyBorder="1" applyAlignment="1" applyProtection="1">
      <alignment/>
      <protection locked="0"/>
    </xf>
    <xf numFmtId="0" fontId="0" fillId="24" borderId="25" xfId="0" applyFont="1" applyFill="1" applyBorder="1" applyAlignment="1" applyProtection="1">
      <alignment/>
      <protection locked="0"/>
    </xf>
    <xf numFmtId="0" fontId="0" fillId="24" borderId="13" xfId="0" applyFont="1" applyFill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/>
      <protection locked="0"/>
    </xf>
    <xf numFmtId="0" fontId="0" fillId="24" borderId="14" xfId="0" applyFont="1" applyFill="1" applyBorder="1" applyAlignment="1" applyProtection="1">
      <alignment/>
      <protection locked="0"/>
    </xf>
    <xf numFmtId="0" fontId="0" fillId="24" borderId="20" xfId="0" applyFont="1" applyFill="1" applyBorder="1" applyAlignment="1" applyProtection="1">
      <alignment/>
      <protection locked="0"/>
    </xf>
    <xf numFmtId="0" fontId="0" fillId="24" borderId="10" xfId="0" applyFont="1" applyFill="1" applyBorder="1" applyAlignment="1" applyProtection="1">
      <alignment/>
      <protection locked="0"/>
    </xf>
    <xf numFmtId="0" fontId="0" fillId="24" borderId="19" xfId="0" applyFont="1" applyFill="1" applyBorder="1" applyAlignment="1" applyProtection="1">
      <alignment/>
      <protection locked="0"/>
    </xf>
    <xf numFmtId="0" fontId="0" fillId="24" borderId="16" xfId="0" applyFill="1" applyBorder="1" applyAlignment="1" applyProtection="1">
      <alignment/>
      <protection locked="0"/>
    </xf>
    <xf numFmtId="9" fontId="0" fillId="24" borderId="24" xfId="0" applyNumberFormat="1" applyFont="1" applyFill="1" applyBorder="1" applyAlignment="1" applyProtection="1">
      <alignment/>
      <protection locked="0"/>
    </xf>
    <xf numFmtId="9" fontId="0" fillId="24" borderId="18" xfId="0" applyNumberFormat="1" applyFont="1" applyFill="1" applyBorder="1" applyAlignment="1" applyProtection="1">
      <alignment/>
      <protection locked="0"/>
    </xf>
    <xf numFmtId="9" fontId="0" fillId="24" borderId="25" xfId="0" applyNumberFormat="1" applyFont="1" applyFill="1" applyBorder="1" applyAlignment="1" applyProtection="1">
      <alignment/>
      <protection locked="0"/>
    </xf>
    <xf numFmtId="9" fontId="0" fillId="24" borderId="0" xfId="0" applyNumberFormat="1" applyFont="1" applyFill="1" applyBorder="1" applyAlignment="1" applyProtection="1">
      <alignment/>
      <protection locked="0"/>
    </xf>
    <xf numFmtId="9" fontId="0" fillId="24" borderId="13" xfId="0" applyNumberFormat="1" applyFont="1" applyFill="1" applyBorder="1" applyAlignment="1" applyProtection="1">
      <alignment/>
      <protection locked="0"/>
    </xf>
    <xf numFmtId="9" fontId="0" fillId="24" borderId="14" xfId="0" applyNumberFormat="1" applyFont="1" applyFill="1" applyBorder="1" applyAlignment="1" applyProtection="1">
      <alignment/>
      <protection locked="0"/>
    </xf>
    <xf numFmtId="3" fontId="0" fillId="24" borderId="21" xfId="0" applyNumberFormat="1" applyFont="1" applyFill="1" applyBorder="1" applyAlignment="1" applyProtection="1">
      <alignment/>
      <protection locked="0"/>
    </xf>
    <xf numFmtId="3" fontId="1" fillId="24" borderId="22" xfId="58" applyNumberFormat="1" applyFont="1" applyFill="1" applyBorder="1" applyAlignment="1" applyProtection="1">
      <alignment horizontal="right"/>
      <protection locked="0"/>
    </xf>
    <xf numFmtId="3" fontId="1" fillId="24" borderId="23" xfId="58" applyNumberFormat="1" applyFont="1" applyFill="1" applyBorder="1" applyAlignment="1" applyProtection="1">
      <alignment horizontal="right"/>
      <protection locked="0"/>
    </xf>
    <xf numFmtId="9" fontId="0" fillId="0" borderId="24" xfId="0" applyNumberFormat="1" applyFont="1" applyFill="1" applyBorder="1" applyAlignment="1" applyProtection="1">
      <alignment/>
      <protection/>
    </xf>
    <xf numFmtId="9" fontId="0" fillId="0" borderId="18" xfId="0" applyNumberFormat="1" applyFont="1" applyFill="1" applyBorder="1" applyAlignment="1" applyProtection="1">
      <alignment/>
      <protection/>
    </xf>
    <xf numFmtId="9" fontId="0" fillId="0" borderId="20" xfId="0" applyNumberFormat="1" applyFont="1" applyFill="1" applyBorder="1" applyAlignment="1" applyProtection="1">
      <alignment/>
      <protection/>
    </xf>
    <xf numFmtId="9" fontId="0" fillId="0" borderId="10" xfId="0" applyNumberFormat="1" applyFont="1" applyFill="1" applyBorder="1" applyAlignment="1" applyProtection="1">
      <alignment/>
      <protection/>
    </xf>
    <xf numFmtId="0" fontId="13" fillId="0" borderId="0" xfId="59" applyFont="1" applyAlignment="1">
      <alignment horizontal="center" vertical="top" wrapText="1"/>
      <protection/>
    </xf>
    <xf numFmtId="0" fontId="2" fillId="0" borderId="26" xfId="59" applyBorder="1" applyAlignment="1">
      <alignment vertical="top" wrapText="1"/>
      <protection/>
    </xf>
    <xf numFmtId="0" fontId="13" fillId="25" borderId="26" xfId="59" applyFont="1" applyFill="1" applyBorder="1" applyAlignment="1">
      <alignment horizontal="center" vertical="top" wrapText="1"/>
      <protection/>
    </xf>
    <xf numFmtId="0" fontId="13" fillId="0" borderId="26" xfId="59" applyFont="1" applyBorder="1" applyAlignment="1">
      <alignment horizontal="center" vertical="top" wrapText="1"/>
      <protection/>
    </xf>
    <xf numFmtId="0" fontId="13" fillId="0" borderId="15" xfId="59" applyFont="1" applyBorder="1" applyAlignment="1">
      <alignment horizontal="center" vertical="top" wrapText="1"/>
      <protection/>
    </xf>
    <xf numFmtId="0" fontId="14" fillId="0" borderId="0" xfId="59" applyFont="1" applyAlignment="1">
      <alignment horizontal="center" vertical="top" wrapText="1"/>
      <protection/>
    </xf>
    <xf numFmtId="8" fontId="14" fillId="25" borderId="0" xfId="59" applyNumberFormat="1" applyFont="1" applyFill="1" applyAlignment="1">
      <alignment horizontal="right" vertical="top" wrapText="1"/>
      <protection/>
    </xf>
    <xf numFmtId="8" fontId="14" fillId="0" borderId="0" xfId="59" applyNumberFormat="1" applyFont="1" applyAlignment="1">
      <alignment horizontal="right" vertical="top" wrapText="1"/>
      <protection/>
    </xf>
    <xf numFmtId="4" fontId="14" fillId="0" borderId="0" xfId="59" applyNumberFormat="1" applyFont="1" applyAlignment="1">
      <alignment vertical="top" wrapText="1"/>
      <protection/>
    </xf>
    <xf numFmtId="4" fontId="15" fillId="0" borderId="0" xfId="59" applyNumberFormat="1" applyFont="1" applyAlignment="1">
      <alignment vertical="top" wrapText="1"/>
      <protection/>
    </xf>
    <xf numFmtId="8" fontId="16" fillId="25" borderId="12" xfId="59" applyNumberFormat="1" applyFont="1" applyFill="1" applyBorder="1" applyAlignment="1">
      <alignment horizontal="right" vertical="top" wrapText="1"/>
      <protection/>
    </xf>
    <xf numFmtId="8" fontId="16" fillId="0" borderId="12" xfId="59" applyNumberFormat="1" applyFont="1" applyBorder="1" applyAlignment="1">
      <alignment horizontal="right" vertical="top" wrapText="1"/>
      <protection/>
    </xf>
    <xf numFmtId="8" fontId="16" fillId="0" borderId="27" xfId="59" applyNumberFormat="1" applyFont="1" applyBorder="1" applyAlignment="1">
      <alignment horizontal="right" vertical="top" wrapText="1"/>
      <protection/>
    </xf>
    <xf numFmtId="8" fontId="14" fillId="0" borderId="0" xfId="59" applyNumberFormat="1" applyFont="1" applyAlignment="1">
      <alignment horizontal="center" vertical="top" wrapText="1"/>
      <protection/>
    </xf>
    <xf numFmtId="0" fontId="13" fillId="0" borderId="0" xfId="59" applyFont="1" applyFill="1" applyBorder="1" applyAlignment="1">
      <alignment horizontal="center" vertical="top" wrapText="1"/>
      <protection/>
    </xf>
    <xf numFmtId="8" fontId="16" fillId="0" borderId="12" xfId="59" applyNumberFormat="1" applyFont="1" applyFill="1" applyBorder="1" applyAlignment="1">
      <alignment horizontal="right" vertical="top" wrapText="1"/>
      <protection/>
    </xf>
    <xf numFmtId="0" fontId="14" fillId="0" borderId="0" xfId="59" applyFont="1" applyFill="1" applyAlignment="1">
      <alignment horizontal="right" vertical="top" wrapText="1"/>
      <protection/>
    </xf>
    <xf numFmtId="0" fontId="3" fillId="0" borderId="0" xfId="59" applyFont="1" applyAlignment="1">
      <alignment horizontal="center" vertical="top" wrapText="1"/>
      <protection/>
    </xf>
    <xf numFmtId="0" fontId="14" fillId="0" borderId="0" xfId="59" applyFont="1" applyFill="1" applyAlignment="1">
      <alignment horizontal="center" vertical="top" wrapText="1"/>
      <protection/>
    </xf>
    <xf numFmtId="8" fontId="14" fillId="0" borderId="0" xfId="59" applyNumberFormat="1" applyFont="1" applyFill="1" applyAlignment="1">
      <alignment horizontal="center" vertical="top" wrapText="1"/>
      <protection/>
    </xf>
    <xf numFmtId="4" fontId="14" fillId="0" borderId="0" xfId="59" applyNumberFormat="1" applyFont="1" applyFill="1" applyAlignment="1">
      <alignment horizontal="right" vertical="top" wrapText="1"/>
      <protection/>
    </xf>
    <xf numFmtId="8" fontId="14" fillId="0" borderId="0" xfId="59" applyNumberFormat="1" applyFont="1" applyFill="1" applyAlignment="1">
      <alignment horizontal="right" vertical="top" wrapText="1"/>
      <protection/>
    </xf>
    <xf numFmtId="4" fontId="14" fillId="0" borderId="0" xfId="59" applyNumberFormat="1" applyFont="1" applyFill="1" applyAlignment="1">
      <alignment vertical="top" wrapText="1"/>
      <protection/>
    </xf>
    <xf numFmtId="4" fontId="15" fillId="0" borderId="0" xfId="59" applyNumberFormat="1" applyFont="1" applyFill="1" applyAlignment="1">
      <alignment vertical="top" wrapText="1"/>
      <protection/>
    </xf>
    <xf numFmtId="0" fontId="13" fillId="0" borderId="0" xfId="59" applyFont="1" applyFill="1" applyAlignment="1">
      <alignment horizontal="center" vertical="top" wrapText="1"/>
      <protection/>
    </xf>
    <xf numFmtId="0" fontId="13" fillId="0" borderId="26" xfId="59" applyFont="1" applyFill="1" applyBorder="1" applyAlignment="1">
      <alignment horizontal="center" vertical="top" wrapText="1"/>
      <protection/>
    </xf>
    <xf numFmtId="4" fontId="14" fillId="6" borderId="0" xfId="59" applyNumberFormat="1" applyFont="1" applyFill="1" applyAlignment="1">
      <alignment vertical="top" wrapText="1"/>
      <protection/>
    </xf>
    <xf numFmtId="0" fontId="13" fillId="6" borderId="26" xfId="59" applyFont="1" applyFill="1" applyBorder="1" applyAlignment="1">
      <alignment horizontal="center" vertical="top" wrapText="1"/>
      <protection/>
    </xf>
    <xf numFmtId="0" fontId="11" fillId="0" borderId="0" xfId="59" applyFont="1" applyAlignment="1">
      <alignment horizontal="center" wrapText="1"/>
      <protection/>
    </xf>
    <xf numFmtId="0" fontId="2" fillId="0" borderId="0" xfId="59" applyAlignment="1">
      <alignment wrapText="1"/>
      <protection/>
    </xf>
    <xf numFmtId="0" fontId="11" fillId="0" borderId="0" xfId="59" applyFont="1" applyFill="1" applyAlignment="1">
      <alignment horizontal="center" wrapText="1"/>
      <protection/>
    </xf>
    <xf numFmtId="0" fontId="12" fillId="0" borderId="0" xfId="59" applyFont="1" applyAlignment="1">
      <alignment horizontal="justify" wrapText="1"/>
      <protection/>
    </xf>
    <xf numFmtId="43" fontId="2" fillId="25" borderId="0" xfId="59" applyNumberFormat="1" applyFill="1" applyAlignment="1">
      <alignment wrapText="1"/>
      <protection/>
    </xf>
    <xf numFmtId="8" fontId="2" fillId="0" borderId="0" xfId="59" applyNumberFormat="1" applyAlignment="1">
      <alignment wrapText="1"/>
      <protection/>
    </xf>
    <xf numFmtId="43" fontId="2" fillId="0" borderId="0" xfId="44" applyFont="1" applyAlignment="1">
      <alignment wrapText="1"/>
    </xf>
    <xf numFmtId="8" fontId="2" fillId="0" borderId="0" xfId="59" applyNumberFormat="1" applyFill="1" applyAlignment="1">
      <alignment wrapText="1"/>
      <protection/>
    </xf>
    <xf numFmtId="43" fontId="2" fillId="0" borderId="0" xfId="59" applyNumberFormat="1" applyFill="1" applyAlignment="1">
      <alignment wrapText="1"/>
      <protection/>
    </xf>
    <xf numFmtId="0" fontId="2" fillId="0" borderId="0" xfId="59" applyFill="1" applyAlignment="1">
      <alignment wrapText="1"/>
      <protection/>
    </xf>
    <xf numFmtId="8" fontId="2" fillId="0" borderId="12" xfId="59" applyNumberFormat="1" applyBorder="1" applyAlignment="1">
      <alignment wrapText="1"/>
      <protection/>
    </xf>
    <xf numFmtId="0" fontId="14" fillId="3" borderId="0" xfId="59" applyFont="1" applyFill="1" applyAlignment="1">
      <alignment horizontal="center" vertical="top" wrapText="1"/>
      <protection/>
    </xf>
    <xf numFmtId="8" fontId="14" fillId="3" borderId="0" xfId="59" applyNumberFormat="1" applyFont="1" applyFill="1" applyAlignment="1">
      <alignment horizontal="center" vertical="top" wrapText="1"/>
      <protection/>
    </xf>
    <xf numFmtId="4" fontId="14" fillId="3" borderId="0" xfId="59" applyNumberFormat="1" applyFont="1" applyFill="1" applyAlignment="1">
      <alignment horizontal="right" vertical="top" wrapText="1"/>
      <protection/>
    </xf>
    <xf numFmtId="8" fontId="14" fillId="3" borderId="0" xfId="59" applyNumberFormat="1" applyFont="1" applyFill="1" applyAlignment="1">
      <alignment horizontal="right" vertical="top" wrapText="1"/>
      <protection/>
    </xf>
    <xf numFmtId="43" fontId="2" fillId="3" borderId="0" xfId="59" applyNumberFormat="1" applyFill="1" applyAlignment="1">
      <alignment wrapText="1"/>
      <protection/>
    </xf>
    <xf numFmtId="4" fontId="14" fillId="3" borderId="0" xfId="59" applyNumberFormat="1" applyFont="1" applyFill="1" applyAlignment="1">
      <alignment vertical="top" wrapText="1"/>
      <protection/>
    </xf>
    <xf numFmtId="4" fontId="15" fillId="3" borderId="0" xfId="59" applyNumberFormat="1" applyFont="1" applyFill="1" applyAlignment="1">
      <alignment vertical="top" wrapText="1"/>
      <protection/>
    </xf>
    <xf numFmtId="0" fontId="2" fillId="3" borderId="0" xfId="59" applyFill="1" applyAlignment="1">
      <alignment wrapText="1"/>
      <protection/>
    </xf>
    <xf numFmtId="8" fontId="2" fillId="3" borderId="0" xfId="59" applyNumberFormat="1" applyFill="1" applyAlignment="1">
      <alignment wrapText="1"/>
      <protection/>
    </xf>
    <xf numFmtId="0" fontId="0" fillId="0" borderId="0" xfId="0" applyFill="1" applyAlignment="1">
      <alignment/>
    </xf>
    <xf numFmtId="0" fontId="14" fillId="3" borderId="0" xfId="59" applyFont="1" applyFill="1" applyAlignment="1">
      <alignment horizontal="right" vertical="top" wrapText="1"/>
      <protection/>
    </xf>
    <xf numFmtId="43" fontId="0" fillId="0" borderId="0" xfId="45" applyFont="1" applyBorder="1" applyAlignment="1">
      <alignment/>
    </xf>
    <xf numFmtId="43" fontId="0" fillId="3" borderId="0" xfId="45" applyFont="1" applyFill="1" applyAlignment="1">
      <alignment/>
    </xf>
    <xf numFmtId="8" fontId="15" fillId="0" borderId="28" xfId="60" applyNumberFormat="1" applyFont="1" applyBorder="1" applyAlignment="1">
      <alignment vertical="top" wrapText="1"/>
      <protection/>
    </xf>
    <xf numFmtId="8" fontId="15" fillId="3" borderId="28" xfId="60" applyNumberFormat="1" applyFont="1" applyFill="1" applyBorder="1" applyAlignment="1">
      <alignment vertical="top" wrapText="1"/>
      <protection/>
    </xf>
    <xf numFmtId="8" fontId="16" fillId="6" borderId="12" xfId="59" applyNumberFormat="1" applyFont="1" applyFill="1" applyBorder="1" applyAlignment="1">
      <alignment horizontal="right" vertical="top" wrapText="1"/>
      <protection/>
    </xf>
    <xf numFmtId="8" fontId="14" fillId="6" borderId="0" xfId="59" applyNumberFormat="1" applyFont="1" applyFill="1" applyAlignment="1">
      <alignment horizontal="right" vertical="top" wrapText="1"/>
      <protection/>
    </xf>
    <xf numFmtId="4" fontId="14" fillId="6" borderId="0" xfId="59" applyNumberFormat="1" applyFont="1" applyFill="1" applyAlignment="1">
      <alignment horizontal="right" vertical="top" wrapText="1"/>
      <protection/>
    </xf>
    <xf numFmtId="0" fontId="14" fillId="6" borderId="0" xfId="59" applyFont="1" applyFill="1" applyAlignment="1">
      <alignment horizontal="right" vertical="top" wrapText="1"/>
      <protection/>
    </xf>
    <xf numFmtId="8" fontId="16" fillId="0" borderId="0" xfId="59" applyNumberFormat="1" applyFont="1" applyBorder="1" applyAlignment="1">
      <alignment horizontal="right" vertical="top" wrapText="1"/>
      <protection/>
    </xf>
    <xf numFmtId="43" fontId="2" fillId="0" borderId="10" xfId="59" applyNumberFormat="1" applyFill="1" applyBorder="1" applyAlignment="1">
      <alignment wrapText="1"/>
      <protection/>
    </xf>
    <xf numFmtId="0" fontId="2" fillId="0" borderId="10" xfId="59" applyBorder="1" applyAlignment="1">
      <alignment wrapText="1"/>
      <protection/>
    </xf>
    <xf numFmtId="8" fontId="2" fillId="0" borderId="10" xfId="59" applyNumberFormat="1" applyFill="1" applyBorder="1" applyAlignment="1">
      <alignment wrapText="1"/>
      <protection/>
    </xf>
    <xf numFmtId="8" fontId="14" fillId="0" borderId="10" xfId="59" applyNumberFormat="1" applyFont="1" applyBorder="1" applyAlignment="1">
      <alignment horizontal="center" vertical="top" wrapText="1"/>
      <protection/>
    </xf>
    <xf numFmtId="0" fontId="14" fillId="6" borderId="10" xfId="59" applyFont="1" applyFill="1" applyBorder="1" applyAlignment="1">
      <alignment horizontal="right" vertical="top" wrapText="1"/>
      <protection/>
    </xf>
    <xf numFmtId="8" fontId="14" fillId="0" borderId="10" xfId="59" applyNumberFormat="1" applyFont="1" applyBorder="1" applyAlignment="1">
      <alignment horizontal="right" vertical="top" wrapText="1"/>
      <protection/>
    </xf>
    <xf numFmtId="0" fontId="14" fillId="0" borderId="10" xfId="59" applyFont="1" applyFill="1" applyBorder="1" applyAlignment="1">
      <alignment horizontal="right" vertical="top" wrapText="1"/>
      <protection/>
    </xf>
    <xf numFmtId="4" fontId="14" fillId="0" borderId="10" xfId="59" applyNumberFormat="1" applyFont="1" applyBorder="1" applyAlignment="1">
      <alignment vertical="top" wrapText="1"/>
      <protection/>
    </xf>
    <xf numFmtId="4" fontId="15" fillId="0" borderId="10" xfId="59" applyNumberFormat="1" applyFont="1" applyBorder="1" applyAlignment="1">
      <alignment vertical="top" wrapText="1"/>
      <protection/>
    </xf>
    <xf numFmtId="4" fontId="14" fillId="6" borderId="10" xfId="59" applyNumberFormat="1" applyFont="1" applyFill="1" applyBorder="1" applyAlignment="1">
      <alignment vertical="top" wrapText="1"/>
      <protection/>
    </xf>
    <xf numFmtId="4" fontId="14" fillId="0" borderId="10" xfId="59" applyNumberFormat="1" applyFont="1" applyFill="1" applyBorder="1" applyAlignment="1">
      <alignment vertical="top" wrapText="1"/>
      <protection/>
    </xf>
    <xf numFmtId="43" fontId="0" fillId="0" borderId="10" xfId="45" applyFont="1" applyBorder="1" applyAlignment="1">
      <alignment/>
    </xf>
    <xf numFmtId="8" fontId="15" fillId="0" borderId="29" xfId="60" applyNumberFormat="1" applyFont="1" applyBorder="1" applyAlignment="1">
      <alignment vertical="top" wrapText="1"/>
      <protection/>
    </xf>
    <xf numFmtId="0" fontId="41" fillId="0" borderId="0" xfId="0" applyFont="1" applyAlignment="1">
      <alignment/>
    </xf>
    <xf numFmtId="0" fontId="34" fillId="0" borderId="10" xfId="0" applyFont="1" applyBorder="1" applyAlignment="1">
      <alignment/>
    </xf>
    <xf numFmtId="37" fontId="0" fillId="0" borderId="0" xfId="0" applyNumberFormat="1" applyAlignment="1">
      <alignment/>
    </xf>
    <xf numFmtId="2" fontId="0" fillId="0" borderId="0" xfId="0" applyNumberFormat="1" applyAlignment="1">
      <alignment/>
    </xf>
    <xf numFmtId="43" fontId="0" fillId="0" borderId="0" xfId="45" applyFont="1" applyAlignment="1">
      <alignment horizontal="center" wrapText="1"/>
    </xf>
    <xf numFmtId="168" fontId="0" fillId="0" borderId="0" xfId="0" applyNumberFormat="1" applyAlignment="1">
      <alignment/>
    </xf>
    <xf numFmtId="43" fontId="0" fillId="0" borderId="0" xfId="42" applyFont="1" applyAlignment="1">
      <alignment/>
    </xf>
    <xf numFmtId="164" fontId="0" fillId="0" borderId="0" xfId="0" applyNumberFormat="1" applyFont="1" applyFill="1" applyBorder="1" applyAlignment="1">
      <alignment/>
    </xf>
    <xf numFmtId="0" fontId="0" fillId="24" borderId="0" xfId="0" applyFill="1" applyAlignment="1">
      <alignment/>
    </xf>
    <xf numFmtId="3" fontId="0" fillId="24" borderId="0" xfId="0" applyNumberFormat="1" applyFill="1" applyAlignment="1">
      <alignment/>
    </xf>
    <xf numFmtId="8" fontId="14" fillId="0" borderId="0" xfId="59" applyNumberFormat="1" applyFont="1" applyBorder="1" applyAlignment="1">
      <alignment horizontal="center" vertical="top" wrapText="1"/>
      <protection/>
    </xf>
    <xf numFmtId="0" fontId="14" fillId="6" borderId="0" xfId="59" applyFont="1" applyFill="1" applyBorder="1" applyAlignment="1">
      <alignment horizontal="right" vertical="top" wrapText="1"/>
      <protection/>
    </xf>
    <xf numFmtId="8" fontId="14" fillId="0" borderId="0" xfId="59" applyNumberFormat="1" applyFont="1" applyBorder="1" applyAlignment="1">
      <alignment horizontal="right" vertical="top" wrapText="1"/>
      <protection/>
    </xf>
    <xf numFmtId="0" fontId="14" fillId="0" borderId="0" xfId="59" applyFont="1" applyFill="1" applyBorder="1" applyAlignment="1">
      <alignment horizontal="right" vertical="top" wrapText="1"/>
      <protection/>
    </xf>
    <xf numFmtId="0" fontId="2" fillId="0" borderId="0" xfId="59" applyBorder="1" applyAlignment="1">
      <alignment wrapText="1"/>
      <protection/>
    </xf>
    <xf numFmtId="4" fontId="14" fillId="0" borderId="0" xfId="59" applyNumberFormat="1" applyFont="1" applyBorder="1" applyAlignment="1">
      <alignment vertical="top" wrapText="1"/>
      <protection/>
    </xf>
    <xf numFmtId="4" fontId="15" fillId="0" borderId="0" xfId="59" applyNumberFormat="1" applyFont="1" applyBorder="1" applyAlignment="1">
      <alignment vertical="top" wrapText="1"/>
      <protection/>
    </xf>
    <xf numFmtId="4" fontId="14" fillId="6" borderId="0" xfId="59" applyNumberFormat="1" applyFont="1" applyFill="1" applyBorder="1" applyAlignment="1">
      <alignment vertical="top" wrapText="1"/>
      <protection/>
    </xf>
    <xf numFmtId="4" fontId="14" fillId="0" borderId="0" xfId="59" applyNumberFormat="1" applyFont="1" applyFill="1" applyBorder="1" applyAlignment="1">
      <alignment vertical="top" wrapText="1"/>
      <protection/>
    </xf>
    <xf numFmtId="43" fontId="2" fillId="0" borderId="0" xfId="59" applyNumberFormat="1" applyFill="1" applyBorder="1" applyAlignment="1">
      <alignment wrapText="1"/>
      <protection/>
    </xf>
    <xf numFmtId="8" fontId="2" fillId="0" borderId="0" xfId="59" applyNumberFormat="1" applyFill="1" applyBorder="1" applyAlignment="1">
      <alignment wrapText="1"/>
      <protection/>
    </xf>
    <xf numFmtId="8" fontId="2" fillId="0" borderId="0" xfId="59" applyNumberFormat="1" applyBorder="1" applyAlignment="1">
      <alignment wrapText="1"/>
      <protection/>
    </xf>
    <xf numFmtId="8" fontId="15" fillId="0" borderId="30" xfId="60" applyNumberFormat="1" applyFont="1" applyBorder="1" applyAlignment="1">
      <alignment vertical="top" wrapText="1"/>
      <protection/>
    </xf>
    <xf numFmtId="8" fontId="2" fillId="0" borderId="10" xfId="59" applyNumberFormat="1" applyBorder="1" applyAlignment="1">
      <alignment wrapText="1"/>
      <protection/>
    </xf>
    <xf numFmtId="0" fontId="42" fillId="0" borderId="0" xfId="0" applyFont="1" applyAlignment="1">
      <alignment horizontal="center"/>
    </xf>
    <xf numFmtId="15" fontId="36" fillId="0" borderId="0" xfId="0" applyNumberFormat="1" applyFont="1" applyBorder="1" applyAlignment="1">
      <alignment horizontal="center"/>
    </xf>
    <xf numFmtId="169" fontId="36" fillId="0" borderId="0" xfId="0" applyNumberFormat="1" applyFont="1" applyAlignment="1">
      <alignment/>
    </xf>
    <xf numFmtId="165" fontId="0" fillId="0" borderId="0" xfId="42" applyNumberFormat="1" applyFont="1" applyAlignment="1">
      <alignment/>
    </xf>
    <xf numFmtId="0" fontId="4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5" fontId="36" fillId="0" borderId="0" xfId="0" applyNumberFormat="1" applyFont="1" applyFill="1" applyBorder="1" applyAlignment="1">
      <alignment horizontal="center"/>
    </xf>
    <xf numFmtId="37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43" fontId="0" fillId="0" borderId="0" xfId="42" applyFont="1" applyFill="1" applyAlignment="1">
      <alignment/>
    </xf>
    <xf numFmtId="0" fontId="34" fillId="0" borderId="0" xfId="0" applyFont="1" applyAlignment="1">
      <alignment/>
    </xf>
    <xf numFmtId="0" fontId="42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0" xfId="59" applyFont="1" applyAlignment="1">
      <alignment horizontal="center" wrapText="1"/>
      <protection/>
    </xf>
    <xf numFmtId="0" fontId="42" fillId="0" borderId="0" xfId="0" applyFont="1" applyAlignment="1">
      <alignment horizontal="center"/>
    </xf>
    <xf numFmtId="0" fontId="0" fillId="0" borderId="0" xfId="0" applyAlignment="1">
      <alignment horizontal="left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3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Percent 3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3225"/>
          <c:w val="0.711"/>
          <c:h val="0.9315"/>
        </c:manualLayout>
      </c:layout>
      <c:lineChart>
        <c:grouping val="standard"/>
        <c:varyColors val="0"/>
        <c:ser>
          <c:idx val="0"/>
          <c:order val="0"/>
          <c:tx>
            <c:strRef>
              <c:f>'Trends - Linda''s Data'!$A$3</c:f>
              <c:strCache>
                <c:ptCount val="1"/>
                <c:pt idx="0">
                  <c:v>First Term at UWF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'Trends - Linda''s Data'!$D$2:$K$2</c:f>
              <c:strCache/>
            </c:strRef>
          </c:cat>
          <c:val>
            <c:numRef>
              <c:f>'Trends - Linda''s Data'!$D$3:$K$3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'Trends - Linda''s Data'!$A$4</c:f>
              <c:strCache>
                <c:ptCount val="1"/>
                <c:pt idx="0">
                  <c:v>First Term Freshman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'Trends - Linda''s Data'!$D$2:$K$2</c:f>
              <c:strCache/>
            </c:strRef>
          </c:cat>
          <c:val>
            <c:numRef>
              <c:f>'Trends - Linda''s Data'!$D$4:$K$4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42441684"/>
        <c:axId val="46430837"/>
      </c:lineChart>
      <c:catAx>
        <c:axId val="42441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30837"/>
        <c:crosses val="autoZero"/>
        <c:auto val="1"/>
        <c:lblOffset val="100"/>
        <c:tickLblSkip val="1"/>
        <c:noMultiLvlLbl val="0"/>
      </c:catAx>
      <c:valAx>
        <c:axId val="464308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4416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4515"/>
          <c:w val="0.2415"/>
          <c:h val="0.14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345"/>
          <c:w val="0.794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'Trends - Linda''s Data'!$A$5</c:f>
              <c:strCache>
                <c:ptCount val="1"/>
                <c:pt idx="0">
                  <c:v>     Freshman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'Trends - Linda''s Data'!$E$1:$K$2</c:f>
              <c:multiLvlStrCache/>
            </c:multiLvlStrRef>
          </c:cat>
          <c:val>
            <c:numRef>
              <c:f>'Trends - Linda''s Data'!$D$5:$K$5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'Trends - Linda''s Data'!$A$6</c:f>
              <c:strCache>
                <c:ptCount val="1"/>
                <c:pt idx="0">
                  <c:v>     Sophomore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'Trends - Linda''s Data'!$E$1:$K$2</c:f>
              <c:multiLvlStrCache/>
            </c:multiLvlStrRef>
          </c:cat>
          <c:val>
            <c:numRef>
              <c:f>'Trends - Linda''s Data'!$D$6:$K$6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'Trends - Linda''s Data'!$A$7</c:f>
              <c:strCache>
                <c:ptCount val="1"/>
                <c:pt idx="0">
                  <c:v>     Junior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'Trends - Linda''s Data'!$E$1:$K$2</c:f>
              <c:multiLvlStrCache/>
            </c:multiLvlStrRef>
          </c:cat>
          <c:val>
            <c:numRef>
              <c:f>'Trends - Linda''s Data'!$D$7:$K$7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'Trends - Linda''s Data'!$A$8</c:f>
              <c:strCache>
                <c:ptCount val="1"/>
                <c:pt idx="0">
                  <c:v>     Senior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'Trends - Linda''s Data'!$E$1:$K$2</c:f>
              <c:multiLvlStrCache/>
            </c:multiLvlStrRef>
          </c:cat>
          <c:val>
            <c:numRef>
              <c:f>'Trends - Linda''s Data'!$D$8:$K$8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v>     Other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'Trends - Linda''s Data'!$E$13:$K$13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5224350"/>
        <c:axId val="2801423"/>
      </c:barChart>
      <c:catAx>
        <c:axId val="15224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1423"/>
        <c:crosses val="autoZero"/>
        <c:auto val="1"/>
        <c:lblOffset val="100"/>
        <c:tickLblSkip val="1"/>
        <c:noMultiLvlLbl val="0"/>
      </c:catAx>
      <c:valAx>
        <c:axId val="2801423"/>
        <c:scaling>
          <c:orientation val="minMax"/>
          <c:max val="8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2243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45"/>
          <c:y val="0.3225"/>
          <c:w val="0.157"/>
          <c:h val="0.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345"/>
          <c:w val="0.69075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'Trends - Linda''s Data'!$A$14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'Trends - Linda''s Data'!$D$14:$K$14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'Trends - Linda''s Data'!$A$26</c:f>
              <c:strCache>
                <c:ptCount val="1"/>
                <c:pt idx="0">
                  <c:v>Financial Aid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'Trends - Linda''s Data'!$D$26:$K$26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'Trends - Linda''s Data'!$A$27</c:f>
              <c:strCache>
                <c:ptCount val="1"/>
                <c:pt idx="0">
                  <c:v>Florida Prepaid College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'Trends - Linda''s Data'!$D$27:$K$27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25212808"/>
        <c:axId val="25588681"/>
      </c:lineChart>
      <c:catAx>
        <c:axId val="25212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88681"/>
        <c:crosses val="autoZero"/>
        <c:auto val="1"/>
        <c:lblOffset val="100"/>
        <c:tickLblSkip val="1"/>
        <c:noMultiLvlLbl val="0"/>
      </c:catAx>
      <c:valAx>
        <c:axId val="255886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2128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3"/>
          <c:y val="0.37275"/>
          <c:w val="0.26175"/>
          <c:h val="0.2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36</xdr:row>
      <xdr:rowOff>142875</xdr:rowOff>
    </xdr:from>
    <xdr:to>
      <xdr:col>10</xdr:col>
      <xdr:colOff>457200</xdr:colOff>
      <xdr:row>52</xdr:row>
      <xdr:rowOff>28575</xdr:rowOff>
    </xdr:to>
    <xdr:graphicFrame>
      <xdr:nvGraphicFramePr>
        <xdr:cNvPr id="1" name="Chart 1"/>
        <xdr:cNvGraphicFramePr/>
      </xdr:nvGraphicFramePr>
      <xdr:xfrm>
        <a:off x="85725" y="7048500"/>
        <a:ext cx="57245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54</xdr:row>
      <xdr:rowOff>19050</xdr:rowOff>
    </xdr:from>
    <xdr:to>
      <xdr:col>10</xdr:col>
      <xdr:colOff>438150</xdr:colOff>
      <xdr:row>68</xdr:row>
      <xdr:rowOff>95250</xdr:rowOff>
    </xdr:to>
    <xdr:graphicFrame>
      <xdr:nvGraphicFramePr>
        <xdr:cNvPr id="2" name="Chart 2"/>
        <xdr:cNvGraphicFramePr/>
      </xdr:nvGraphicFramePr>
      <xdr:xfrm>
        <a:off x="66675" y="10353675"/>
        <a:ext cx="57245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70</xdr:row>
      <xdr:rowOff>38100</xdr:rowOff>
    </xdr:from>
    <xdr:to>
      <xdr:col>10</xdr:col>
      <xdr:colOff>428625</xdr:colOff>
      <xdr:row>84</xdr:row>
      <xdr:rowOff>114300</xdr:rowOff>
    </xdr:to>
    <xdr:graphicFrame>
      <xdr:nvGraphicFramePr>
        <xdr:cNvPr id="3" name="Chart 3"/>
        <xdr:cNvGraphicFramePr/>
      </xdr:nvGraphicFramePr>
      <xdr:xfrm>
        <a:off x="57150" y="13420725"/>
        <a:ext cx="572452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dget\2010-2011\Working%20budget%2010-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get-Combined"/>
      <sheetName val="Sum"/>
      <sheetName val="Rev 1-Rent Rev"/>
      <sheetName val="Rev 2-Conf&amp;Guest Rev"/>
      <sheetName val="Rev 3-Commissions"/>
      <sheetName val="Rev 4- Other Rev"/>
      <sheetName val="Rev 5-Interest Est"/>
      <sheetName val="Exp 1-Payroll"/>
      <sheetName val="Exp 2-OPS Salaries"/>
      <sheetName val="Exp 3-Administrative Fees"/>
      <sheetName val="Exp 4-Capital Expenses"/>
      <sheetName val="Exp 5-Comms &amp; Transmission"/>
      <sheetName val="Exp 6-Contracted Services"/>
      <sheetName val="Exp 7-Furniture&amp;Appliance"/>
      <sheetName val="Exp 8-HDRA Programming"/>
      <sheetName val="Exp 9-Insurance"/>
      <sheetName val="Exp 10-Maint &amp; Custodial Suppl"/>
      <sheetName val="Exp 11-Bond Lead"/>
      <sheetName val="Exp 12-Office Supplies"/>
      <sheetName val="Exp 13-RES LIFE programming"/>
      <sheetName val="Exp 14-Staff Training"/>
      <sheetName val="Exp 15-Travel"/>
      <sheetName val="Exp 16-Utilities"/>
      <sheetName val="Exp 17-Vehicles"/>
      <sheetName val="Exp 18-Depreciation"/>
      <sheetName val="RHA"/>
      <sheetName val="Exp 19-Amort-Bond Issue Costs"/>
      <sheetName val="Amort-2005 Cost of Issuance"/>
      <sheetName val="Amort-98&amp;99 Orig Issue Discount"/>
      <sheetName val="Budget Cut Senarios"/>
      <sheetName val="E Bldg Estimates"/>
      <sheetName val="Honors Bldg"/>
    </sheetNames>
    <sheetDataSet>
      <sheetData sheetId="2">
        <row r="30">
          <cell r="E30">
            <v>7134739.2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zoomScalePageLayoutView="0" workbookViewId="0" topLeftCell="A5">
      <selection activeCell="A18" sqref="A18"/>
    </sheetView>
  </sheetViews>
  <sheetFormatPr defaultColWidth="9.140625" defaultRowHeight="15"/>
  <cols>
    <col min="1" max="1" width="50.421875" style="0" customWidth="1"/>
    <col min="3" max="3" width="12.00390625" style="0" customWidth="1"/>
    <col min="4" max="4" width="9.57421875" style="0" customWidth="1"/>
    <col min="5" max="5" width="9.421875" style="0" customWidth="1"/>
    <col min="6" max="6" width="11.421875" style="1" customWidth="1"/>
    <col min="7" max="7" width="9.7109375" style="0" customWidth="1"/>
    <col min="8" max="8" width="9.140625" style="1" customWidth="1"/>
  </cols>
  <sheetData>
    <row r="1" ht="15.75">
      <c r="A1" s="10" t="s">
        <v>103</v>
      </c>
    </row>
    <row r="2" spans="5:7" ht="15">
      <c r="E2" t="s">
        <v>5</v>
      </c>
      <c r="G2" t="s">
        <v>5</v>
      </c>
    </row>
    <row r="3" spans="1:10" ht="15">
      <c r="A3" t="s">
        <v>0</v>
      </c>
      <c r="B3" t="s">
        <v>2</v>
      </c>
      <c r="C3" t="s">
        <v>3</v>
      </c>
      <c r="D3" t="s">
        <v>4</v>
      </c>
      <c r="E3" t="s">
        <v>8</v>
      </c>
      <c r="F3" s="1" t="s">
        <v>9</v>
      </c>
      <c r="G3" t="s">
        <v>10</v>
      </c>
      <c r="H3" s="1" t="s">
        <v>9</v>
      </c>
      <c r="I3" t="s">
        <v>6</v>
      </c>
      <c r="J3" s="1" t="s">
        <v>11</v>
      </c>
    </row>
    <row r="4" spans="1:10" ht="15">
      <c r="A4" t="s">
        <v>1</v>
      </c>
      <c r="B4">
        <v>101</v>
      </c>
      <c r="C4">
        <v>154</v>
      </c>
      <c r="D4">
        <v>101</v>
      </c>
      <c r="E4">
        <v>48</v>
      </c>
      <c r="F4" s="1">
        <v>48</v>
      </c>
      <c r="G4">
        <v>32</v>
      </c>
      <c r="H4" s="1">
        <v>32</v>
      </c>
      <c r="I4">
        <v>240</v>
      </c>
      <c r="J4">
        <f>SUM(B4:I4)</f>
        <v>756</v>
      </c>
    </row>
    <row r="5" spans="1:10" ht="15">
      <c r="A5" t="s">
        <v>7</v>
      </c>
      <c r="B5">
        <v>202</v>
      </c>
      <c r="C5">
        <v>308</v>
      </c>
      <c r="D5">
        <v>202</v>
      </c>
      <c r="E5">
        <v>96</v>
      </c>
      <c r="F5" s="1">
        <v>192</v>
      </c>
      <c r="G5">
        <v>64</v>
      </c>
      <c r="H5" s="1">
        <v>128</v>
      </c>
      <c r="I5">
        <v>384</v>
      </c>
      <c r="J5">
        <f>SUM(B5:I5)</f>
        <v>1576</v>
      </c>
    </row>
    <row r="6" spans="1:10" ht="15">
      <c r="A6" t="s">
        <v>12</v>
      </c>
      <c r="B6">
        <v>186</v>
      </c>
      <c r="C6">
        <v>284</v>
      </c>
      <c r="D6">
        <v>184</v>
      </c>
      <c r="E6">
        <v>86</v>
      </c>
      <c r="F6" s="1">
        <v>192</v>
      </c>
      <c r="G6">
        <v>52</v>
      </c>
      <c r="H6" s="1">
        <v>128</v>
      </c>
      <c r="I6">
        <v>348</v>
      </c>
      <c r="J6">
        <f>SUM(B6:I6)</f>
        <v>1460</v>
      </c>
    </row>
    <row r="7" spans="1:10" ht="15">
      <c r="A7" t="s">
        <v>13</v>
      </c>
      <c r="J7">
        <v>1514</v>
      </c>
    </row>
    <row r="9" ht="15" hidden="1">
      <c r="A9" t="s">
        <v>188</v>
      </c>
    </row>
    <row r="10" spans="1:2" ht="15" hidden="1">
      <c r="A10" t="s">
        <v>187</v>
      </c>
      <c r="B10">
        <v>10320</v>
      </c>
    </row>
    <row r="11" spans="1:8" ht="15" hidden="1">
      <c r="A11" t="s">
        <v>186</v>
      </c>
      <c r="B11">
        <v>9979</v>
      </c>
      <c r="H11" s="27"/>
    </row>
    <row r="12" spans="1:2" ht="15" hidden="1">
      <c r="A12" t="s">
        <v>14</v>
      </c>
      <c r="B12">
        <v>1514</v>
      </c>
    </row>
    <row r="13" spans="1:2" ht="15" hidden="1">
      <c r="A13" t="s">
        <v>15</v>
      </c>
      <c r="B13" s="141">
        <f>B12/B10</f>
        <v>0.14670542635658915</v>
      </c>
    </row>
    <row r="14" ht="15" hidden="1"/>
    <row r="15" spans="1:2" ht="15">
      <c r="A15" t="s">
        <v>314</v>
      </c>
      <c r="B15" s="46">
        <f>F28</f>
        <v>11992.706880000002</v>
      </c>
    </row>
    <row r="16" spans="1:2" ht="15.75" thickBot="1">
      <c r="A16" t="s">
        <v>14</v>
      </c>
      <c r="B16" s="46">
        <f>B15*0.15</f>
        <v>1798.906032</v>
      </c>
    </row>
    <row r="17" spans="1:2" ht="15.75" thickBot="1">
      <c r="A17" t="s">
        <v>377</v>
      </c>
      <c r="B17" s="55">
        <v>250</v>
      </c>
    </row>
    <row r="18" ht="15">
      <c r="B18" s="151"/>
    </row>
    <row r="20" spans="3:9" ht="15">
      <c r="C20" t="s">
        <v>24</v>
      </c>
      <c r="D20" t="s">
        <v>17</v>
      </c>
      <c r="E20" t="s">
        <v>18</v>
      </c>
      <c r="F20" t="s">
        <v>19</v>
      </c>
      <c r="G20" s="1" t="s">
        <v>20</v>
      </c>
      <c r="H20" t="s">
        <v>22</v>
      </c>
      <c r="I20" s="1" t="s">
        <v>23</v>
      </c>
    </row>
    <row r="21" spans="1:9" ht="15">
      <c r="A21" t="s">
        <v>183</v>
      </c>
      <c r="B21" s="159">
        <v>0.078</v>
      </c>
      <c r="F21"/>
      <c r="G21" s="1"/>
      <c r="H21"/>
      <c r="I21" s="1"/>
    </row>
    <row r="22" spans="1:9" ht="15">
      <c r="A22" t="s">
        <v>182</v>
      </c>
      <c r="D22" s="1">
        <v>9799</v>
      </c>
      <c r="E22" s="7">
        <f>D22*(1+$B$21)</f>
        <v>10563.322</v>
      </c>
      <c r="F22" s="7">
        <f>E22*(1+$B$21)</f>
        <v>11387.261116000001</v>
      </c>
      <c r="G22" s="7">
        <f>F22*(1+$B$21)</f>
        <v>12275.467483048002</v>
      </c>
      <c r="H22" s="7">
        <f>G22*(1+$B$21)</f>
        <v>13232.953946725747</v>
      </c>
      <c r="I22" s="7">
        <f>H22*(1+$B$21)</f>
        <v>14265.124354570356</v>
      </c>
    </row>
    <row r="23" spans="1:9" ht="15.75" thickBot="1">
      <c r="A23" t="s">
        <v>21</v>
      </c>
      <c r="D23" s="1">
        <v>1514</v>
      </c>
      <c r="E23" s="7">
        <f>E22*D24</f>
        <v>1632.092</v>
      </c>
      <c r="F23" s="6">
        <f>F22*D24</f>
        <v>1759.3951760000002</v>
      </c>
      <c r="G23" s="148">
        <f>G22*D24</f>
        <v>1896.6279997280003</v>
      </c>
      <c r="H23" s="7">
        <f>H22*D24</f>
        <v>2044.5649837067847</v>
      </c>
      <c r="I23" s="7">
        <f>I22*D24</f>
        <v>2204.041052435914</v>
      </c>
    </row>
    <row r="24" spans="1:9" ht="15.75" thickTop="1">
      <c r="A24" t="s">
        <v>15</v>
      </c>
      <c r="D24" s="4">
        <f>D23/D22</f>
        <v>0.1545055617920196</v>
      </c>
      <c r="F24"/>
      <c r="G24" s="1"/>
      <c r="H24"/>
      <c r="I24" s="1"/>
    </row>
    <row r="27" spans="1:9" ht="15">
      <c r="A27" s="9" t="s">
        <v>184</v>
      </c>
      <c r="F27"/>
      <c r="G27" s="1"/>
      <c r="H27"/>
      <c r="I27" s="1"/>
    </row>
    <row r="28" spans="1:9" ht="15">
      <c r="A28" t="s">
        <v>16</v>
      </c>
      <c r="B28" s="9"/>
      <c r="C28" s="149">
        <v>10358</v>
      </c>
      <c r="D28" s="149">
        <v>10320</v>
      </c>
      <c r="E28" s="149">
        <f>D28*(1+$B$21)</f>
        <v>11124.960000000001</v>
      </c>
      <c r="F28" s="149">
        <f>E28*(1+$B$21)</f>
        <v>11992.706880000002</v>
      </c>
      <c r="G28" s="149">
        <f>F28*(1+$B$21)</f>
        <v>12928.138016640003</v>
      </c>
      <c r="H28" s="149">
        <f>G28*(1+$B$21)</f>
        <v>13936.532781937924</v>
      </c>
      <c r="I28" s="149">
        <f>H28*(1+$B$21)</f>
        <v>15023.582338929082</v>
      </c>
    </row>
    <row r="29" spans="1:10" ht="15.75" thickBot="1">
      <c r="A29" t="s">
        <v>190</v>
      </c>
      <c r="B29" s="158">
        <v>0.15</v>
      </c>
      <c r="C29" s="8"/>
      <c r="D29" s="8">
        <v>1514</v>
      </c>
      <c r="E29" s="149">
        <f>E28*$B$29</f>
        <v>1668.7440000000001</v>
      </c>
      <c r="F29" s="150">
        <f>F28*$B$29</f>
        <v>1798.906032</v>
      </c>
      <c r="G29" s="149">
        <f>G28*$B$29</f>
        <v>1939.2207024960003</v>
      </c>
      <c r="H29" s="149">
        <f>H28*$B$29</f>
        <v>2090.4799172906883</v>
      </c>
      <c r="I29" s="149">
        <f>I28*$B$29</f>
        <v>2253.5373508393623</v>
      </c>
      <c r="J29" s="8"/>
    </row>
    <row r="30" ht="15.75" thickTop="1"/>
    <row r="31" spans="1:9" ht="15">
      <c r="A31" t="s">
        <v>284</v>
      </c>
      <c r="C31" s="53">
        <v>1034</v>
      </c>
      <c r="D31" s="53">
        <v>1099</v>
      </c>
      <c r="E31" s="53">
        <v>1500</v>
      </c>
      <c r="F31" s="53">
        <v>1900</v>
      </c>
      <c r="G31" s="53">
        <v>2300</v>
      </c>
      <c r="H31" s="53">
        <v>2700</v>
      </c>
      <c r="I31" s="53">
        <v>3100</v>
      </c>
    </row>
    <row r="32" spans="1:9" ht="15">
      <c r="A32" t="s">
        <v>26</v>
      </c>
      <c r="C32" s="53">
        <v>551</v>
      </c>
      <c r="D32" s="53">
        <v>614</v>
      </c>
      <c r="E32" s="54">
        <f>E31*0.55</f>
        <v>825.0000000000001</v>
      </c>
      <c r="F32" s="54">
        <f>F31*0.55</f>
        <v>1045</v>
      </c>
      <c r="G32" s="54">
        <f>G31*0.55</f>
        <v>1265</v>
      </c>
      <c r="H32" s="54">
        <f>H31*0.55</f>
        <v>1485.0000000000002</v>
      </c>
      <c r="I32" s="54">
        <f>I31*0.55</f>
        <v>1705.0000000000002</v>
      </c>
    </row>
    <row r="33" spans="3:9" ht="15">
      <c r="C33" s="53"/>
      <c r="D33" s="53"/>
      <c r="E33" s="53"/>
      <c r="F33" s="53"/>
      <c r="G33" s="53"/>
      <c r="H33" s="53"/>
      <c r="I33" s="53"/>
    </row>
    <row r="34" spans="1:9" ht="15">
      <c r="A34" t="s">
        <v>25</v>
      </c>
      <c r="C34" s="53"/>
      <c r="D34" s="53"/>
      <c r="E34" s="54">
        <f>E31*0.75</f>
        <v>1125</v>
      </c>
      <c r="F34" s="54">
        <f>F31*0.75</f>
        <v>1425</v>
      </c>
      <c r="G34" s="54">
        <f>G31*0.75</f>
        <v>1725</v>
      </c>
      <c r="H34" s="54">
        <f>H31*0.75</f>
        <v>2025</v>
      </c>
      <c r="I34" s="54">
        <f>I31*0.75</f>
        <v>2325</v>
      </c>
    </row>
    <row r="35" ht="15">
      <c r="A35" t="s">
        <v>374</v>
      </c>
    </row>
    <row r="37" spans="1:10" ht="15">
      <c r="A37" s="30" t="s">
        <v>290</v>
      </c>
      <c r="D37" s="9" t="s">
        <v>299</v>
      </c>
      <c r="E37" s="9" t="s">
        <v>300</v>
      </c>
      <c r="F37" s="145" t="s">
        <v>301</v>
      </c>
      <c r="G37" s="9" t="s">
        <v>47</v>
      </c>
      <c r="H37" s="145" t="s">
        <v>302</v>
      </c>
      <c r="I37" s="9" t="s">
        <v>303</v>
      </c>
      <c r="J37" s="145" t="s">
        <v>304</v>
      </c>
    </row>
    <row r="38" spans="1:7" ht="15">
      <c r="A38" t="s">
        <v>298</v>
      </c>
      <c r="D38">
        <v>1099</v>
      </c>
      <c r="E38">
        <v>1158</v>
      </c>
      <c r="F38" s="1">
        <v>383</v>
      </c>
      <c r="G38">
        <f>SUM(D38:F38)</f>
        <v>2640</v>
      </c>
    </row>
    <row r="39" spans="1:10" ht="15">
      <c r="A39" t="s">
        <v>291</v>
      </c>
      <c r="B39" s="2"/>
      <c r="D39" s="46">
        <f>$D$38*H39</f>
        <v>296.73</v>
      </c>
      <c r="E39" s="46">
        <f>$E$38*I39</f>
        <v>324.24</v>
      </c>
      <c r="F39" s="7">
        <f>$F$38*J39</f>
        <v>103.41000000000001</v>
      </c>
      <c r="G39" s="46">
        <f aca="true" t="shared" si="0" ref="G39:G45">SUM(D39:F39)</f>
        <v>724.38</v>
      </c>
      <c r="H39" s="2">
        <v>0.27</v>
      </c>
      <c r="I39" s="2">
        <v>0.28</v>
      </c>
      <c r="J39" s="2">
        <v>0.27</v>
      </c>
    </row>
    <row r="40" spans="1:10" ht="15">
      <c r="A40" t="s">
        <v>292</v>
      </c>
      <c r="B40" s="2"/>
      <c r="D40" s="46">
        <f aca="true" t="shared" si="1" ref="D40:D45">$D$38*H40</f>
        <v>197.82</v>
      </c>
      <c r="E40" s="46">
        <f aca="true" t="shared" si="2" ref="E40:E45">$E$38*I40</f>
        <v>220.02</v>
      </c>
      <c r="F40" s="7">
        <f aca="true" t="shared" si="3" ref="F40:F45">$F$38*J40</f>
        <v>57.449999999999996</v>
      </c>
      <c r="G40" s="46">
        <f t="shared" si="0"/>
        <v>475.29</v>
      </c>
      <c r="H40" s="2">
        <v>0.18</v>
      </c>
      <c r="I40" s="2">
        <v>0.19</v>
      </c>
      <c r="J40" s="2">
        <v>0.15</v>
      </c>
    </row>
    <row r="41" spans="1:10" ht="15">
      <c r="A41" t="s">
        <v>293</v>
      </c>
      <c r="B41" s="2"/>
      <c r="D41" s="46">
        <f t="shared" si="1"/>
        <v>87.92</v>
      </c>
      <c r="E41" s="46">
        <f t="shared" si="2"/>
        <v>208.44</v>
      </c>
      <c r="F41" s="7">
        <f t="shared" si="3"/>
        <v>53.620000000000005</v>
      </c>
      <c r="G41" s="46">
        <f t="shared" si="0"/>
        <v>349.98</v>
      </c>
      <c r="H41" s="2">
        <v>0.08</v>
      </c>
      <c r="I41" s="2">
        <v>0.18</v>
      </c>
      <c r="J41" s="2">
        <v>0.14</v>
      </c>
    </row>
    <row r="42" spans="1:10" ht="15">
      <c r="A42" t="s">
        <v>295</v>
      </c>
      <c r="B42" s="2"/>
      <c r="D42" s="46">
        <f t="shared" si="1"/>
        <v>648.41</v>
      </c>
      <c r="E42" s="46">
        <f t="shared" si="2"/>
        <v>868.5</v>
      </c>
      <c r="F42" s="7">
        <f t="shared" si="3"/>
        <v>241.29</v>
      </c>
      <c r="G42" s="46">
        <f t="shared" si="0"/>
        <v>1758.1999999999998</v>
      </c>
      <c r="H42" s="2">
        <v>0.59</v>
      </c>
      <c r="I42" s="2">
        <v>0.75</v>
      </c>
      <c r="J42" s="2">
        <v>0.63</v>
      </c>
    </row>
    <row r="43" spans="1:10" ht="15">
      <c r="A43" t="s">
        <v>294</v>
      </c>
      <c r="B43" s="2"/>
      <c r="D43" s="46">
        <f t="shared" si="1"/>
        <v>241.78</v>
      </c>
      <c r="E43" s="46">
        <f t="shared" si="2"/>
        <v>115.80000000000001</v>
      </c>
      <c r="F43" s="7">
        <f t="shared" si="3"/>
        <v>53.620000000000005</v>
      </c>
      <c r="G43" s="46">
        <f t="shared" si="0"/>
        <v>411.20000000000005</v>
      </c>
      <c r="H43" s="2">
        <v>0.22</v>
      </c>
      <c r="I43" s="2">
        <v>0.1</v>
      </c>
      <c r="J43" s="2">
        <v>0.14</v>
      </c>
    </row>
    <row r="44" spans="1:10" ht="15">
      <c r="A44" t="s">
        <v>296</v>
      </c>
      <c r="B44" s="2"/>
      <c r="D44" s="46">
        <f t="shared" si="1"/>
        <v>98.91</v>
      </c>
      <c r="E44" s="46">
        <f t="shared" si="2"/>
        <v>34.74</v>
      </c>
      <c r="F44" s="7">
        <f t="shared" si="3"/>
        <v>0</v>
      </c>
      <c r="G44" s="46">
        <f t="shared" si="0"/>
        <v>133.65</v>
      </c>
      <c r="H44" s="2">
        <v>0.09</v>
      </c>
      <c r="I44" s="2">
        <v>0.03</v>
      </c>
      <c r="J44" s="2"/>
    </row>
    <row r="45" spans="1:10" ht="15">
      <c r="A45" t="s">
        <v>297</v>
      </c>
      <c r="B45" s="2"/>
      <c r="D45" s="46">
        <f t="shared" si="1"/>
        <v>109.9</v>
      </c>
      <c r="E45" s="46">
        <f t="shared" si="2"/>
        <v>138.96</v>
      </c>
      <c r="F45" s="7">
        <f t="shared" si="3"/>
        <v>88.09</v>
      </c>
      <c r="G45" s="46">
        <f t="shared" si="0"/>
        <v>336.95000000000005</v>
      </c>
      <c r="H45" s="2">
        <v>0.1</v>
      </c>
      <c r="I45" s="2">
        <v>0.12</v>
      </c>
      <c r="J45" s="2">
        <v>0.23</v>
      </c>
    </row>
    <row r="46" spans="4:7" ht="15">
      <c r="D46" s="46"/>
      <c r="E46" s="46"/>
      <c r="F46" s="7"/>
      <c r="G46" s="46"/>
    </row>
    <row r="47" spans="1:2" ht="15">
      <c r="A47" t="s">
        <v>310</v>
      </c>
      <c r="B47" s="2">
        <v>0.4</v>
      </c>
    </row>
    <row r="48" ht="15">
      <c r="C48" s="30"/>
    </row>
    <row r="51" ht="18.75" hidden="1">
      <c r="A51" s="11" t="s">
        <v>62</v>
      </c>
    </row>
    <row r="52" spans="1:5" ht="18.75" hidden="1">
      <c r="A52" s="14" t="s">
        <v>42</v>
      </c>
      <c r="B52" t="s">
        <v>44</v>
      </c>
      <c r="C52" t="s">
        <v>45</v>
      </c>
      <c r="D52" t="s">
        <v>46</v>
      </c>
      <c r="E52" t="s">
        <v>47</v>
      </c>
    </row>
    <row r="53" spans="1:5" ht="15" hidden="1">
      <c r="A53" t="s">
        <v>43</v>
      </c>
      <c r="B53">
        <v>184</v>
      </c>
      <c r="C53">
        <v>4316</v>
      </c>
      <c r="D53">
        <v>532</v>
      </c>
      <c r="E53">
        <f>SUM(B53:D53)</f>
        <v>5032</v>
      </c>
    </row>
    <row r="54" spans="1:5" ht="15" hidden="1">
      <c r="A54" t="s">
        <v>48</v>
      </c>
      <c r="B54">
        <v>4</v>
      </c>
      <c r="C54">
        <v>13</v>
      </c>
      <c r="D54">
        <v>29</v>
      </c>
      <c r="E54">
        <f>SUM(B54:D54)</f>
        <v>46</v>
      </c>
    </row>
    <row r="55" spans="1:5" ht="15" hidden="1">
      <c r="A55" t="s">
        <v>49</v>
      </c>
      <c r="C55">
        <v>55</v>
      </c>
      <c r="D55">
        <v>22</v>
      </c>
      <c r="E55" s="3">
        <f>SUM(B55:D55)</f>
        <v>77</v>
      </c>
    </row>
    <row r="56" spans="1:5" ht="15" hidden="1">
      <c r="A56" t="s">
        <v>88</v>
      </c>
      <c r="E56">
        <f>SUM(E53:E55)</f>
        <v>5155</v>
      </c>
    </row>
    <row r="57" ht="15" hidden="1"/>
    <row r="58" spans="1:5" ht="15" hidden="1">
      <c r="A58" t="s">
        <v>69</v>
      </c>
      <c r="B58">
        <v>8</v>
      </c>
      <c r="C58">
        <v>107</v>
      </c>
      <c r="D58">
        <v>7</v>
      </c>
      <c r="E58">
        <f>SUM(B58:D58)</f>
        <v>122</v>
      </c>
    </row>
    <row r="59" spans="1:5" ht="15" hidden="1">
      <c r="A59" t="s">
        <v>68</v>
      </c>
      <c r="C59">
        <v>10</v>
      </c>
      <c r="D59">
        <v>3</v>
      </c>
      <c r="E59">
        <f>SUM(B59:D59)</f>
        <v>13</v>
      </c>
    </row>
    <row r="60" spans="1:5" ht="15" hidden="1">
      <c r="A60" t="s">
        <v>70</v>
      </c>
      <c r="B60">
        <v>1</v>
      </c>
      <c r="C60">
        <v>12</v>
      </c>
      <c r="E60">
        <f aca="true" t="shared" si="4" ref="E60:E74">SUM(B60:D60)</f>
        <v>13</v>
      </c>
    </row>
    <row r="61" spans="1:5" ht="15" hidden="1">
      <c r="A61" t="s">
        <v>71</v>
      </c>
      <c r="D61">
        <v>2</v>
      </c>
      <c r="E61">
        <f t="shared" si="4"/>
        <v>2</v>
      </c>
    </row>
    <row r="62" spans="1:5" ht="15" hidden="1">
      <c r="A62" t="s">
        <v>72</v>
      </c>
      <c r="D62">
        <v>1</v>
      </c>
      <c r="E62">
        <f t="shared" si="4"/>
        <v>1</v>
      </c>
    </row>
    <row r="63" spans="1:5" ht="15" hidden="1">
      <c r="A63" t="s">
        <v>73</v>
      </c>
      <c r="C63">
        <v>21</v>
      </c>
      <c r="D63">
        <v>1</v>
      </c>
      <c r="E63">
        <f t="shared" si="4"/>
        <v>22</v>
      </c>
    </row>
    <row r="64" spans="1:5" ht="15" hidden="1">
      <c r="A64" t="s">
        <v>74</v>
      </c>
      <c r="B64">
        <v>1</v>
      </c>
      <c r="C64">
        <v>56</v>
      </c>
      <c r="D64">
        <v>4</v>
      </c>
      <c r="E64">
        <f t="shared" si="4"/>
        <v>61</v>
      </c>
    </row>
    <row r="65" spans="1:5" ht="15" hidden="1">
      <c r="A65" t="s">
        <v>75</v>
      </c>
      <c r="C65">
        <v>1</v>
      </c>
      <c r="E65">
        <f t="shared" si="4"/>
        <v>1</v>
      </c>
    </row>
    <row r="66" spans="1:5" ht="15" hidden="1">
      <c r="A66" t="s">
        <v>76</v>
      </c>
      <c r="C66">
        <v>2</v>
      </c>
      <c r="E66" s="13">
        <f t="shared" si="4"/>
        <v>2</v>
      </c>
    </row>
    <row r="67" spans="1:5" ht="15" hidden="1">
      <c r="A67" t="s">
        <v>83</v>
      </c>
      <c r="E67">
        <f>SUM(E58:E66)</f>
        <v>237</v>
      </c>
    </row>
    <row r="68" ht="15" hidden="1"/>
    <row r="69" spans="1:5" ht="15" hidden="1">
      <c r="A69" t="s">
        <v>77</v>
      </c>
      <c r="B69">
        <v>1</v>
      </c>
      <c r="C69">
        <v>2</v>
      </c>
      <c r="D69">
        <v>10</v>
      </c>
      <c r="E69">
        <f t="shared" si="4"/>
        <v>13</v>
      </c>
    </row>
    <row r="70" spans="1:5" ht="15" hidden="1">
      <c r="A70" t="s">
        <v>78</v>
      </c>
      <c r="C70">
        <v>2</v>
      </c>
      <c r="E70">
        <f t="shared" si="4"/>
        <v>2</v>
      </c>
    </row>
    <row r="71" spans="1:5" ht="15" hidden="1">
      <c r="A71" t="s">
        <v>79</v>
      </c>
      <c r="D71">
        <v>4</v>
      </c>
      <c r="E71">
        <f t="shared" si="4"/>
        <v>4</v>
      </c>
    </row>
    <row r="72" spans="1:5" ht="15" hidden="1">
      <c r="A72" t="s">
        <v>80</v>
      </c>
      <c r="C72">
        <v>2</v>
      </c>
      <c r="D72">
        <v>1</v>
      </c>
      <c r="E72">
        <f t="shared" si="4"/>
        <v>3</v>
      </c>
    </row>
    <row r="73" spans="1:5" ht="15" hidden="1">
      <c r="A73" t="s">
        <v>81</v>
      </c>
      <c r="C73">
        <v>1</v>
      </c>
      <c r="E73">
        <f t="shared" si="4"/>
        <v>1</v>
      </c>
    </row>
    <row r="74" spans="1:5" ht="15" hidden="1">
      <c r="A74" t="s">
        <v>82</v>
      </c>
      <c r="D74">
        <v>1</v>
      </c>
      <c r="E74" s="3">
        <f t="shared" si="4"/>
        <v>1</v>
      </c>
    </row>
    <row r="75" spans="1:5" ht="15" hidden="1">
      <c r="A75" t="s">
        <v>84</v>
      </c>
      <c r="E75">
        <f>SUM(E69:E74)</f>
        <v>24</v>
      </c>
    </row>
    <row r="76" ht="15" hidden="1"/>
    <row r="77" ht="15" hidden="1"/>
    <row r="78" spans="1:5" ht="15" hidden="1">
      <c r="A78" t="s">
        <v>53</v>
      </c>
      <c r="B78">
        <v>34</v>
      </c>
      <c r="C78">
        <v>2505</v>
      </c>
      <c r="D78">
        <v>178</v>
      </c>
      <c r="E78">
        <f>SUM(B78:D78)</f>
        <v>2717</v>
      </c>
    </row>
    <row r="79" spans="1:5" ht="15" hidden="1">
      <c r="A79" t="s">
        <v>51</v>
      </c>
      <c r="B79">
        <v>289</v>
      </c>
      <c r="C79">
        <v>991</v>
      </c>
      <c r="D79">
        <v>507</v>
      </c>
      <c r="E79">
        <f>SUM(B79:D79)</f>
        <v>1787</v>
      </c>
    </row>
    <row r="80" spans="1:5" ht="15" hidden="1">
      <c r="A80" t="s">
        <v>50</v>
      </c>
      <c r="C80">
        <v>51</v>
      </c>
      <c r="D80">
        <v>3</v>
      </c>
      <c r="E80">
        <f>SUM(B80:D80)</f>
        <v>54</v>
      </c>
    </row>
    <row r="81" spans="1:5" ht="15" hidden="1">
      <c r="A81" t="s">
        <v>52</v>
      </c>
      <c r="B81">
        <v>3</v>
      </c>
      <c r="C81">
        <v>49</v>
      </c>
      <c r="D81">
        <v>34</v>
      </c>
      <c r="E81" s="3">
        <f>SUM(B81:D81)</f>
        <v>86</v>
      </c>
    </row>
    <row r="82" spans="1:5" ht="15" hidden="1">
      <c r="A82" t="s">
        <v>85</v>
      </c>
      <c r="E82">
        <f>SUM(E78:E81)</f>
        <v>4644</v>
      </c>
    </row>
    <row r="83" ht="15" hidden="1"/>
    <row r="84" spans="1:5" ht="15" hidden="1">
      <c r="A84" t="s">
        <v>59</v>
      </c>
      <c r="B84">
        <v>1</v>
      </c>
      <c r="C84">
        <v>104</v>
      </c>
      <c r="D84">
        <v>8</v>
      </c>
      <c r="E84">
        <f aca="true" t="shared" si="5" ref="E84:E92">SUM(B84:D84)</f>
        <v>113</v>
      </c>
    </row>
    <row r="85" spans="1:5" ht="15" hidden="1">
      <c r="A85" t="s">
        <v>58</v>
      </c>
      <c r="C85">
        <v>10</v>
      </c>
      <c r="E85">
        <f t="shared" si="5"/>
        <v>10</v>
      </c>
    </row>
    <row r="86" spans="1:5" ht="15" hidden="1">
      <c r="A86" t="s">
        <v>56</v>
      </c>
      <c r="B86">
        <v>2</v>
      </c>
      <c r="C86">
        <v>46</v>
      </c>
      <c r="D86">
        <v>16</v>
      </c>
      <c r="E86">
        <f t="shared" si="5"/>
        <v>64</v>
      </c>
    </row>
    <row r="87" spans="1:5" ht="15" hidden="1">
      <c r="A87" t="s">
        <v>60</v>
      </c>
      <c r="D87">
        <v>1</v>
      </c>
      <c r="E87">
        <f t="shared" si="5"/>
        <v>1</v>
      </c>
    </row>
    <row r="88" spans="1:5" ht="15" hidden="1">
      <c r="A88" t="s">
        <v>61</v>
      </c>
      <c r="B88">
        <v>1</v>
      </c>
      <c r="D88">
        <v>4</v>
      </c>
      <c r="E88">
        <f t="shared" si="5"/>
        <v>5</v>
      </c>
    </row>
    <row r="89" spans="1:5" ht="15" hidden="1">
      <c r="A89" t="s">
        <v>65</v>
      </c>
      <c r="C89">
        <v>1</v>
      </c>
      <c r="E89">
        <f t="shared" si="5"/>
        <v>1</v>
      </c>
    </row>
    <row r="90" spans="1:5" ht="15" hidden="1">
      <c r="A90" t="s">
        <v>63</v>
      </c>
      <c r="C90">
        <v>37</v>
      </c>
      <c r="D90">
        <v>1</v>
      </c>
      <c r="E90">
        <f t="shared" si="5"/>
        <v>38</v>
      </c>
    </row>
    <row r="91" spans="1:5" ht="15" hidden="1">
      <c r="A91" t="s">
        <v>64</v>
      </c>
      <c r="C91">
        <v>1</v>
      </c>
      <c r="E91">
        <f t="shared" si="5"/>
        <v>1</v>
      </c>
    </row>
    <row r="92" spans="1:5" ht="15" hidden="1">
      <c r="A92" t="s">
        <v>67</v>
      </c>
      <c r="C92">
        <v>10</v>
      </c>
      <c r="E92" s="3">
        <f t="shared" si="5"/>
        <v>10</v>
      </c>
    </row>
    <row r="93" spans="1:5" ht="15" hidden="1">
      <c r="A93" t="s">
        <v>86</v>
      </c>
      <c r="E93">
        <f>SUM(E84:E92)</f>
        <v>243</v>
      </c>
    </row>
    <row r="94" ht="15" hidden="1"/>
    <row r="95" spans="1:5" ht="15" hidden="1">
      <c r="A95" t="s">
        <v>54</v>
      </c>
      <c r="C95">
        <v>2</v>
      </c>
      <c r="D95">
        <v>3</v>
      </c>
      <c r="E95">
        <f>SUM(B95:D95)</f>
        <v>5</v>
      </c>
    </row>
    <row r="96" spans="1:5" ht="15" hidden="1">
      <c r="A96" t="s">
        <v>55</v>
      </c>
      <c r="B96">
        <v>1</v>
      </c>
      <c r="C96">
        <v>4</v>
      </c>
      <c r="E96">
        <f>SUM(B96:D96)</f>
        <v>5</v>
      </c>
    </row>
    <row r="97" spans="1:5" ht="15" hidden="1">
      <c r="A97" t="s">
        <v>57</v>
      </c>
      <c r="D97">
        <v>5</v>
      </c>
      <c r="E97">
        <f>SUM(B97:D97)</f>
        <v>5</v>
      </c>
    </row>
    <row r="98" spans="1:5" ht="15" hidden="1">
      <c r="A98" t="s">
        <v>66</v>
      </c>
      <c r="C98">
        <v>2</v>
      </c>
      <c r="E98" s="3">
        <f>SUM(B98:D98)</f>
        <v>2</v>
      </c>
    </row>
    <row r="99" spans="1:5" ht="15" hidden="1">
      <c r="A99" t="s">
        <v>87</v>
      </c>
      <c r="E99">
        <f>SUM(E95:E98)</f>
        <v>17</v>
      </c>
    </row>
    <row r="100" ht="15" hidden="1"/>
    <row r="101" ht="15" hidden="1"/>
    <row r="102" ht="15" hidden="1"/>
    <row r="103" ht="15" hidden="1"/>
    <row r="104" spans="1:5" ht="15" hidden="1">
      <c r="A104" t="s">
        <v>88</v>
      </c>
      <c r="E104">
        <f>E56</f>
        <v>5155</v>
      </c>
    </row>
    <row r="105" spans="1:5" ht="15" hidden="1">
      <c r="A105" t="s">
        <v>83</v>
      </c>
      <c r="E105">
        <f>E67</f>
        <v>237</v>
      </c>
    </row>
    <row r="106" spans="1:5" ht="15" hidden="1">
      <c r="A106" t="s">
        <v>84</v>
      </c>
      <c r="E106" s="3">
        <f>E75</f>
        <v>24</v>
      </c>
    </row>
    <row r="107" spans="1:5" ht="15" hidden="1">
      <c r="A107" t="s">
        <v>90</v>
      </c>
      <c r="E107">
        <f>SUM(E104:E106)</f>
        <v>5416</v>
      </c>
    </row>
    <row r="108" ht="15" hidden="1"/>
    <row r="109" spans="1:5" ht="15" hidden="1">
      <c r="A109" t="s">
        <v>85</v>
      </c>
      <c r="E109">
        <f>E82</f>
        <v>4644</v>
      </c>
    </row>
    <row r="110" spans="1:5" ht="15" hidden="1">
      <c r="A110" t="s">
        <v>86</v>
      </c>
      <c r="E110">
        <f>E93</f>
        <v>243</v>
      </c>
    </row>
    <row r="111" spans="1:5" ht="15" hidden="1">
      <c r="A111" t="s">
        <v>87</v>
      </c>
      <c r="E111" s="3">
        <f>E99</f>
        <v>17</v>
      </c>
    </row>
    <row r="112" spans="1:5" ht="15" hidden="1">
      <c r="A112" t="s">
        <v>89</v>
      </c>
      <c r="E112">
        <f>SUM(E109:E111)</f>
        <v>4904</v>
      </c>
    </row>
    <row r="113" ht="15" hidden="1"/>
    <row r="114" spans="1:5" ht="15" hidden="1">
      <c r="A114" t="s">
        <v>91</v>
      </c>
      <c r="E114">
        <f>E104+E109</f>
        <v>9799</v>
      </c>
    </row>
    <row r="115" spans="1:5" ht="15" hidden="1">
      <c r="A115" t="s">
        <v>92</v>
      </c>
      <c r="E115">
        <f>E105+E110</f>
        <v>480</v>
      </c>
    </row>
    <row r="116" spans="1:5" ht="15" hidden="1">
      <c r="A116" t="s">
        <v>93</v>
      </c>
      <c r="E116">
        <f>E106+E111</f>
        <v>41</v>
      </c>
    </row>
    <row r="117" spans="1:5" ht="15.75" hidden="1" thickBot="1">
      <c r="A117" t="s">
        <v>94</v>
      </c>
      <c r="E117" s="5">
        <f>SUM(E114:E116)</f>
        <v>10320</v>
      </c>
    </row>
    <row r="120" spans="2:9" ht="15">
      <c r="B120" s="1"/>
      <c r="C120" s="1"/>
      <c r="D120" s="1"/>
      <c r="E120" s="1"/>
      <c r="G120" s="1"/>
      <c r="I120" s="1"/>
    </row>
    <row r="121" spans="1:9" ht="18.75">
      <c r="A121" s="11"/>
      <c r="B121" s="27"/>
      <c r="C121" s="27"/>
      <c r="D121" s="27"/>
      <c r="E121" s="27"/>
      <c r="F121" s="27"/>
      <c r="G121" s="27"/>
      <c r="H121" s="27"/>
      <c r="I121" s="27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landscape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I90" sqref="I90"/>
    </sheetView>
  </sheetViews>
  <sheetFormatPr defaultColWidth="9.140625" defaultRowHeight="15"/>
  <cols>
    <col min="1" max="1" width="36.28125" style="0" customWidth="1"/>
    <col min="2" max="3" width="8.8515625" style="0" customWidth="1"/>
    <col min="4" max="4" width="9.7109375" style="0" hidden="1" customWidth="1"/>
    <col min="5" max="5" width="8.57421875" style="0" customWidth="1"/>
    <col min="6" max="6" width="8.7109375" style="0" hidden="1" customWidth="1"/>
    <col min="7" max="7" width="8.8515625" style="0" customWidth="1"/>
    <col min="8" max="8" width="8.8515625" style="0" hidden="1" customWidth="1"/>
    <col min="9" max="9" width="8.8515625" style="0" customWidth="1"/>
    <col min="10" max="10" width="8.8515625" style="1" hidden="1" customWidth="1"/>
    <col min="11" max="11" width="8.8515625" style="0" customWidth="1"/>
  </cols>
  <sheetData>
    <row r="1" spans="2:11" ht="15">
      <c r="B1" s="9"/>
      <c r="F1" s="1"/>
      <c r="G1" s="1"/>
      <c r="H1" s="1"/>
      <c r="I1" s="1"/>
      <c r="K1" s="1"/>
    </row>
    <row r="2" spans="1:16" ht="18.75">
      <c r="A2" s="11" t="s">
        <v>104</v>
      </c>
      <c r="B2" t="s">
        <v>308</v>
      </c>
      <c r="C2" t="s">
        <v>309</v>
      </c>
      <c r="D2" s="26" t="s">
        <v>121</v>
      </c>
      <c r="E2" s="26" t="s">
        <v>118</v>
      </c>
      <c r="F2" s="26" t="s">
        <v>120</v>
      </c>
      <c r="G2" s="26" t="s">
        <v>119</v>
      </c>
      <c r="H2" s="26" t="s">
        <v>123</v>
      </c>
      <c r="I2" s="26" t="s">
        <v>122</v>
      </c>
      <c r="J2" s="26" t="s">
        <v>125</v>
      </c>
      <c r="K2" s="26" t="s">
        <v>124</v>
      </c>
      <c r="M2" s="26" t="s">
        <v>316</v>
      </c>
      <c r="N2" s="26" t="s">
        <v>317</v>
      </c>
      <c r="O2" s="26" t="s">
        <v>318</v>
      </c>
      <c r="P2" s="26" t="s">
        <v>319</v>
      </c>
    </row>
    <row r="3" spans="1:11" ht="15">
      <c r="A3" t="s">
        <v>105</v>
      </c>
      <c r="D3">
        <v>86</v>
      </c>
      <c r="E3">
        <v>553</v>
      </c>
      <c r="F3">
        <v>106</v>
      </c>
      <c r="G3">
        <v>699</v>
      </c>
      <c r="H3">
        <v>58</v>
      </c>
      <c r="I3" s="1">
        <v>703</v>
      </c>
      <c r="J3" s="1">
        <v>71</v>
      </c>
      <c r="K3" s="1">
        <v>799</v>
      </c>
    </row>
    <row r="4" spans="1:11" ht="15">
      <c r="A4" t="s">
        <v>106</v>
      </c>
      <c r="G4">
        <v>538</v>
      </c>
      <c r="H4">
        <v>34</v>
      </c>
      <c r="I4" s="1">
        <v>551</v>
      </c>
      <c r="J4" s="1">
        <v>12</v>
      </c>
      <c r="K4" s="1">
        <v>614</v>
      </c>
    </row>
    <row r="5" spans="1:11" ht="15">
      <c r="A5" t="s">
        <v>114</v>
      </c>
      <c r="D5">
        <v>487</v>
      </c>
      <c r="E5">
        <v>649</v>
      </c>
      <c r="F5">
        <v>445</v>
      </c>
      <c r="G5">
        <v>709</v>
      </c>
      <c r="H5">
        <v>495</v>
      </c>
      <c r="I5" s="1">
        <v>716</v>
      </c>
      <c r="J5" s="1">
        <v>525</v>
      </c>
      <c r="K5" s="1">
        <v>787</v>
      </c>
    </row>
    <row r="6" spans="1:11" ht="15">
      <c r="A6" t="s">
        <v>115</v>
      </c>
      <c r="D6">
        <v>336</v>
      </c>
      <c r="E6">
        <v>251</v>
      </c>
      <c r="F6">
        <v>337</v>
      </c>
      <c r="G6">
        <v>257</v>
      </c>
      <c r="H6">
        <v>320</v>
      </c>
      <c r="I6" s="1">
        <v>250</v>
      </c>
      <c r="J6" s="1">
        <v>323</v>
      </c>
      <c r="K6" s="1">
        <v>266</v>
      </c>
    </row>
    <row r="7" spans="1:11" ht="15">
      <c r="A7" t="s">
        <v>116</v>
      </c>
      <c r="D7">
        <v>275</v>
      </c>
      <c r="E7">
        <v>260</v>
      </c>
      <c r="F7">
        <v>302</v>
      </c>
      <c r="G7">
        <v>266</v>
      </c>
      <c r="H7">
        <v>286</v>
      </c>
      <c r="I7" s="1">
        <v>270</v>
      </c>
      <c r="J7" s="1">
        <v>303</v>
      </c>
      <c r="K7" s="1">
        <v>270</v>
      </c>
    </row>
    <row r="8" spans="1:11" ht="15">
      <c r="A8" t="s">
        <v>117</v>
      </c>
      <c r="D8">
        <v>174</v>
      </c>
      <c r="E8">
        <v>171</v>
      </c>
      <c r="F8">
        <v>196</v>
      </c>
      <c r="G8">
        <v>166</v>
      </c>
      <c r="H8">
        <v>210</v>
      </c>
      <c r="I8" s="1">
        <v>174</v>
      </c>
      <c r="J8" s="1">
        <v>211</v>
      </c>
      <c r="K8" s="1">
        <v>165</v>
      </c>
    </row>
    <row r="9" spans="1:11" ht="15">
      <c r="A9" t="s">
        <v>326</v>
      </c>
      <c r="D9">
        <v>54</v>
      </c>
      <c r="E9">
        <v>50</v>
      </c>
      <c r="F9">
        <v>54</v>
      </c>
      <c r="G9">
        <v>30</v>
      </c>
      <c r="H9">
        <v>28</v>
      </c>
      <c r="I9" s="1">
        <v>27</v>
      </c>
      <c r="J9" s="1">
        <v>24</v>
      </c>
      <c r="K9" s="1">
        <v>38</v>
      </c>
    </row>
    <row r="10" spans="1:11" ht="15">
      <c r="A10" t="s">
        <v>329</v>
      </c>
      <c r="D10">
        <v>19</v>
      </c>
      <c r="E10">
        <v>16</v>
      </c>
      <c r="F10">
        <v>15</v>
      </c>
      <c r="G10">
        <v>22</v>
      </c>
      <c r="H10">
        <v>18</v>
      </c>
      <c r="I10" s="1">
        <v>30</v>
      </c>
      <c r="J10" s="1">
        <v>23</v>
      </c>
      <c r="K10" s="1">
        <v>19</v>
      </c>
    </row>
    <row r="11" spans="1:11" ht="15">
      <c r="A11" t="s">
        <v>327</v>
      </c>
      <c r="F11">
        <v>1</v>
      </c>
      <c r="G11">
        <v>1</v>
      </c>
      <c r="H11">
        <v>1</v>
      </c>
      <c r="I11" s="1">
        <v>10</v>
      </c>
      <c r="J11" s="1">
        <v>0</v>
      </c>
      <c r="K11" s="1">
        <v>0</v>
      </c>
    </row>
    <row r="12" spans="1:11" ht="15">
      <c r="A12" t="s">
        <v>328</v>
      </c>
      <c r="I12" s="1"/>
      <c r="K12" s="1">
        <v>15</v>
      </c>
    </row>
    <row r="13" spans="1:11" ht="15">
      <c r="A13" t="s">
        <v>330</v>
      </c>
      <c r="E13">
        <f>SUM(E9:E12)</f>
        <v>66</v>
      </c>
      <c r="G13">
        <f>SUM(G9:G12)</f>
        <v>53</v>
      </c>
      <c r="H13">
        <f>SUM(H9:H12)</f>
        <v>47</v>
      </c>
      <c r="I13">
        <f>SUM(I9:I12)</f>
        <v>67</v>
      </c>
      <c r="J13">
        <f>SUM(J9:J12)</f>
        <v>47</v>
      </c>
      <c r="K13">
        <f>SUM(K9:K12)</f>
        <v>72</v>
      </c>
    </row>
    <row r="14" spans="9:11" ht="15">
      <c r="I14" s="1"/>
      <c r="K14" s="1"/>
    </row>
    <row r="15" spans="1:11" ht="15">
      <c r="A15" t="s">
        <v>107</v>
      </c>
      <c r="D15">
        <v>1069</v>
      </c>
      <c r="E15">
        <v>1091</v>
      </c>
      <c r="F15">
        <v>1126</v>
      </c>
      <c r="G15">
        <v>1242</v>
      </c>
      <c r="H15">
        <v>1179</v>
      </c>
      <c r="I15" s="1">
        <v>1264</v>
      </c>
      <c r="J15" s="1">
        <v>1228</v>
      </c>
      <c r="K15" s="1">
        <v>1344</v>
      </c>
    </row>
    <row r="16" spans="1:11" ht="15">
      <c r="A16" t="s">
        <v>108</v>
      </c>
      <c r="D16">
        <v>245</v>
      </c>
      <c r="E16">
        <v>273</v>
      </c>
      <c r="F16">
        <v>199</v>
      </c>
      <c r="G16">
        <v>209</v>
      </c>
      <c r="H16">
        <v>179</v>
      </c>
      <c r="I16" s="1">
        <v>199</v>
      </c>
      <c r="J16" s="1">
        <v>181</v>
      </c>
      <c r="K16" s="1">
        <v>201</v>
      </c>
    </row>
    <row r="17" spans="1:11" ht="15">
      <c r="A17" t="s">
        <v>109</v>
      </c>
      <c r="D17">
        <v>31</v>
      </c>
      <c r="E17">
        <v>34</v>
      </c>
      <c r="F17">
        <v>25</v>
      </c>
      <c r="H17">
        <v>10</v>
      </c>
      <c r="I17" s="1"/>
      <c r="J17" s="1">
        <v>25</v>
      </c>
      <c r="K17" s="1"/>
    </row>
    <row r="18" spans="9:11" ht="15">
      <c r="I18" s="1"/>
      <c r="K18" s="1"/>
    </row>
    <row r="19" spans="1:11" ht="15">
      <c r="A19" t="s">
        <v>305</v>
      </c>
      <c r="D19">
        <v>238</v>
      </c>
      <c r="E19">
        <v>180</v>
      </c>
      <c r="F19">
        <v>241</v>
      </c>
      <c r="G19">
        <v>266</v>
      </c>
      <c r="H19">
        <v>258</v>
      </c>
      <c r="I19" s="1">
        <v>275</v>
      </c>
      <c r="J19" s="1">
        <v>283</v>
      </c>
      <c r="K19" s="1">
        <v>264</v>
      </c>
    </row>
    <row r="20" spans="1:11" ht="15">
      <c r="A20" t="s">
        <v>306</v>
      </c>
      <c r="D20">
        <v>132</v>
      </c>
      <c r="E20">
        <v>131</v>
      </c>
      <c r="F20">
        <v>186</v>
      </c>
      <c r="G20">
        <v>206</v>
      </c>
      <c r="H20">
        <v>190</v>
      </c>
      <c r="I20" s="1">
        <v>170</v>
      </c>
      <c r="J20" s="1">
        <v>165</v>
      </c>
      <c r="K20" s="1">
        <v>152</v>
      </c>
    </row>
    <row r="21" spans="1:12" ht="15">
      <c r="A21" t="s">
        <v>307</v>
      </c>
      <c r="D21" s="4">
        <f>(D19+D20)/D29</f>
        <v>0.275092936802974</v>
      </c>
      <c r="E21" s="4">
        <f aca="true" t="shared" si="0" ref="E21:K21">(E19+E20)/E29</f>
        <v>0.22261989978525412</v>
      </c>
      <c r="F21" s="4">
        <f t="shared" si="0"/>
        <v>0.3162962962962963</v>
      </c>
      <c r="G21" s="4">
        <f t="shared" si="0"/>
        <v>0.32529290144727774</v>
      </c>
      <c r="H21" s="4">
        <f t="shared" si="0"/>
        <v>0.32989690721649484</v>
      </c>
      <c r="I21" s="4">
        <f t="shared" si="0"/>
        <v>0.3012863913337847</v>
      </c>
      <c r="J21" s="4">
        <f t="shared" si="0"/>
        <v>0.3179559971611072</v>
      </c>
      <c r="K21" s="4">
        <f t="shared" si="0"/>
        <v>0.2747688243064729</v>
      </c>
      <c r="L21" s="4">
        <f>(D21+E21+F21+G21+H21+I21+J21+K21)/8</f>
        <v>0.2954012692937077</v>
      </c>
    </row>
    <row r="22" spans="9:11" ht="15">
      <c r="I22" s="1"/>
      <c r="K22" s="1"/>
    </row>
    <row r="23" spans="9:11" ht="15">
      <c r="I23" s="1"/>
      <c r="K23" s="1"/>
    </row>
    <row r="24" spans="1:11" ht="15">
      <c r="A24" t="s">
        <v>110</v>
      </c>
      <c r="D24">
        <v>295</v>
      </c>
      <c r="E24">
        <v>301</v>
      </c>
      <c r="F24">
        <v>317</v>
      </c>
      <c r="G24">
        <v>293</v>
      </c>
      <c r="H24">
        <v>294</v>
      </c>
      <c r="I24" s="1">
        <v>267</v>
      </c>
      <c r="J24" s="1">
        <v>273</v>
      </c>
      <c r="K24" s="1">
        <v>247</v>
      </c>
    </row>
    <row r="25" spans="1:11" ht="15">
      <c r="A25" t="s">
        <v>111</v>
      </c>
      <c r="D25">
        <v>106</v>
      </c>
      <c r="E25">
        <v>164</v>
      </c>
      <c r="F25">
        <v>187</v>
      </c>
      <c r="G25">
        <v>177</v>
      </c>
      <c r="H25">
        <v>173</v>
      </c>
      <c r="I25" s="1">
        <v>153</v>
      </c>
      <c r="J25" s="1">
        <v>152</v>
      </c>
      <c r="K25" s="1">
        <v>148</v>
      </c>
    </row>
    <row r="26" spans="1:11" ht="15">
      <c r="A26" t="s">
        <v>112</v>
      </c>
      <c r="D26">
        <v>877</v>
      </c>
      <c r="E26">
        <v>754</v>
      </c>
      <c r="F26">
        <v>1057</v>
      </c>
      <c r="G26">
        <v>1123</v>
      </c>
      <c r="H26">
        <v>1082</v>
      </c>
      <c r="I26" s="1">
        <v>1145</v>
      </c>
      <c r="J26" s="1">
        <v>1140</v>
      </c>
      <c r="K26" s="1">
        <v>1205</v>
      </c>
    </row>
    <row r="27" spans="1:11" ht="15">
      <c r="A27" t="s">
        <v>113</v>
      </c>
      <c r="D27">
        <v>181</v>
      </c>
      <c r="E27">
        <v>153</v>
      </c>
      <c r="F27">
        <v>200</v>
      </c>
      <c r="G27">
        <v>221</v>
      </c>
      <c r="H27">
        <v>205</v>
      </c>
      <c r="I27" s="1">
        <v>266</v>
      </c>
      <c r="J27" s="1">
        <v>248</v>
      </c>
      <c r="K27" s="1">
        <v>302</v>
      </c>
    </row>
    <row r="29" spans="1:16" ht="15">
      <c r="A29" t="s">
        <v>283</v>
      </c>
      <c r="B29">
        <v>1224</v>
      </c>
      <c r="C29">
        <v>1337</v>
      </c>
      <c r="D29">
        <f aca="true" t="shared" si="1" ref="D29:J29">SUM(D5:D12)</f>
        <v>1345</v>
      </c>
      <c r="E29">
        <f t="shared" si="1"/>
        <v>1397</v>
      </c>
      <c r="F29">
        <f t="shared" si="1"/>
        <v>1350</v>
      </c>
      <c r="G29">
        <f t="shared" si="1"/>
        <v>1451</v>
      </c>
      <c r="H29">
        <f t="shared" si="1"/>
        <v>1358</v>
      </c>
      <c r="I29">
        <f t="shared" si="1"/>
        <v>1477</v>
      </c>
      <c r="J29">
        <f t="shared" si="1"/>
        <v>1409</v>
      </c>
      <c r="K29">
        <v>1514</v>
      </c>
      <c r="M29" s="46">
        <f>'No of Beds'!E29</f>
        <v>1668.7440000000001</v>
      </c>
      <c r="N29" s="46">
        <f>'No of Beds'!F29</f>
        <v>1798.906032</v>
      </c>
      <c r="O29" s="46">
        <f>'No of Beds'!G29</f>
        <v>1939.2207024960003</v>
      </c>
      <c r="P29" s="46">
        <f>'No of Beds'!H29</f>
        <v>2090.4799172906883</v>
      </c>
    </row>
    <row r="30" spans="3:16" ht="15">
      <c r="C30" s="153">
        <f>(C29-B29)/B29</f>
        <v>0.0923202614379085</v>
      </c>
      <c r="E30" s="153">
        <f aca="true" t="shared" si="2" ref="E30:K30">(E29-D29)/D29</f>
        <v>0.038661710037174724</v>
      </c>
      <c r="F30" s="153">
        <f t="shared" si="2"/>
        <v>-0.03364352183249821</v>
      </c>
      <c r="G30" s="153">
        <f t="shared" si="2"/>
        <v>0.07481481481481482</v>
      </c>
      <c r="H30" s="153">
        <f t="shared" si="2"/>
        <v>-0.06409372846312887</v>
      </c>
      <c r="I30" s="153">
        <f t="shared" si="2"/>
        <v>0.08762886597938144</v>
      </c>
      <c r="J30" s="153">
        <f t="shared" si="2"/>
        <v>-0.046039268788083954</v>
      </c>
      <c r="K30" s="153">
        <f t="shared" si="2"/>
        <v>0.0745209368346345</v>
      </c>
      <c r="M30" s="153">
        <f>(M29-K29)/K29</f>
        <v>0.10220871862615598</v>
      </c>
      <c r="N30" s="153">
        <f>(N29-M29)/M29</f>
        <v>0.07799999999999997</v>
      </c>
      <c r="O30" s="153">
        <f>(O29-N29)/N29</f>
        <v>0.0780000000000001</v>
      </c>
      <c r="P30" s="153">
        <f>(P29-O29)/O29</f>
        <v>0.07799999999999997</v>
      </c>
    </row>
    <row r="32" ht="15">
      <c r="E32" s="4">
        <f>(C30+E30+G30+I30+K30)/5</f>
        <v>0.0735893178207828</v>
      </c>
    </row>
  </sheetData>
  <sheetProtection/>
  <printOptions/>
  <pageMargins left="0.7" right="0.7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9"/>
  <sheetViews>
    <sheetView zoomScale="75" zoomScaleNormal="75" zoomScalePageLayoutView="0" workbookViewId="0" topLeftCell="A1">
      <pane xSplit="4800" ySplit="735" topLeftCell="B1" activePane="bottomRight" state="split"/>
      <selection pane="topLeft" activeCell="A1" sqref="A1"/>
      <selection pane="topRight" activeCell="B1" sqref="B1"/>
      <selection pane="bottomLeft" activeCell="A3" sqref="A3"/>
      <selection pane="bottomRight" activeCell="D72" sqref="D72"/>
    </sheetView>
  </sheetViews>
  <sheetFormatPr defaultColWidth="9.140625" defaultRowHeight="15"/>
  <cols>
    <col min="1" max="1" width="56.57421875" style="0" customWidth="1"/>
    <col min="2" max="2" width="11.140625" style="0" customWidth="1"/>
    <col min="4" max="4" width="11.7109375" style="0" customWidth="1"/>
    <col min="5" max="6" width="12.28125" style="0" customWidth="1"/>
    <col min="7" max="7" width="12.57421875" style="0" customWidth="1"/>
    <col min="8" max="8" width="11.8515625" style="0" customWidth="1"/>
    <col min="9" max="9" width="12.00390625" style="0" customWidth="1"/>
    <col min="10" max="10" width="11.140625" style="0" customWidth="1"/>
    <col min="11" max="11" width="12.28125" style="0" customWidth="1"/>
    <col min="12" max="12" width="12.8515625" style="0" customWidth="1"/>
    <col min="13" max="13" width="12.421875" style="0" customWidth="1"/>
    <col min="15" max="15" width="10.421875" style="0" bestFit="1" customWidth="1"/>
  </cols>
  <sheetData>
    <row r="1" ht="18.75">
      <c r="A1" s="11" t="s">
        <v>321</v>
      </c>
    </row>
    <row r="2" spans="4:13" s="12" customFormat="1" ht="15" customHeight="1">
      <c r="D2" s="13" t="s">
        <v>17</v>
      </c>
      <c r="E2" s="13" t="s">
        <v>18</v>
      </c>
      <c r="F2" s="13" t="s">
        <v>19</v>
      </c>
      <c r="G2" s="13" t="s">
        <v>20</v>
      </c>
      <c r="H2" s="13" t="s">
        <v>22</v>
      </c>
      <c r="I2" s="44" t="s">
        <v>23</v>
      </c>
      <c r="J2" s="44" t="s">
        <v>176</v>
      </c>
      <c r="K2" s="44" t="s">
        <v>177</v>
      </c>
      <c r="L2" s="44" t="s">
        <v>178</v>
      </c>
      <c r="M2" s="44" t="s">
        <v>179</v>
      </c>
    </row>
    <row r="3" spans="1:13" s="12" customFormat="1" ht="15" customHeight="1">
      <c r="A3" t="s">
        <v>167</v>
      </c>
      <c r="D3" s="25">
        <f aca="true" t="shared" si="0" ref="D3:M3">D84</f>
        <v>7472331.3</v>
      </c>
      <c r="E3" s="25">
        <f t="shared" si="0"/>
        <v>7037624.1875</v>
      </c>
      <c r="F3" s="25">
        <f t="shared" si="0"/>
        <v>7331189.872125001</v>
      </c>
      <c r="G3" s="25">
        <f t="shared" si="0"/>
        <v>7789596.317212501</v>
      </c>
      <c r="H3" s="25">
        <f t="shared" si="0"/>
        <v>8339808.298165314</v>
      </c>
      <c r="I3" s="25">
        <f t="shared" si="0"/>
        <v>8824306.222412298</v>
      </c>
      <c r="J3" s="25">
        <f t="shared" si="0"/>
        <v>9300962.97593574</v>
      </c>
      <c r="K3" s="25">
        <f t="shared" si="0"/>
        <v>9766011.124732528</v>
      </c>
      <c r="L3" s="25">
        <f t="shared" si="0"/>
        <v>10254311.680969156</v>
      </c>
      <c r="M3" s="25">
        <f t="shared" si="0"/>
        <v>10767027.265017614</v>
      </c>
    </row>
    <row r="4" spans="1:13" s="12" customFormat="1" ht="15" customHeight="1">
      <c r="A4" t="s">
        <v>148</v>
      </c>
      <c r="D4" s="25">
        <f aca="true" t="shared" si="1" ref="D4:M4">D106</f>
        <v>6767336</v>
      </c>
      <c r="E4" s="25">
        <f t="shared" si="1"/>
        <v>6243175.52</v>
      </c>
      <c r="F4" s="25">
        <f t="shared" si="1"/>
        <v>6487449.2966</v>
      </c>
      <c r="G4" s="25">
        <f t="shared" si="1"/>
        <v>6704596.542148001</v>
      </c>
      <c r="H4" s="25">
        <f t="shared" si="1"/>
        <v>6933384.036446941</v>
      </c>
      <c r="I4" s="25">
        <f t="shared" si="1"/>
        <v>7182755.273287214</v>
      </c>
      <c r="J4" s="25">
        <f t="shared" si="1"/>
        <v>7447138.191153424</v>
      </c>
      <c r="K4" s="25">
        <f t="shared" si="1"/>
        <v>7642101.855105821</v>
      </c>
      <c r="L4" s="25">
        <f t="shared" si="1"/>
        <v>8040156.18376269</v>
      </c>
      <c r="M4" s="25">
        <f t="shared" si="1"/>
        <v>8361962.82463307</v>
      </c>
    </row>
    <row r="5" spans="1:13" s="12" customFormat="1" ht="15" customHeight="1">
      <c r="A5" t="s">
        <v>168</v>
      </c>
      <c r="D5" s="25">
        <f>D3-D4-D111-D112-D113</f>
        <v>244995.2999999998</v>
      </c>
      <c r="E5" s="25">
        <f>E3-E4-E111-E112-E113-E114</f>
        <v>316448.66750000045</v>
      </c>
      <c r="F5" s="25">
        <f>F3-F4-F111-F112-F113-F114</f>
        <v>346840.5755250007</v>
      </c>
      <c r="G5" s="25">
        <f aca="true" t="shared" si="2" ref="G5:M5">G3-G4-G111-G112-G113</f>
        <v>568254.7750645</v>
      </c>
      <c r="H5" s="25">
        <f t="shared" si="2"/>
        <v>868842.0117183728</v>
      </c>
      <c r="I5" s="25">
        <f t="shared" si="2"/>
        <v>1082089.5866250831</v>
      </c>
      <c r="J5" s="25">
        <f t="shared" si="2"/>
        <v>1271390.3541573165</v>
      </c>
      <c r="K5" s="25">
        <f t="shared" si="2"/>
        <v>1517353.1174704568</v>
      </c>
      <c r="L5" s="25">
        <f t="shared" si="2"/>
        <v>1582271.5374424038</v>
      </c>
      <c r="M5" s="25">
        <f t="shared" si="2"/>
        <v>1746586.2826322778</v>
      </c>
    </row>
    <row r="6" spans="1:13" s="12" customFormat="1" ht="15" customHeight="1">
      <c r="A6" t="s">
        <v>169</v>
      </c>
      <c r="D6" s="39">
        <f aca="true" t="shared" si="3" ref="D6:M6">(D3-D100)/D104</f>
        <v>1.2406054218830895</v>
      </c>
      <c r="E6" s="39">
        <f t="shared" si="3"/>
        <v>1.3510427316645095</v>
      </c>
      <c r="F6" s="39">
        <f t="shared" si="3"/>
        <v>1.3722177435367944</v>
      </c>
      <c r="G6" s="39">
        <f t="shared" si="3"/>
        <v>1.4786543391743145</v>
      </c>
      <c r="H6" s="39">
        <f t="shared" si="3"/>
        <v>1.621306533200439</v>
      </c>
      <c r="I6" s="39">
        <f t="shared" si="3"/>
        <v>1.724690884287513</v>
      </c>
      <c r="J6" s="39">
        <f t="shared" si="3"/>
        <v>1.8186738812087826</v>
      </c>
      <c r="K6" s="39">
        <f t="shared" si="3"/>
        <v>1.976274805346531</v>
      </c>
      <c r="L6" s="39">
        <f t="shared" si="3"/>
        <v>1.9756572102157735</v>
      </c>
      <c r="M6" s="39">
        <f t="shared" si="3"/>
        <v>2.061848449978805</v>
      </c>
    </row>
    <row r="7" spans="1:13" s="12" customFormat="1" ht="15" customHeight="1">
      <c r="A7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s="12" customFormat="1" ht="15" customHeight="1">
      <c r="A8" s="3" t="s">
        <v>189</v>
      </c>
      <c r="D8" s="39"/>
      <c r="E8" s="39"/>
      <c r="F8" s="39"/>
      <c r="G8" s="39"/>
      <c r="H8" s="39"/>
      <c r="I8" s="39"/>
      <c r="J8" s="39"/>
      <c r="K8" s="39"/>
      <c r="L8" s="39"/>
      <c r="M8" s="39"/>
    </row>
    <row r="9" spans="1:13" s="12" customFormat="1" ht="15" customHeight="1">
      <c r="A9" t="s">
        <v>170</v>
      </c>
      <c r="D9" s="160"/>
      <c r="E9" s="161"/>
      <c r="F9" s="161"/>
      <c r="G9" s="161"/>
      <c r="H9" s="161"/>
      <c r="I9" s="161"/>
      <c r="J9" s="161"/>
      <c r="K9" s="161"/>
      <c r="L9" s="161"/>
      <c r="M9" s="162"/>
    </row>
    <row r="10" spans="1:13" s="12" customFormat="1" ht="15" customHeight="1">
      <c r="A10" t="s">
        <v>171</v>
      </c>
      <c r="D10" s="163"/>
      <c r="E10" s="164"/>
      <c r="F10" s="164"/>
      <c r="G10" s="164"/>
      <c r="H10" s="164"/>
      <c r="I10" s="164"/>
      <c r="J10" s="164"/>
      <c r="K10" s="164"/>
      <c r="L10" s="164"/>
      <c r="M10" s="165"/>
    </row>
    <row r="11" spans="1:13" s="12" customFormat="1" ht="15" customHeight="1">
      <c r="A11" t="s">
        <v>172</v>
      </c>
      <c r="D11" s="163"/>
      <c r="E11" s="164"/>
      <c r="F11" s="164"/>
      <c r="G11" s="164"/>
      <c r="H11" s="164"/>
      <c r="I11" s="164"/>
      <c r="J11" s="164"/>
      <c r="K11" s="164"/>
      <c r="L11" s="164"/>
      <c r="M11" s="165"/>
    </row>
    <row r="12" spans="1:13" s="12" customFormat="1" ht="15" customHeight="1">
      <c r="A12" t="s">
        <v>180</v>
      </c>
      <c r="D12" s="163"/>
      <c r="E12" s="164"/>
      <c r="F12" s="164"/>
      <c r="G12" s="164"/>
      <c r="H12" s="164"/>
      <c r="I12" s="164">
        <v>1</v>
      </c>
      <c r="J12" s="164">
        <v>1</v>
      </c>
      <c r="K12" s="164">
        <v>1</v>
      </c>
      <c r="L12" s="164">
        <v>1</v>
      </c>
      <c r="M12" s="165">
        <v>1</v>
      </c>
    </row>
    <row r="13" spans="1:13" s="12" customFormat="1" ht="15" customHeight="1">
      <c r="A13" t="s">
        <v>181</v>
      </c>
      <c r="D13" s="166"/>
      <c r="E13" s="167"/>
      <c r="F13" s="167"/>
      <c r="G13" s="167"/>
      <c r="H13" s="167"/>
      <c r="I13" s="167"/>
      <c r="J13" s="167"/>
      <c r="K13" s="167">
        <v>1</v>
      </c>
      <c r="L13" s="167">
        <v>1</v>
      </c>
      <c r="M13" s="168">
        <v>1</v>
      </c>
    </row>
    <row r="14" spans="1:13" s="12" customFormat="1" ht="15" customHeight="1">
      <c r="A14"/>
      <c r="D14" s="25"/>
      <c r="E14" s="25"/>
      <c r="F14" s="25"/>
      <c r="G14" s="25"/>
      <c r="H14" s="25"/>
      <c r="I14" s="25"/>
      <c r="J14" s="25"/>
      <c r="K14" s="25"/>
      <c r="L14" s="25"/>
      <c r="M14" s="25"/>
    </row>
    <row r="15" spans="1:13" s="12" customFormat="1" ht="15" customHeight="1">
      <c r="A15" t="s">
        <v>191</v>
      </c>
      <c r="D15" s="25"/>
      <c r="E15" s="25"/>
      <c r="F15" s="45">
        <f>'E Bldg Estimates'!$I$7</f>
        <v>831843.8424000004</v>
      </c>
      <c r="G15" s="25">
        <f aca="true" t="shared" si="4" ref="G15:M15">F15*(1+G30)</f>
        <v>873436.0345200005</v>
      </c>
      <c r="H15" s="25">
        <f t="shared" si="4"/>
        <v>917107.8362460005</v>
      </c>
      <c r="I15" s="25">
        <f t="shared" si="4"/>
        <v>962963.2280583006</v>
      </c>
      <c r="J15" s="25">
        <f t="shared" si="4"/>
        <v>1011111.3894612156</v>
      </c>
      <c r="K15" s="25">
        <f t="shared" si="4"/>
        <v>1061666.9589342764</v>
      </c>
      <c r="L15" s="25">
        <f t="shared" si="4"/>
        <v>1114750.3068809903</v>
      </c>
      <c r="M15" s="25">
        <f t="shared" si="4"/>
        <v>1170487.8222250398</v>
      </c>
    </row>
    <row r="16" spans="1:13" s="12" customFormat="1" ht="15" customHeight="1">
      <c r="A16" t="s">
        <v>322</v>
      </c>
      <c r="D16" s="25"/>
      <c r="E16" s="45"/>
      <c r="F16" s="45">
        <f>F134</f>
        <v>866544</v>
      </c>
      <c r="G16" s="45">
        <f>G134</f>
        <v>1250265</v>
      </c>
      <c r="H16" s="45">
        <f aca="true" t="shared" si="5" ref="H16:M16">H134</f>
        <v>1249255</v>
      </c>
      <c r="I16" s="45">
        <f t="shared" si="5"/>
        <v>1251970</v>
      </c>
      <c r="J16" s="45">
        <f t="shared" si="5"/>
        <v>952013.36</v>
      </c>
      <c r="K16" s="45">
        <f t="shared" si="5"/>
        <v>951413.36</v>
      </c>
      <c r="L16" s="45">
        <f t="shared" si="5"/>
        <v>950663.36</v>
      </c>
      <c r="M16" s="45">
        <f t="shared" si="5"/>
        <v>949913.36</v>
      </c>
    </row>
    <row r="17" spans="1:13" s="12" customFormat="1" ht="15" customHeight="1">
      <c r="A17"/>
      <c r="D17" s="25"/>
      <c r="E17" s="45"/>
      <c r="F17" s="45"/>
      <c r="G17" s="45"/>
      <c r="H17" s="45"/>
      <c r="I17" s="45"/>
      <c r="J17" s="45"/>
      <c r="K17" s="45"/>
      <c r="L17" s="45"/>
      <c r="M17" s="45"/>
    </row>
    <row r="18" spans="1:13" s="12" customFormat="1" ht="15" customHeight="1">
      <c r="A18" t="s">
        <v>325</v>
      </c>
      <c r="D18" s="176"/>
      <c r="E18" s="177"/>
      <c r="F18" s="177"/>
      <c r="G18" s="177"/>
      <c r="H18" s="177"/>
      <c r="I18" s="177"/>
      <c r="J18" s="177"/>
      <c r="K18" s="177"/>
      <c r="L18" s="177"/>
      <c r="M18" s="178"/>
    </row>
    <row r="19" spans="1:13" s="12" customFormat="1" ht="15" customHeight="1">
      <c r="A19"/>
      <c r="D19" s="25"/>
      <c r="E19" s="45"/>
      <c r="F19" s="45"/>
      <c r="G19" s="45"/>
      <c r="H19" s="45"/>
      <c r="I19" s="45"/>
      <c r="J19" s="45"/>
      <c r="K19" s="45"/>
      <c r="L19" s="45"/>
      <c r="M19" s="45"/>
    </row>
    <row r="20" spans="1:13" s="12" customFormat="1" ht="15" customHeight="1">
      <c r="A20" t="s">
        <v>311</v>
      </c>
      <c r="B20" s="147"/>
      <c r="D20" s="170">
        <v>0.99</v>
      </c>
      <c r="E20" s="171">
        <v>0.9</v>
      </c>
      <c r="F20" s="171">
        <v>0.93</v>
      </c>
      <c r="G20" s="171">
        <v>0.95</v>
      </c>
      <c r="H20" s="171">
        <v>0.98</v>
      </c>
      <c r="I20" s="171">
        <v>0.99</v>
      </c>
      <c r="J20" s="171">
        <v>0.99</v>
      </c>
      <c r="K20" s="171">
        <v>0.99</v>
      </c>
      <c r="L20" s="171">
        <v>0.99</v>
      </c>
      <c r="M20" s="172">
        <v>0.99</v>
      </c>
    </row>
    <row r="21" spans="1:13" s="12" customFormat="1" ht="15" customHeight="1">
      <c r="A21" s="88" t="s">
        <v>312</v>
      </c>
      <c r="B21" s="147"/>
      <c r="D21" s="174">
        <v>0.95</v>
      </c>
      <c r="E21" s="173">
        <v>0.95</v>
      </c>
      <c r="F21" s="173">
        <v>0.9</v>
      </c>
      <c r="G21" s="173">
        <v>0.91</v>
      </c>
      <c r="H21" s="173">
        <v>0.93</v>
      </c>
      <c r="I21" s="173">
        <v>0.94</v>
      </c>
      <c r="J21" s="173">
        <v>0.95</v>
      </c>
      <c r="K21" s="173">
        <v>0.95</v>
      </c>
      <c r="L21" s="173">
        <v>0.95</v>
      </c>
      <c r="M21" s="175">
        <v>0.95</v>
      </c>
    </row>
    <row r="22" spans="1:13" s="12" customFormat="1" ht="15" customHeight="1">
      <c r="A22" s="88" t="s">
        <v>323</v>
      </c>
      <c r="B22" s="147"/>
      <c r="D22" s="179">
        <f>IF((D18=1),D20-0.13,D20)</f>
        <v>0.99</v>
      </c>
      <c r="E22" s="180">
        <f>IF((E18=1),E20-0.13,E20)</f>
        <v>0.9</v>
      </c>
      <c r="F22" s="180">
        <f>IF((F18=1),F20-0.13,IF((E18=1),F20-0.1,F20))</f>
        <v>0.93</v>
      </c>
      <c r="G22" s="180">
        <f>IF((G18=1),G20-0.13,IF((F18=1),G20-0.1,IF((E18=1),G20-0.05,G20)))</f>
        <v>0.95</v>
      </c>
      <c r="H22" s="180">
        <f aca="true" t="shared" si="6" ref="H22:M22">IF((H18=1),H20-0.13,IF((G18=1),H20-0.1,IF((F18=1),H20-0.05,H20)))</f>
        <v>0.98</v>
      </c>
      <c r="I22" s="180">
        <f t="shared" si="6"/>
        <v>0.99</v>
      </c>
      <c r="J22" s="180">
        <f t="shared" si="6"/>
        <v>0.99</v>
      </c>
      <c r="K22" s="180">
        <f t="shared" si="6"/>
        <v>0.99</v>
      </c>
      <c r="L22" s="180">
        <f t="shared" si="6"/>
        <v>0.99</v>
      </c>
      <c r="M22" s="180">
        <f t="shared" si="6"/>
        <v>0.99</v>
      </c>
    </row>
    <row r="23" spans="1:13" s="12" customFormat="1" ht="15" customHeight="1">
      <c r="A23" s="88" t="s">
        <v>324</v>
      </c>
      <c r="B23" s="147"/>
      <c r="D23" s="181">
        <f>IF((D18=1),D21-0.13,D21)</f>
        <v>0.95</v>
      </c>
      <c r="E23" s="182">
        <f>IF((E18=1),E21-0.13,E21)</f>
        <v>0.95</v>
      </c>
      <c r="F23" s="182">
        <f>IF((F18=1),F21-0.13,IF((E18=1),F21-0.1,F21))</f>
        <v>0.9</v>
      </c>
      <c r="G23" s="182">
        <f>IF((G18=1),G21-0.13,IF((F18=1),G21-0.1,IF((E18=1),G21-0.05,G21)))</f>
        <v>0.91</v>
      </c>
      <c r="H23" s="182">
        <f aca="true" t="shared" si="7" ref="H23:M23">IF((H18=1),H21-0.13,IF((G18=1),H21-0.1,IF((F18=1),H21-0.05,H21)))</f>
        <v>0.93</v>
      </c>
      <c r="I23" s="182">
        <f t="shared" si="7"/>
        <v>0.94</v>
      </c>
      <c r="J23" s="182">
        <f t="shared" si="7"/>
        <v>0.95</v>
      </c>
      <c r="K23" s="182">
        <f t="shared" si="7"/>
        <v>0.95</v>
      </c>
      <c r="L23" s="182">
        <f t="shared" si="7"/>
        <v>0.95</v>
      </c>
      <c r="M23" s="182">
        <f t="shared" si="7"/>
        <v>0.95</v>
      </c>
    </row>
    <row r="24" spans="1:13" s="12" customFormat="1" ht="15" customHeight="1">
      <c r="A24" t="s">
        <v>167</v>
      </c>
      <c r="D24" s="48">
        <f>IF((D9=1),D3-D45,IF((D10=1),D3-D50,IF((D11=1),D3-D55,IF((D12=1),D3-D45-D50,IF((D13=1),D3-D45-D50-D55,D3)))))</f>
        <v>7472331.3</v>
      </c>
      <c r="E24" s="31">
        <f>IF((E9=1),E3-E45,IF((E10=1),E3-E50,IF((E11=1),E3-E55,IF((E12=1),E3-E45-E50,IF((E13=1),E3-E45-E50-E55,E3)))))</f>
        <v>7037624.1875</v>
      </c>
      <c r="F24" s="31">
        <f aca="true" t="shared" si="8" ref="F24:M24">IF((F9=1),F3-F45+F15,IF((F10=1),F3-F50+F15,IF((F11=1),F3-F55+F15,IF((F12=1),F3-F45-F50+F15,IF((F13=1),F3-F45-F50-F55+F15,F3+F15)))))</f>
        <v>8163033.714525001</v>
      </c>
      <c r="G24" s="31">
        <f t="shared" si="8"/>
        <v>8663032.351732502</v>
      </c>
      <c r="H24" s="31">
        <f t="shared" si="8"/>
        <v>9256916.134411315</v>
      </c>
      <c r="I24" s="31">
        <f t="shared" si="8"/>
        <v>8837769.571796224</v>
      </c>
      <c r="J24" s="31">
        <f t="shared" si="8"/>
        <v>9315099.492788862</v>
      </c>
      <c r="K24" s="31">
        <f t="shared" si="8"/>
        <v>9780854.467428304</v>
      </c>
      <c r="L24" s="31">
        <f t="shared" si="8"/>
        <v>10269897.190799722</v>
      </c>
      <c r="M24" s="143">
        <f t="shared" si="8"/>
        <v>10783392.050339708</v>
      </c>
    </row>
    <row r="25" spans="1:13" s="12" customFormat="1" ht="15" customHeight="1">
      <c r="A25" t="s">
        <v>148</v>
      </c>
      <c r="D25" s="48">
        <f>IF((D9=1),D4-D118,IF((D10=1),D4-D119,IF((D11=1),D4-D120,IF((D12=1),D4-D118-D119,IF((D13=1),D4-D118-D119-D120,D4)))))</f>
        <v>6767336</v>
      </c>
      <c r="E25" s="31">
        <f aca="true" t="shared" si="9" ref="E25:M25">IF((E9=1),E4-E118+E16,IF((E10=1),E4-E119+E16,IF((E11=1),E4-E120+E16,IF((E12=1),E4-E118-E119+E16,IF((E13=1),E4-E118-E119-E120+E16,E4+E16)))))</f>
        <v>6243175.52</v>
      </c>
      <c r="F25" s="31">
        <f t="shared" si="9"/>
        <v>7353993.2966</v>
      </c>
      <c r="G25" s="31">
        <f t="shared" si="9"/>
        <v>7954861.542148001</v>
      </c>
      <c r="H25" s="31">
        <f t="shared" si="9"/>
        <v>8182639.036446941</v>
      </c>
      <c r="I25" s="31">
        <f t="shared" si="9"/>
        <v>7785604.545213302</v>
      </c>
      <c r="J25" s="31">
        <f t="shared" si="9"/>
        <v>7715033.277921172</v>
      </c>
      <c r="K25" s="31">
        <f t="shared" si="9"/>
        <v>7871926.938231853</v>
      </c>
      <c r="L25" s="31">
        <f t="shared" si="9"/>
        <v>8229079.595506015</v>
      </c>
      <c r="M25" s="143">
        <f t="shared" si="9"/>
        <v>8507074.319781505</v>
      </c>
    </row>
    <row r="26" spans="1:13" s="12" customFormat="1" ht="15" customHeight="1">
      <c r="A26" t="s">
        <v>168</v>
      </c>
      <c r="D26" s="49">
        <f>D24-D25-D111-D112-D113</f>
        <v>244995.2999999998</v>
      </c>
      <c r="E26" s="50">
        <f aca="true" t="shared" si="10" ref="E26:M26">E24-E25-E111-E112-E113</f>
        <v>316448.66750000045</v>
      </c>
      <c r="F26" s="50">
        <f t="shared" si="10"/>
        <v>312140.4179250011</v>
      </c>
      <c r="G26" s="50">
        <f t="shared" si="10"/>
        <v>191425.8095845012</v>
      </c>
      <c r="H26" s="50">
        <f t="shared" si="10"/>
        <v>536694.8479643734</v>
      </c>
      <c r="I26" s="50">
        <f t="shared" si="10"/>
        <v>492703.6640829218</v>
      </c>
      <c r="J26" s="50">
        <f t="shared" si="10"/>
        <v>1017631.7842426905</v>
      </c>
      <c r="K26" s="50">
        <f t="shared" si="10"/>
        <v>1302371.3770402013</v>
      </c>
      <c r="L26" s="50">
        <f t="shared" si="10"/>
        <v>1408933.6355296448</v>
      </c>
      <c r="M26" s="51">
        <f t="shared" si="10"/>
        <v>1617839.5728059378</v>
      </c>
    </row>
    <row r="27" spans="1:13" s="12" customFormat="1" ht="15" customHeight="1">
      <c r="A27" t="s">
        <v>169</v>
      </c>
      <c r="D27" s="146">
        <f>(D24-D100)/$D$139</f>
        <v>1.2406054218830895</v>
      </c>
      <c r="E27" s="52">
        <f>(E24-E100)/$E$139</f>
        <v>1.3510427316645095</v>
      </c>
      <c r="F27" s="52">
        <f>(F24-F100)/$F$139</f>
        <v>1.2582040865457502</v>
      </c>
      <c r="G27" s="52">
        <f>(G24-G100)/$G$139</f>
        <v>1.2322801637063714</v>
      </c>
      <c r="H27" s="52">
        <f>(H24-H100)/$H$139</f>
        <v>1.3058082308274743</v>
      </c>
      <c r="I27" s="52">
        <f>(I24-I100)/$I$139</f>
        <v>1.1145941987331225</v>
      </c>
      <c r="J27" s="52">
        <f>(J24-J100)/$J$139</f>
        <v>1.2847709559111198</v>
      </c>
      <c r="K27" s="52">
        <f>(K24-K100)/$K$139</f>
        <v>1.3797131555978734</v>
      </c>
      <c r="L27" s="52">
        <f>(L24-L100)/$L$139</f>
        <v>1.3972213901587398</v>
      </c>
      <c r="M27" s="144">
        <f>(M24-M100)/$M$139</f>
        <v>1.4577185488433082</v>
      </c>
    </row>
    <row r="28" s="12" customFormat="1" ht="15" customHeight="1">
      <c r="A28"/>
    </row>
    <row r="29" spans="4:13" s="12" customFormat="1" ht="15" customHeight="1">
      <c r="D29" s="13" t="s">
        <v>17</v>
      </c>
      <c r="E29" s="13" t="s">
        <v>18</v>
      </c>
      <c r="F29" s="13" t="s">
        <v>19</v>
      </c>
      <c r="G29" s="13" t="s">
        <v>20</v>
      </c>
      <c r="H29" s="13" t="s">
        <v>22</v>
      </c>
      <c r="I29" s="44" t="s">
        <v>23</v>
      </c>
      <c r="J29" s="44" t="s">
        <v>176</v>
      </c>
      <c r="K29" s="44" t="s">
        <v>177</v>
      </c>
      <c r="L29" s="44" t="s">
        <v>178</v>
      </c>
      <c r="M29" s="44" t="s">
        <v>179</v>
      </c>
    </row>
    <row r="30" spans="1:13" ht="15">
      <c r="A30" s="12" t="s">
        <v>315</v>
      </c>
      <c r="D30" s="155"/>
      <c r="E30" s="156">
        <v>0.05</v>
      </c>
      <c r="F30" s="156">
        <v>0.05</v>
      </c>
      <c r="G30" s="156">
        <v>0.05</v>
      </c>
      <c r="H30" s="156">
        <v>0.05</v>
      </c>
      <c r="I30" s="156">
        <v>0.05</v>
      </c>
      <c r="J30" s="156">
        <v>0.05</v>
      </c>
      <c r="K30" s="156">
        <v>0.05</v>
      </c>
      <c r="L30" s="156">
        <v>0.05</v>
      </c>
      <c r="M30" s="157">
        <v>0.05</v>
      </c>
    </row>
    <row r="31" spans="2:13" ht="15">
      <c r="B31" s="15" t="s">
        <v>98</v>
      </c>
      <c r="C31" s="15" t="s">
        <v>97</v>
      </c>
      <c r="D31" s="18"/>
      <c r="E31" s="56"/>
      <c r="F31" s="56"/>
      <c r="G31" s="56"/>
      <c r="H31" s="56"/>
      <c r="I31" s="56"/>
      <c r="J31" s="56"/>
      <c r="K31" s="56"/>
      <c r="L31" s="56"/>
      <c r="M31" s="56"/>
    </row>
    <row r="32" spans="1:13" ht="15">
      <c r="A32" s="13" t="s">
        <v>27</v>
      </c>
      <c r="B32" s="13">
        <f>B34+B33</f>
        <v>360</v>
      </c>
      <c r="C32" s="18"/>
      <c r="D32" s="18"/>
      <c r="E32" s="56"/>
      <c r="F32" s="56"/>
      <c r="G32" s="56"/>
      <c r="H32" s="56"/>
      <c r="I32" s="56"/>
      <c r="J32" s="56"/>
      <c r="K32" s="56"/>
      <c r="L32" s="56"/>
      <c r="M32" s="56"/>
    </row>
    <row r="33" spans="1:5" ht="15">
      <c r="A33" s="12" t="s">
        <v>28</v>
      </c>
      <c r="B33" s="12">
        <v>78</v>
      </c>
      <c r="C33" s="16">
        <v>2245</v>
      </c>
      <c r="D33" s="16">
        <f>B33*C33</f>
        <v>175110</v>
      </c>
      <c r="E33" s="16"/>
    </row>
    <row r="34" spans="1:5" ht="15">
      <c r="A34" s="12" t="s">
        <v>29</v>
      </c>
      <c r="B34" s="12">
        <v>282</v>
      </c>
      <c r="C34" s="16">
        <v>1720</v>
      </c>
      <c r="D34" s="17">
        <f>B34*C34</f>
        <v>485040</v>
      </c>
      <c r="E34" s="16"/>
    </row>
    <row r="35" spans="1:5" ht="15">
      <c r="A35" s="12" t="s">
        <v>102</v>
      </c>
      <c r="B35" s="12"/>
      <c r="C35" s="16"/>
      <c r="D35" s="16">
        <f>SUM(D33:D34)</f>
        <v>660150</v>
      </c>
      <c r="E35" s="12"/>
    </row>
    <row r="36" spans="1:13" ht="15.75" thickBot="1">
      <c r="A36" t="s">
        <v>149</v>
      </c>
      <c r="B36" s="12"/>
      <c r="C36" s="16"/>
      <c r="D36" s="28">
        <f>(D35*0.99)+(D35*0.85)</f>
        <v>1214676</v>
      </c>
      <c r="E36" s="25">
        <f>E45+E50+E55+E60</f>
        <v>1275409.7999999998</v>
      </c>
      <c r="F36" s="25">
        <f aca="true" t="shared" si="11" ref="F36:M36">F45+F50+F55+F60</f>
        <v>1339180.29</v>
      </c>
      <c r="G36" s="25">
        <f t="shared" si="11"/>
        <v>1406139.3045</v>
      </c>
      <c r="H36" s="25">
        <f t="shared" si="11"/>
        <v>1476446.2697250003</v>
      </c>
      <c r="I36" s="25">
        <f t="shared" si="11"/>
        <v>1550268.5832112501</v>
      </c>
      <c r="J36" s="25">
        <f t="shared" si="11"/>
        <v>1627782.012371813</v>
      </c>
      <c r="K36" s="25">
        <f t="shared" si="11"/>
        <v>1709171.1129904038</v>
      </c>
      <c r="L36" s="25">
        <f t="shared" si="11"/>
        <v>1794629.6686399237</v>
      </c>
      <c r="M36" s="25">
        <f t="shared" si="11"/>
        <v>1884361.1520719202</v>
      </c>
    </row>
    <row r="37" spans="1:5" ht="15.75" thickTop="1">
      <c r="A37" s="12"/>
      <c r="B37" s="12"/>
      <c r="C37" s="16"/>
      <c r="D37" s="16"/>
      <c r="E37" s="12"/>
    </row>
    <row r="38" spans="1:5" ht="15">
      <c r="A38" s="12" t="s">
        <v>41</v>
      </c>
      <c r="B38" s="12"/>
      <c r="C38" s="16"/>
      <c r="D38" s="16"/>
      <c r="E38" s="12"/>
    </row>
    <row r="39" spans="1:5" ht="15">
      <c r="A39" s="12"/>
      <c r="B39" s="12"/>
      <c r="C39" s="16"/>
      <c r="D39" s="16"/>
      <c r="E39" s="12"/>
    </row>
    <row r="40" spans="1:9" ht="15">
      <c r="A40" s="13" t="s">
        <v>95</v>
      </c>
      <c r="B40" s="13"/>
      <c r="C40" s="13"/>
      <c r="D40" s="18"/>
      <c r="E40" s="19"/>
      <c r="I40" s="33"/>
    </row>
    <row r="41" spans="1:5" ht="15">
      <c r="A41" s="29" t="s">
        <v>128</v>
      </c>
      <c r="B41" s="18"/>
      <c r="C41" s="18"/>
      <c r="D41" s="18"/>
      <c r="E41" s="19"/>
    </row>
    <row r="42" spans="1:15" ht="15">
      <c r="A42" s="12" t="s">
        <v>96</v>
      </c>
      <c r="B42" s="18">
        <v>102</v>
      </c>
      <c r="C42" s="25">
        <v>1720</v>
      </c>
      <c r="D42" s="38">
        <f>B42*C42</f>
        <v>175440</v>
      </c>
      <c r="E42" s="38">
        <f>D42*(1+$E$30)</f>
        <v>184212</v>
      </c>
      <c r="F42" s="38">
        <f>E42*(1+$F$30)</f>
        <v>193422.6</v>
      </c>
      <c r="G42" s="38">
        <f>F42*(1+$G$30)</f>
        <v>203093.73</v>
      </c>
      <c r="H42" s="38">
        <f>G42*(1+$H$30)</f>
        <v>213248.41650000002</v>
      </c>
      <c r="I42" s="38">
        <f>H42*(1+$I$30)</f>
        <v>223910.83732500003</v>
      </c>
      <c r="J42" s="38">
        <f>I42*(1+$J$30)</f>
        <v>235106.37919125005</v>
      </c>
      <c r="K42" s="38">
        <f>J42*(1+$K$30)</f>
        <v>246861.69815081256</v>
      </c>
      <c r="L42" s="38">
        <f>K42*(1+$L$30)</f>
        <v>259204.7830583532</v>
      </c>
      <c r="M42" s="38">
        <f>L42*(1+$M$30)</f>
        <v>272165.0222112709</v>
      </c>
      <c r="O42" s="33"/>
    </row>
    <row r="43" spans="1:13" ht="15">
      <c r="A43" s="12" t="s">
        <v>99</v>
      </c>
      <c r="B43" s="18">
        <v>33</v>
      </c>
      <c r="C43" s="25">
        <v>2245</v>
      </c>
      <c r="D43" s="41">
        <f>B43*C43</f>
        <v>74085</v>
      </c>
      <c r="E43" s="38">
        <f>D43*(1+$E$30)</f>
        <v>77789.25</v>
      </c>
      <c r="F43" s="38">
        <f>E43*(1+$F$30)</f>
        <v>81678.71250000001</v>
      </c>
      <c r="G43" s="38">
        <f>F43*(1+$G$30)</f>
        <v>85762.648125</v>
      </c>
      <c r="H43" s="38">
        <f>G43*(1+$H$30)</f>
        <v>90050.78053125001</v>
      </c>
      <c r="I43" s="38">
        <f>H43*(1+$I$30)</f>
        <v>94553.31955781252</v>
      </c>
      <c r="J43" s="38">
        <f>I43*(1+$J$30)</f>
        <v>99280.98553570315</v>
      </c>
      <c r="K43" s="38">
        <f>J43*(1+$K$30)</f>
        <v>104245.03481248832</v>
      </c>
      <c r="L43" s="38">
        <f>K43*(1+$L$30)</f>
        <v>109457.28655311273</v>
      </c>
      <c r="M43" s="38">
        <f>L43*(1+$M$30)</f>
        <v>114930.15088076837</v>
      </c>
    </row>
    <row r="44" spans="1:13" ht="15">
      <c r="A44" s="12" t="s">
        <v>100</v>
      </c>
      <c r="B44" s="12"/>
      <c r="C44" s="31"/>
      <c r="D44" s="38">
        <f aca="true" t="shared" si="12" ref="D44:M44">SUM(D42:D43)</f>
        <v>249525</v>
      </c>
      <c r="E44" s="38">
        <f t="shared" si="12"/>
        <v>262001.25</v>
      </c>
      <c r="F44" s="38">
        <f t="shared" si="12"/>
        <v>275101.3125</v>
      </c>
      <c r="G44" s="38">
        <f t="shared" si="12"/>
        <v>288856.37812500005</v>
      </c>
      <c r="H44" s="38">
        <f t="shared" si="12"/>
        <v>303299.19703125005</v>
      </c>
      <c r="I44" s="38">
        <f t="shared" si="12"/>
        <v>318464.15688281256</v>
      </c>
      <c r="J44" s="38">
        <f t="shared" si="12"/>
        <v>334387.3647269532</v>
      </c>
      <c r="K44" s="38">
        <f t="shared" si="12"/>
        <v>351106.7329633009</v>
      </c>
      <c r="L44" s="38">
        <f t="shared" si="12"/>
        <v>368662.0696114659</v>
      </c>
      <c r="M44" s="38">
        <f t="shared" si="12"/>
        <v>387095.17309203924</v>
      </c>
    </row>
    <row r="45" spans="1:13" ht="15.75" thickBot="1">
      <c r="A45" s="12" t="s">
        <v>101</v>
      </c>
      <c r="B45" s="12"/>
      <c r="C45" s="31"/>
      <c r="D45" s="42">
        <f>(D44*0.99)+(D44*0.85)</f>
        <v>459126</v>
      </c>
      <c r="E45" s="42">
        <f aca="true" t="shared" si="13" ref="E45:M45">(E44*0.99)+(E44*0.85)</f>
        <v>482082.3</v>
      </c>
      <c r="F45" s="42">
        <f t="shared" si="13"/>
        <v>506186.41500000004</v>
      </c>
      <c r="G45" s="42">
        <f t="shared" si="13"/>
        <v>531495.7357500001</v>
      </c>
      <c r="H45" s="42">
        <f t="shared" si="13"/>
        <v>558070.5225375001</v>
      </c>
      <c r="I45" s="42">
        <f t="shared" si="13"/>
        <v>585974.0486643751</v>
      </c>
      <c r="J45" s="42">
        <f t="shared" si="13"/>
        <v>615272.7510975939</v>
      </c>
      <c r="K45" s="42">
        <f t="shared" si="13"/>
        <v>646036.3886524737</v>
      </c>
      <c r="L45" s="42">
        <f t="shared" si="13"/>
        <v>678338.2080850973</v>
      </c>
      <c r="M45" s="42">
        <f t="shared" si="13"/>
        <v>712255.1184893522</v>
      </c>
    </row>
    <row r="46" spans="1:10" ht="15.75" thickTop="1">
      <c r="A46" s="12"/>
      <c r="B46" s="12"/>
      <c r="C46" s="31"/>
      <c r="D46" s="38"/>
      <c r="E46" s="38"/>
      <c r="F46" s="43"/>
      <c r="G46" s="43"/>
      <c r="H46" s="43"/>
      <c r="I46" s="33"/>
      <c r="J46" s="33"/>
    </row>
    <row r="47" spans="1:10" ht="15">
      <c r="A47" s="30" t="s">
        <v>129</v>
      </c>
      <c r="B47" s="12"/>
      <c r="C47" s="31"/>
      <c r="D47" s="38"/>
      <c r="E47" s="38"/>
      <c r="F47" s="43"/>
      <c r="G47" s="43"/>
      <c r="H47" s="43"/>
      <c r="I47" s="33"/>
      <c r="J47" s="33"/>
    </row>
    <row r="48" spans="1:10" ht="15">
      <c r="A48" s="12" t="s">
        <v>130</v>
      </c>
      <c r="B48" s="12">
        <v>90</v>
      </c>
      <c r="C48" s="31">
        <v>1720</v>
      </c>
      <c r="D48" s="38"/>
      <c r="E48" s="38"/>
      <c r="F48" s="43"/>
      <c r="G48" s="43"/>
      <c r="H48" s="43"/>
      <c r="I48" s="33"/>
      <c r="J48" s="33"/>
    </row>
    <row r="49" spans="1:13" ht="15">
      <c r="A49" t="s">
        <v>100</v>
      </c>
      <c r="B49" s="12"/>
      <c r="C49" s="31"/>
      <c r="D49" s="38">
        <f>B48*C48</f>
        <v>154800</v>
      </c>
      <c r="E49" s="38">
        <f>D49*(1+$E$30)</f>
        <v>162540</v>
      </c>
      <c r="F49" s="38">
        <f>E49*(1+$F$30)</f>
        <v>170667</v>
      </c>
      <c r="G49" s="38">
        <f>F49*(1+$G$30)</f>
        <v>179200.35</v>
      </c>
      <c r="H49" s="38">
        <f>G49*(1+$H$30)</f>
        <v>188160.36750000002</v>
      </c>
      <c r="I49" s="38">
        <f>H49*(1+$I$30)</f>
        <v>197568.38587500004</v>
      </c>
      <c r="J49" s="38">
        <f>I49*(1+$J$30)</f>
        <v>207446.80516875006</v>
      </c>
      <c r="K49" s="38">
        <f>J49*(1+$K$30)</f>
        <v>217819.14542718756</v>
      </c>
      <c r="L49" s="38">
        <f>K49*(1+$L$30)</f>
        <v>228710.10269854695</v>
      </c>
      <c r="M49" s="38">
        <f>L49*(1+$M$30)</f>
        <v>240145.60783347432</v>
      </c>
    </row>
    <row r="50" spans="1:13" ht="15.75" thickBot="1">
      <c r="A50" s="12" t="s">
        <v>101</v>
      </c>
      <c r="B50" s="12"/>
      <c r="C50" s="31"/>
      <c r="D50" s="42">
        <f aca="true" t="shared" si="14" ref="D50:M50">(D49*0.99)+(D49*0.85)</f>
        <v>284832</v>
      </c>
      <c r="E50" s="42">
        <f t="shared" si="14"/>
        <v>299073.6</v>
      </c>
      <c r="F50" s="42">
        <f t="shared" si="14"/>
        <v>314027.27999999997</v>
      </c>
      <c r="G50" s="42">
        <f t="shared" si="14"/>
        <v>329728.64400000003</v>
      </c>
      <c r="H50" s="42">
        <f t="shared" si="14"/>
        <v>346215.0762</v>
      </c>
      <c r="I50" s="42">
        <f t="shared" si="14"/>
        <v>363525.83001000003</v>
      </c>
      <c r="J50" s="42">
        <f t="shared" si="14"/>
        <v>381702.1215105001</v>
      </c>
      <c r="K50" s="42">
        <f t="shared" si="14"/>
        <v>400787.22758602514</v>
      </c>
      <c r="L50" s="42">
        <f t="shared" si="14"/>
        <v>420826.5889653264</v>
      </c>
      <c r="M50" s="42">
        <f t="shared" si="14"/>
        <v>441867.91841359274</v>
      </c>
    </row>
    <row r="51" spans="1:10" ht="15.75" thickTop="1">
      <c r="A51" s="12"/>
      <c r="B51" s="12"/>
      <c r="C51" s="31"/>
      <c r="D51" s="38"/>
      <c r="E51" s="38"/>
      <c r="F51" s="43"/>
      <c r="G51" s="43"/>
      <c r="H51" s="43"/>
      <c r="I51" s="33"/>
      <c r="J51" s="33"/>
    </row>
    <row r="52" spans="1:10" ht="15">
      <c r="A52" s="9" t="s">
        <v>127</v>
      </c>
      <c r="B52" s="12"/>
      <c r="C52" s="31"/>
      <c r="D52" s="38"/>
      <c r="E52" s="38"/>
      <c r="F52" s="43"/>
      <c r="G52" s="43"/>
      <c r="H52" s="43"/>
      <c r="I52" s="33"/>
      <c r="J52" s="33"/>
    </row>
    <row r="53" spans="1:10" ht="15">
      <c r="A53" s="12" t="s">
        <v>126</v>
      </c>
      <c r="B53" s="12">
        <v>45</v>
      </c>
      <c r="C53" s="31">
        <v>2245</v>
      </c>
      <c r="D53" s="38"/>
      <c r="E53" s="38"/>
      <c r="F53" s="43"/>
      <c r="G53" s="43"/>
      <c r="H53" s="43"/>
      <c r="I53" s="33"/>
      <c r="J53" s="33"/>
    </row>
    <row r="54" spans="1:13" ht="15">
      <c r="A54" s="12" t="s">
        <v>100</v>
      </c>
      <c r="B54" s="12"/>
      <c r="C54" s="31"/>
      <c r="D54" s="38">
        <f>B53*C53</f>
        <v>101025</v>
      </c>
      <c r="E54" s="38">
        <f>D54*(1+E30)</f>
        <v>106076.25</v>
      </c>
      <c r="F54" s="38">
        <f>E54*(1+$F$30)</f>
        <v>111380.0625</v>
      </c>
      <c r="G54" s="38">
        <f>F54*(1+$G$30)</f>
        <v>116949.065625</v>
      </c>
      <c r="H54" s="38">
        <f>G54*(1+$H$30)</f>
        <v>122796.51890625001</v>
      </c>
      <c r="I54" s="38">
        <f>H54*(1+$I$30)</f>
        <v>128936.34485156252</v>
      </c>
      <c r="J54" s="38">
        <f>I54*(1+$J$30)</f>
        <v>135383.16209414066</v>
      </c>
      <c r="K54" s="38">
        <f>J54*(1+$K$30)</f>
        <v>142152.3201988477</v>
      </c>
      <c r="L54" s="38">
        <f>K54*(1+$L$30)</f>
        <v>149259.9362087901</v>
      </c>
      <c r="M54" s="38">
        <f>L54*(1+$M$30)</f>
        <v>156722.93301922962</v>
      </c>
    </row>
    <row r="55" spans="1:13" ht="15.75" thickBot="1">
      <c r="A55" s="12" t="s">
        <v>101</v>
      </c>
      <c r="B55" s="12"/>
      <c r="C55" s="31"/>
      <c r="D55" s="42">
        <f aca="true" t="shared" si="15" ref="D55:M55">(D54*0.99)+(D54*0.85)</f>
        <v>185886</v>
      </c>
      <c r="E55" s="42">
        <f t="shared" si="15"/>
        <v>195180.3</v>
      </c>
      <c r="F55" s="42">
        <f t="shared" si="15"/>
        <v>204939.315</v>
      </c>
      <c r="G55" s="42">
        <f t="shared" si="15"/>
        <v>215186.28075</v>
      </c>
      <c r="H55" s="42">
        <f t="shared" si="15"/>
        <v>225945.59478750004</v>
      </c>
      <c r="I55" s="42">
        <f t="shared" si="15"/>
        <v>237242.87452687504</v>
      </c>
      <c r="J55" s="42">
        <f t="shared" si="15"/>
        <v>249105.0182532188</v>
      </c>
      <c r="K55" s="42">
        <f t="shared" si="15"/>
        <v>261560.26916587976</v>
      </c>
      <c r="L55" s="42">
        <f t="shared" si="15"/>
        <v>274638.2826241738</v>
      </c>
      <c r="M55" s="42">
        <f t="shared" si="15"/>
        <v>288370.19675538247</v>
      </c>
    </row>
    <row r="56" spans="1:10" ht="15.75" thickTop="1">
      <c r="A56" s="12"/>
      <c r="B56" s="12"/>
      <c r="C56" s="31"/>
      <c r="D56" s="38"/>
      <c r="E56" s="38"/>
      <c r="F56" s="43"/>
      <c r="G56" s="43"/>
      <c r="H56" s="43"/>
      <c r="I56" s="33"/>
      <c r="J56" s="33"/>
    </row>
    <row r="57" spans="1:10" ht="15">
      <c r="A57" s="9" t="s">
        <v>131</v>
      </c>
      <c r="B57" s="12"/>
      <c r="C57" s="31"/>
      <c r="D57" s="38"/>
      <c r="E57" s="38"/>
      <c r="F57" s="43"/>
      <c r="G57" s="43"/>
      <c r="H57" s="43"/>
      <c r="I57" s="33"/>
      <c r="J57" s="33"/>
    </row>
    <row r="58" spans="1:10" ht="15">
      <c r="A58" s="12" t="s">
        <v>132</v>
      </c>
      <c r="B58" s="12">
        <v>90</v>
      </c>
      <c r="C58" s="31">
        <v>1720</v>
      </c>
      <c r="D58" s="38"/>
      <c r="E58" s="38"/>
      <c r="F58" s="43"/>
      <c r="G58" s="43"/>
      <c r="H58" s="43"/>
      <c r="I58" s="33"/>
      <c r="J58" s="33"/>
    </row>
    <row r="59" spans="1:13" ht="15">
      <c r="A59" s="12" t="s">
        <v>100</v>
      </c>
      <c r="B59" s="12"/>
      <c r="C59" s="31"/>
      <c r="D59" s="38">
        <f>B58*C58</f>
        <v>154800</v>
      </c>
      <c r="E59" s="38">
        <f>D59*(1+E30)</f>
        <v>162540</v>
      </c>
      <c r="F59" s="38">
        <f>E59*(1+$F$30)</f>
        <v>170667</v>
      </c>
      <c r="G59" s="38">
        <f>F59*(1+$G$30)</f>
        <v>179200.35</v>
      </c>
      <c r="H59" s="38">
        <f>G59*(1+$H$30)</f>
        <v>188160.36750000002</v>
      </c>
      <c r="I59" s="38">
        <f>H59*(1+$I$30)</f>
        <v>197568.38587500004</v>
      </c>
      <c r="J59" s="38">
        <f>I59*(1+$J$30)</f>
        <v>207446.80516875006</v>
      </c>
      <c r="K59" s="38">
        <f>J59*(1+$K$30)</f>
        <v>217819.14542718756</v>
      </c>
      <c r="L59" s="38">
        <f>K59*(1+$L$30)</f>
        <v>228710.10269854695</v>
      </c>
      <c r="M59" s="38">
        <f>L59*(1+$M$30)</f>
        <v>240145.60783347432</v>
      </c>
    </row>
    <row r="60" spans="1:13" ht="15.75" thickBot="1">
      <c r="A60" s="12" t="s">
        <v>101</v>
      </c>
      <c r="B60" s="12"/>
      <c r="C60" s="31"/>
      <c r="D60" s="42">
        <f aca="true" t="shared" si="16" ref="D60:M60">(D59*0.99)+(D59*0.85)</f>
        <v>284832</v>
      </c>
      <c r="E60" s="42">
        <f t="shared" si="16"/>
        <v>299073.6</v>
      </c>
      <c r="F60" s="42">
        <f t="shared" si="16"/>
        <v>314027.27999999997</v>
      </c>
      <c r="G60" s="42">
        <f t="shared" si="16"/>
        <v>329728.64400000003</v>
      </c>
      <c r="H60" s="42">
        <f t="shared" si="16"/>
        <v>346215.0762</v>
      </c>
      <c r="I60" s="42">
        <f t="shared" si="16"/>
        <v>363525.83001000003</v>
      </c>
      <c r="J60" s="42">
        <f t="shared" si="16"/>
        <v>381702.1215105001</v>
      </c>
      <c r="K60" s="42">
        <f t="shared" si="16"/>
        <v>400787.22758602514</v>
      </c>
      <c r="L60" s="42">
        <f t="shared" si="16"/>
        <v>420826.5889653264</v>
      </c>
      <c r="M60" s="42">
        <f t="shared" si="16"/>
        <v>441867.91841359274</v>
      </c>
    </row>
    <row r="61" spans="1:10" ht="14.25" customHeight="1" thickTop="1">
      <c r="A61" s="12"/>
      <c r="B61" s="12"/>
      <c r="C61" s="31"/>
      <c r="D61" s="31"/>
      <c r="E61" s="40"/>
      <c r="F61" s="33"/>
      <c r="G61" s="33"/>
      <c r="H61" s="33"/>
      <c r="I61" s="33"/>
      <c r="J61" s="33"/>
    </row>
    <row r="62" spans="1:10" ht="15">
      <c r="A62" s="12"/>
      <c r="B62" s="12"/>
      <c r="C62" s="31"/>
      <c r="D62" s="31"/>
      <c r="E62" s="40"/>
      <c r="F62" s="33"/>
      <c r="G62" s="33"/>
      <c r="H62" s="33"/>
      <c r="I62" s="33"/>
      <c r="J62" s="33"/>
    </row>
    <row r="63" spans="1:13" ht="15.75">
      <c r="A63" s="37" t="s">
        <v>139</v>
      </c>
      <c r="D63" s="13" t="s">
        <v>17</v>
      </c>
      <c r="E63" s="13" t="s">
        <v>18</v>
      </c>
      <c r="F63" s="13" t="s">
        <v>19</v>
      </c>
      <c r="G63" s="13" t="s">
        <v>20</v>
      </c>
      <c r="H63" s="13" t="s">
        <v>22</v>
      </c>
      <c r="I63" s="44" t="s">
        <v>23</v>
      </c>
      <c r="J63" s="44" t="s">
        <v>176</v>
      </c>
      <c r="K63" s="44" t="s">
        <v>177</v>
      </c>
      <c r="L63" s="44" t="s">
        <v>178</v>
      </c>
      <c r="M63" s="44" t="s">
        <v>179</v>
      </c>
    </row>
    <row r="64" spans="1:13" ht="15">
      <c r="A64" t="s">
        <v>2</v>
      </c>
      <c r="B64">
        <v>174</v>
      </c>
      <c r="C64" s="33">
        <v>2085</v>
      </c>
      <c r="D64" s="33">
        <f>B64*C64</f>
        <v>362790</v>
      </c>
      <c r="E64" s="33">
        <f>D64*(1+$E$30)</f>
        <v>380929.5</v>
      </c>
      <c r="F64" s="33">
        <f>E64*(1+$F$30)</f>
        <v>399975.97500000003</v>
      </c>
      <c r="G64" s="33">
        <f>F64*(1+$G$30)</f>
        <v>419974.77375000005</v>
      </c>
      <c r="H64" s="33">
        <f aca="true" t="shared" si="17" ref="H64:H71">G64*(1+$H$30)</f>
        <v>440973.51243750006</v>
      </c>
      <c r="I64" s="38">
        <f aca="true" t="shared" si="18" ref="I64:I71">H64*(1+$I$30)</f>
        <v>463022.1880593751</v>
      </c>
      <c r="J64" s="38">
        <f aca="true" t="shared" si="19" ref="J64:J71">I64*(1+$J$30)</f>
        <v>486173.2974623439</v>
      </c>
      <c r="K64" s="38">
        <f aca="true" t="shared" si="20" ref="K64:K71">J64*(1+$K$30)</f>
        <v>510481.9623354611</v>
      </c>
      <c r="L64" s="38">
        <f aca="true" t="shared" si="21" ref="L64:L71">K64*(1+$L$30)</f>
        <v>536006.0604522342</v>
      </c>
      <c r="M64" s="38">
        <f aca="true" t="shared" si="22" ref="M64:M71">L64*(1+$M$30)</f>
        <v>562806.363474846</v>
      </c>
    </row>
    <row r="65" spans="1:13" ht="15">
      <c r="A65" t="s">
        <v>3</v>
      </c>
      <c r="B65">
        <v>272</v>
      </c>
      <c r="C65" s="33">
        <v>2085</v>
      </c>
      <c r="D65" s="33">
        <f aca="true" t="shared" si="23" ref="D65:D71">B65*C65</f>
        <v>567120</v>
      </c>
      <c r="E65" s="33">
        <f aca="true" t="shared" si="24" ref="E65:E71">D65*(1+$E$30)</f>
        <v>595476</v>
      </c>
      <c r="F65" s="33">
        <f aca="true" t="shared" si="25" ref="F65:F71">E65*(1+$F$30)</f>
        <v>625249.8</v>
      </c>
      <c r="G65" s="33">
        <f aca="true" t="shared" si="26" ref="G65:G71">F65*(1+$G$30)</f>
        <v>656512.29</v>
      </c>
      <c r="H65" s="33">
        <f t="shared" si="17"/>
        <v>689337.9045000001</v>
      </c>
      <c r="I65" s="38">
        <f t="shared" si="18"/>
        <v>723804.799725</v>
      </c>
      <c r="J65" s="38">
        <f t="shared" si="19"/>
        <v>759995.0397112501</v>
      </c>
      <c r="K65" s="38">
        <f t="shared" si="20"/>
        <v>797994.7916968126</v>
      </c>
      <c r="L65" s="38">
        <f t="shared" si="21"/>
        <v>837894.5312816533</v>
      </c>
      <c r="M65" s="38">
        <f t="shared" si="22"/>
        <v>879789.257845736</v>
      </c>
    </row>
    <row r="66" spans="1:13" ht="15">
      <c r="A66" t="s">
        <v>4</v>
      </c>
      <c r="B66">
        <v>176</v>
      </c>
      <c r="C66" s="33">
        <v>2085</v>
      </c>
      <c r="D66" s="33">
        <f t="shared" si="23"/>
        <v>366960</v>
      </c>
      <c r="E66" s="33">
        <f t="shared" si="24"/>
        <v>385308</v>
      </c>
      <c r="F66" s="33">
        <f t="shared" si="25"/>
        <v>404573.4</v>
      </c>
      <c r="G66" s="33">
        <f t="shared" si="26"/>
        <v>424802.07000000007</v>
      </c>
      <c r="H66" s="33">
        <f t="shared" si="17"/>
        <v>446042.1735000001</v>
      </c>
      <c r="I66" s="38">
        <f t="shared" si="18"/>
        <v>468344.2821750001</v>
      </c>
      <c r="J66" s="38">
        <f t="shared" si="19"/>
        <v>491761.49628375017</v>
      </c>
      <c r="K66" s="38">
        <f t="shared" si="20"/>
        <v>516349.5710979377</v>
      </c>
      <c r="L66" s="38">
        <f t="shared" si="21"/>
        <v>542167.0496528347</v>
      </c>
      <c r="M66" s="38">
        <f t="shared" si="22"/>
        <v>569275.4021354765</v>
      </c>
    </row>
    <row r="67" spans="1:13" ht="15">
      <c r="A67" t="s">
        <v>145</v>
      </c>
      <c r="B67">
        <v>93</v>
      </c>
      <c r="C67" s="33">
        <v>1575</v>
      </c>
      <c r="D67" s="33">
        <f>B67*C67</f>
        <v>146475</v>
      </c>
      <c r="E67" s="33">
        <f t="shared" si="24"/>
        <v>153798.75</v>
      </c>
      <c r="F67" s="33">
        <f t="shared" si="25"/>
        <v>161488.6875</v>
      </c>
      <c r="G67" s="33">
        <f t="shared" si="26"/>
        <v>169563.121875</v>
      </c>
      <c r="H67" s="33">
        <f t="shared" si="17"/>
        <v>178041.27796875002</v>
      </c>
      <c r="I67" s="38">
        <f t="shared" si="18"/>
        <v>186943.34186718753</v>
      </c>
      <c r="J67" s="38">
        <f t="shared" si="19"/>
        <v>196290.5089605469</v>
      </c>
      <c r="K67" s="38">
        <f t="shared" si="20"/>
        <v>206105.03440857425</v>
      </c>
      <c r="L67" s="38">
        <f t="shared" si="21"/>
        <v>216410.28612900298</v>
      </c>
      <c r="M67" s="38">
        <f t="shared" si="22"/>
        <v>227230.80043545313</v>
      </c>
    </row>
    <row r="68" spans="1:13" ht="15">
      <c r="A68" t="s">
        <v>140</v>
      </c>
      <c r="B68">
        <v>86</v>
      </c>
      <c r="C68" s="33">
        <v>2850</v>
      </c>
      <c r="D68" s="33">
        <f t="shared" si="23"/>
        <v>245100</v>
      </c>
      <c r="E68" s="33">
        <f t="shared" si="24"/>
        <v>257355</v>
      </c>
      <c r="F68" s="33">
        <f t="shared" si="25"/>
        <v>270222.75</v>
      </c>
      <c r="G68" s="33">
        <f t="shared" si="26"/>
        <v>283733.8875</v>
      </c>
      <c r="H68" s="33">
        <f t="shared" si="17"/>
        <v>297920.58187500003</v>
      </c>
      <c r="I68" s="38">
        <f t="shared" si="18"/>
        <v>312816.61096875</v>
      </c>
      <c r="J68" s="38">
        <f t="shared" si="19"/>
        <v>328457.4415171875</v>
      </c>
      <c r="K68" s="38">
        <f t="shared" si="20"/>
        <v>344880.3135930469</v>
      </c>
      <c r="L68" s="38">
        <f t="shared" si="21"/>
        <v>362124.32927269925</v>
      </c>
      <c r="M68" s="38">
        <f t="shared" si="22"/>
        <v>380230.5457363342</v>
      </c>
    </row>
    <row r="69" spans="1:13" ht="15">
      <c r="A69" t="s">
        <v>141</v>
      </c>
      <c r="B69">
        <v>192</v>
      </c>
      <c r="C69" s="33">
        <v>2295</v>
      </c>
      <c r="D69" s="33">
        <f t="shared" si="23"/>
        <v>440640</v>
      </c>
      <c r="E69" s="33">
        <f t="shared" si="24"/>
        <v>462672</v>
      </c>
      <c r="F69" s="33">
        <f t="shared" si="25"/>
        <v>485805.60000000003</v>
      </c>
      <c r="G69" s="33">
        <f t="shared" si="26"/>
        <v>510095.88000000006</v>
      </c>
      <c r="H69" s="33">
        <f t="shared" si="17"/>
        <v>535600.6740000001</v>
      </c>
      <c r="I69" s="38">
        <f t="shared" si="18"/>
        <v>562380.7077000001</v>
      </c>
      <c r="J69" s="38">
        <f t="shared" si="19"/>
        <v>590499.7430850002</v>
      </c>
      <c r="K69" s="38">
        <f t="shared" si="20"/>
        <v>620024.7302392502</v>
      </c>
      <c r="L69" s="38">
        <f t="shared" si="21"/>
        <v>651025.9667512127</v>
      </c>
      <c r="M69" s="38">
        <f t="shared" si="22"/>
        <v>683577.2650887733</v>
      </c>
    </row>
    <row r="70" spans="1:13" ht="15">
      <c r="A70" t="s">
        <v>142</v>
      </c>
      <c r="B70">
        <v>54</v>
      </c>
      <c r="C70" s="33">
        <v>3255</v>
      </c>
      <c r="D70" s="33">
        <f t="shared" si="23"/>
        <v>175770</v>
      </c>
      <c r="E70" s="33">
        <f t="shared" si="24"/>
        <v>184558.5</v>
      </c>
      <c r="F70" s="33">
        <f t="shared" si="25"/>
        <v>193786.42500000002</v>
      </c>
      <c r="G70" s="33">
        <f t="shared" si="26"/>
        <v>203475.74625000003</v>
      </c>
      <c r="H70" s="33">
        <f t="shared" si="17"/>
        <v>213649.53356250003</v>
      </c>
      <c r="I70" s="38">
        <f t="shared" si="18"/>
        <v>224332.01024062504</v>
      </c>
      <c r="J70" s="38">
        <f t="shared" si="19"/>
        <v>235548.6107526563</v>
      </c>
      <c r="K70" s="38">
        <f t="shared" si="20"/>
        <v>247326.0412902891</v>
      </c>
      <c r="L70" s="38">
        <f t="shared" si="21"/>
        <v>259692.34335480357</v>
      </c>
      <c r="M70" s="38">
        <f t="shared" si="22"/>
        <v>272676.96052254376</v>
      </c>
    </row>
    <row r="71" spans="1:13" ht="15">
      <c r="A71" t="s">
        <v>143</v>
      </c>
      <c r="B71" s="13">
        <v>128</v>
      </c>
      <c r="C71" s="31">
        <v>2655</v>
      </c>
      <c r="D71" s="34">
        <f t="shared" si="23"/>
        <v>339840</v>
      </c>
      <c r="E71" s="34">
        <f t="shared" si="24"/>
        <v>356832</v>
      </c>
      <c r="F71" s="34">
        <f t="shared" si="25"/>
        <v>374673.60000000003</v>
      </c>
      <c r="G71" s="34">
        <f t="shared" si="26"/>
        <v>393407.28</v>
      </c>
      <c r="H71" s="34">
        <f t="shared" si="17"/>
        <v>413077.64400000003</v>
      </c>
      <c r="I71" s="41">
        <f t="shared" si="18"/>
        <v>433731.5262</v>
      </c>
      <c r="J71" s="41">
        <f t="shared" si="19"/>
        <v>455418.10251000006</v>
      </c>
      <c r="K71" s="41">
        <f t="shared" si="20"/>
        <v>478189.00763550005</v>
      </c>
      <c r="L71" s="41">
        <f t="shared" si="21"/>
        <v>502098.4580172751</v>
      </c>
      <c r="M71" s="41">
        <f t="shared" si="22"/>
        <v>527203.3809181389</v>
      </c>
    </row>
    <row r="72" spans="1:13" ht="15">
      <c r="A72" t="s">
        <v>144</v>
      </c>
      <c r="B72" s="12">
        <f>SUM(B64:B71)</f>
        <v>1175</v>
      </c>
      <c r="C72" s="31"/>
      <c r="D72" s="31">
        <f aca="true" t="shared" si="27" ref="D72:M72">SUM(D64:D71)</f>
        <v>2644695</v>
      </c>
      <c r="E72" s="38">
        <f t="shared" si="27"/>
        <v>2776929.75</v>
      </c>
      <c r="F72" s="38">
        <f t="shared" si="27"/>
        <v>2915776.2375000003</v>
      </c>
      <c r="G72" s="38">
        <f t="shared" si="27"/>
        <v>3061565.0493750004</v>
      </c>
      <c r="H72" s="33">
        <f t="shared" si="27"/>
        <v>3214643.3018437503</v>
      </c>
      <c r="I72" s="33">
        <f t="shared" si="27"/>
        <v>3375375.466935938</v>
      </c>
      <c r="J72" s="33">
        <f t="shared" si="27"/>
        <v>3544144.240282735</v>
      </c>
      <c r="K72" s="33">
        <f t="shared" si="27"/>
        <v>3721351.4522968717</v>
      </c>
      <c r="L72" s="33">
        <f t="shared" si="27"/>
        <v>3907419.0249117156</v>
      </c>
      <c r="M72" s="33">
        <f t="shared" si="27"/>
        <v>4102789.976157302</v>
      </c>
    </row>
    <row r="73" spans="1:13" ht="15">
      <c r="A73" t="s">
        <v>375</v>
      </c>
      <c r="B73" s="12">
        <f>B72+B32</f>
        <v>1535</v>
      </c>
      <c r="C73" s="31"/>
      <c r="D73" s="35">
        <f>IF((D18=1),(D72*D22)+(D72*D23),((D72*D20)+(D72*D21)))</f>
        <v>5130708.3</v>
      </c>
      <c r="E73" s="35">
        <f aca="true" t="shared" si="28" ref="E73:M73">IF((E18=1),(E72*E22)+(E72*E23),((E72*E20)+(E72*E21)))</f>
        <v>5137320.0375</v>
      </c>
      <c r="F73" s="35">
        <f t="shared" si="28"/>
        <v>5335870.514625001</v>
      </c>
      <c r="G73" s="35">
        <f t="shared" si="28"/>
        <v>5694510.991837501</v>
      </c>
      <c r="H73" s="35">
        <f t="shared" si="28"/>
        <v>6139968.706521563</v>
      </c>
      <c r="I73" s="35">
        <f t="shared" si="28"/>
        <v>6514474.65118636</v>
      </c>
      <c r="J73" s="35">
        <f t="shared" si="28"/>
        <v>6875639.826148505</v>
      </c>
      <c r="K73" s="35">
        <f t="shared" si="28"/>
        <v>7219421.817455931</v>
      </c>
      <c r="L73" s="35">
        <f t="shared" si="28"/>
        <v>7580392.908328729</v>
      </c>
      <c r="M73" s="35">
        <f t="shared" si="28"/>
        <v>7959412.5537451655</v>
      </c>
    </row>
    <row r="74" spans="1:13" ht="15.75" thickBot="1">
      <c r="A74" t="s">
        <v>156</v>
      </c>
      <c r="B74" s="12"/>
      <c r="C74" s="31"/>
      <c r="D74" s="28">
        <f aca="true" t="shared" si="29" ref="D74:M74">D73+D36</f>
        <v>6345384.3</v>
      </c>
      <c r="E74" s="28">
        <f t="shared" si="29"/>
        <v>6412729.837499999</v>
      </c>
      <c r="F74" s="28">
        <f t="shared" si="29"/>
        <v>6675050.804625001</v>
      </c>
      <c r="G74" s="28">
        <f t="shared" si="29"/>
        <v>7100650.2963375</v>
      </c>
      <c r="H74" s="28">
        <f t="shared" si="29"/>
        <v>7616414.976246564</v>
      </c>
      <c r="I74" s="28">
        <f t="shared" si="29"/>
        <v>8064743.234397611</v>
      </c>
      <c r="J74" s="28">
        <f t="shared" si="29"/>
        <v>8503421.838520318</v>
      </c>
      <c r="K74" s="28">
        <f t="shared" si="29"/>
        <v>8928592.930446334</v>
      </c>
      <c r="L74" s="28">
        <f t="shared" si="29"/>
        <v>9375022.576968653</v>
      </c>
      <c r="M74" s="28">
        <f t="shared" si="29"/>
        <v>9843773.705817085</v>
      </c>
    </row>
    <row r="75" spans="1:5" ht="15.75" thickTop="1">
      <c r="A75" s="12"/>
      <c r="B75" s="12"/>
      <c r="C75" s="31"/>
      <c r="D75" s="20"/>
      <c r="E75" s="19"/>
    </row>
    <row r="76" spans="1:5" ht="15">
      <c r="A76" s="12" t="s">
        <v>150</v>
      </c>
      <c r="B76" s="12"/>
      <c r="C76" s="31"/>
      <c r="D76" s="20"/>
      <c r="E76" s="19"/>
    </row>
    <row r="77" spans="1:5" ht="15">
      <c r="A77" s="12" t="s">
        <v>163</v>
      </c>
      <c r="B77" s="25">
        <v>558400</v>
      </c>
      <c r="C77" s="31"/>
      <c r="E77" s="19"/>
    </row>
    <row r="78" spans="1:5" ht="15">
      <c r="A78" s="12" t="s">
        <v>151</v>
      </c>
      <c r="B78" s="25">
        <v>233500</v>
      </c>
      <c r="C78" s="31"/>
      <c r="E78" s="19"/>
    </row>
    <row r="79" spans="1:5" ht="15">
      <c r="A79" s="12" t="s">
        <v>152</v>
      </c>
      <c r="B79" s="25">
        <v>85000</v>
      </c>
      <c r="C79" s="18"/>
      <c r="E79" s="19"/>
    </row>
    <row r="80" spans="1:5" ht="15">
      <c r="A80" s="12" t="s">
        <v>153</v>
      </c>
      <c r="B80" s="25"/>
      <c r="C80" s="18"/>
      <c r="E80" s="19"/>
    </row>
    <row r="81" spans="1:5" ht="15">
      <c r="A81" s="12" t="s">
        <v>154</v>
      </c>
      <c r="B81" s="25">
        <v>82000</v>
      </c>
      <c r="C81" s="18"/>
      <c r="E81" s="19"/>
    </row>
    <row r="82" spans="1:5" ht="15">
      <c r="A82" s="12" t="s">
        <v>155</v>
      </c>
      <c r="B82" s="35">
        <v>168047</v>
      </c>
      <c r="C82" s="12"/>
      <c r="E82" s="12"/>
    </row>
    <row r="83" spans="1:13" ht="15">
      <c r="A83" s="12" t="s">
        <v>157</v>
      </c>
      <c r="B83" s="25">
        <f>SUM(B77:B82)</f>
        <v>1126947</v>
      </c>
      <c r="C83" s="12"/>
      <c r="D83" s="33">
        <f>B83</f>
        <v>1126947</v>
      </c>
      <c r="E83" s="25">
        <f>D83*(1+$E$30)-558400</f>
        <v>624894.3500000001</v>
      </c>
      <c r="F83" s="25">
        <f>E83*(1+$F$30)</f>
        <v>656139.0675000001</v>
      </c>
      <c r="G83" s="25">
        <f>F83*(1+$G$30)</f>
        <v>688946.0208750002</v>
      </c>
      <c r="H83" s="25">
        <f>G83*(1+$H$30)</f>
        <v>723393.3219187502</v>
      </c>
      <c r="I83" s="38">
        <f>H83*(1+$I$30)</f>
        <v>759562.9880146877</v>
      </c>
      <c r="J83" s="38">
        <f>I83*(1+$J$30)</f>
        <v>797541.1374154221</v>
      </c>
      <c r="K83" s="38">
        <f>J83*(1+$K$30)</f>
        <v>837418.1942861932</v>
      </c>
      <c r="L83" s="38">
        <f>K83*(1+$L$30)</f>
        <v>879289.104000503</v>
      </c>
      <c r="M83" s="38">
        <f>L83*(1+$M$30)</f>
        <v>923253.5592005282</v>
      </c>
    </row>
    <row r="84" spans="1:13" ht="15.75" thickBot="1">
      <c r="A84" s="12" t="s">
        <v>158</v>
      </c>
      <c r="B84" s="25"/>
      <c r="C84" s="12"/>
      <c r="D84" s="28">
        <f aca="true" t="shared" si="30" ref="D84:M84">D74+D83</f>
        <v>7472331.3</v>
      </c>
      <c r="E84" s="28">
        <f t="shared" si="30"/>
        <v>7037624.1875</v>
      </c>
      <c r="F84" s="28">
        <f t="shared" si="30"/>
        <v>7331189.872125001</v>
      </c>
      <c r="G84" s="28">
        <f t="shared" si="30"/>
        <v>7789596.317212501</v>
      </c>
      <c r="H84" s="28">
        <f t="shared" si="30"/>
        <v>8339808.298165314</v>
      </c>
      <c r="I84" s="28">
        <f t="shared" si="30"/>
        <v>8824306.222412298</v>
      </c>
      <c r="J84" s="28">
        <f t="shared" si="30"/>
        <v>9300962.97593574</v>
      </c>
      <c r="K84" s="28">
        <f t="shared" si="30"/>
        <v>9766011.124732528</v>
      </c>
      <c r="L84" s="28">
        <f t="shared" si="30"/>
        <v>10254311.680969156</v>
      </c>
      <c r="M84" s="28">
        <f t="shared" si="30"/>
        <v>10767027.265017614</v>
      </c>
    </row>
    <row r="85" spans="1:5" ht="15.75" thickTop="1">
      <c r="A85" s="12"/>
      <c r="B85" s="25"/>
      <c r="C85" s="12"/>
      <c r="D85" s="12"/>
      <c r="E85" s="12"/>
    </row>
    <row r="86" spans="1:5" ht="15">
      <c r="A86" s="32" t="s">
        <v>137</v>
      </c>
      <c r="B86" s="22"/>
      <c r="C86" s="12"/>
      <c r="D86" s="12"/>
      <c r="E86" s="12"/>
    </row>
    <row r="87" spans="1:13" ht="15">
      <c r="A87" s="21" t="s">
        <v>133</v>
      </c>
      <c r="B87" s="22">
        <v>845698</v>
      </c>
      <c r="C87" s="12"/>
      <c r="D87" s="22">
        <v>845698</v>
      </c>
      <c r="E87" s="25">
        <f>D87</f>
        <v>845698</v>
      </c>
      <c r="F87" s="25">
        <f aca="true" t="shared" si="31" ref="E87:F91">E87*1.03</f>
        <v>871068.9400000001</v>
      </c>
      <c r="G87" s="25">
        <f aca="true" t="shared" si="32" ref="G87:M87">F87*1.03</f>
        <v>897201.0082</v>
      </c>
      <c r="H87" s="25">
        <f t="shared" si="32"/>
        <v>924117.0384460001</v>
      </c>
      <c r="I87" s="25">
        <f t="shared" si="32"/>
        <v>951840.5495993801</v>
      </c>
      <c r="J87" s="25">
        <f t="shared" si="32"/>
        <v>980395.7660873615</v>
      </c>
      <c r="K87" s="25">
        <f t="shared" si="32"/>
        <v>1009807.6390699823</v>
      </c>
      <c r="L87" s="25">
        <f t="shared" si="32"/>
        <v>1040101.8682420818</v>
      </c>
      <c r="M87" s="25">
        <f t="shared" si="32"/>
        <v>1071304.9242893443</v>
      </c>
    </row>
    <row r="88" spans="1:13" ht="15">
      <c r="A88" s="21" t="s">
        <v>134</v>
      </c>
      <c r="B88" s="22">
        <v>770059</v>
      </c>
      <c r="C88" s="12"/>
      <c r="D88" s="22">
        <v>770059</v>
      </c>
      <c r="E88" s="25">
        <f>D88</f>
        <v>770059</v>
      </c>
      <c r="F88" s="25">
        <f t="shared" si="31"/>
        <v>793160.77</v>
      </c>
      <c r="G88" s="25">
        <f aca="true" t="shared" si="33" ref="G88:M88">F88*1.03</f>
        <v>816955.5931</v>
      </c>
      <c r="H88" s="25">
        <f t="shared" si="33"/>
        <v>841464.260893</v>
      </c>
      <c r="I88" s="25">
        <f t="shared" si="33"/>
        <v>866708.1887197901</v>
      </c>
      <c r="J88" s="25">
        <f t="shared" si="33"/>
        <v>892709.4343813838</v>
      </c>
      <c r="K88" s="25">
        <f t="shared" si="33"/>
        <v>919490.7174128253</v>
      </c>
      <c r="L88" s="25">
        <f t="shared" si="33"/>
        <v>947075.4389352101</v>
      </c>
      <c r="M88" s="25">
        <f t="shared" si="33"/>
        <v>975487.7021032665</v>
      </c>
    </row>
    <row r="89" spans="1:13" ht="15">
      <c r="A89" s="21" t="s">
        <v>30</v>
      </c>
      <c r="B89" s="23">
        <v>73331</v>
      </c>
      <c r="C89" s="12"/>
      <c r="D89" s="23">
        <v>73331</v>
      </c>
      <c r="E89" s="25">
        <f t="shared" si="31"/>
        <v>75530.93000000001</v>
      </c>
      <c r="F89" s="25">
        <f t="shared" si="31"/>
        <v>77796.8579</v>
      </c>
      <c r="G89" s="25">
        <f aca="true" t="shared" si="34" ref="G89:M89">F89*1.03</f>
        <v>80130.76363700001</v>
      </c>
      <c r="H89" s="25">
        <f t="shared" si="34"/>
        <v>82534.68654611001</v>
      </c>
      <c r="I89" s="25">
        <f t="shared" si="34"/>
        <v>85010.72714249331</v>
      </c>
      <c r="J89" s="25">
        <f t="shared" si="34"/>
        <v>87561.04895676812</v>
      </c>
      <c r="K89" s="25">
        <f t="shared" si="34"/>
        <v>90187.88042547117</v>
      </c>
      <c r="L89" s="25">
        <f t="shared" si="34"/>
        <v>92893.51683823531</v>
      </c>
      <c r="M89" s="25">
        <f t="shared" si="34"/>
        <v>95680.32234338237</v>
      </c>
    </row>
    <row r="90" spans="1:13" ht="15">
      <c r="A90" s="21" t="s">
        <v>31</v>
      </c>
      <c r="B90" s="23">
        <v>87000</v>
      </c>
      <c r="C90" s="12"/>
      <c r="D90" s="23">
        <v>87000</v>
      </c>
      <c r="E90" s="25">
        <f t="shared" si="31"/>
        <v>89610</v>
      </c>
      <c r="F90" s="25">
        <f t="shared" si="31"/>
        <v>92298.3</v>
      </c>
      <c r="G90" s="25">
        <f aca="true" t="shared" si="35" ref="G90:M90">F90*1.03</f>
        <v>95067.24900000001</v>
      </c>
      <c r="H90" s="25">
        <f t="shared" si="35"/>
        <v>97919.26647000002</v>
      </c>
      <c r="I90" s="25">
        <f t="shared" si="35"/>
        <v>100856.84446410002</v>
      </c>
      <c r="J90" s="25">
        <f t="shared" si="35"/>
        <v>103882.54979802303</v>
      </c>
      <c r="K90" s="25">
        <f t="shared" si="35"/>
        <v>106999.02629196372</v>
      </c>
      <c r="L90" s="25">
        <f t="shared" si="35"/>
        <v>110208.99708072263</v>
      </c>
      <c r="M90" s="25">
        <f t="shared" si="35"/>
        <v>113515.26699314432</v>
      </c>
    </row>
    <row r="91" spans="1:13" ht="15">
      <c r="A91" s="21" t="s">
        <v>32</v>
      </c>
      <c r="B91" s="23">
        <v>165913</v>
      </c>
      <c r="C91" s="12"/>
      <c r="D91" s="23">
        <v>165913</v>
      </c>
      <c r="E91" s="25">
        <f t="shared" si="31"/>
        <v>170890.39</v>
      </c>
      <c r="F91" s="25">
        <f t="shared" si="31"/>
        <v>176017.10170000003</v>
      </c>
      <c r="G91" s="25">
        <f aca="true" t="shared" si="36" ref="G91:M91">F91*1.03</f>
        <v>181297.61475100004</v>
      </c>
      <c r="H91" s="25">
        <f t="shared" si="36"/>
        <v>186736.54319353006</v>
      </c>
      <c r="I91" s="25">
        <f t="shared" si="36"/>
        <v>192338.63948933597</v>
      </c>
      <c r="J91" s="25">
        <f t="shared" si="36"/>
        <v>198108.79867401606</v>
      </c>
      <c r="K91" s="25">
        <f t="shared" si="36"/>
        <v>204052.06263423653</v>
      </c>
      <c r="L91" s="25">
        <f t="shared" si="36"/>
        <v>210173.62451326364</v>
      </c>
      <c r="M91" s="25">
        <f t="shared" si="36"/>
        <v>216478.83324866154</v>
      </c>
    </row>
    <row r="92" spans="1:13" ht="15">
      <c r="A92" s="21" t="s">
        <v>33</v>
      </c>
      <c r="B92" s="23">
        <f>266471+91900+197370</f>
        <v>555741</v>
      </c>
      <c r="C92" s="12"/>
      <c r="D92" s="23">
        <f>266471+91900+197370</f>
        <v>555741</v>
      </c>
      <c r="E92" s="25">
        <f>D92*1.05</f>
        <v>583528.05</v>
      </c>
      <c r="F92" s="25">
        <f>E92*1.05</f>
        <v>612704.4525000001</v>
      </c>
      <c r="G92" s="25">
        <f aca="true" t="shared" si="37" ref="G92:M92">F92*1.05</f>
        <v>643339.6751250002</v>
      </c>
      <c r="H92" s="25">
        <f t="shared" si="37"/>
        <v>675506.6588812502</v>
      </c>
      <c r="I92" s="25">
        <f t="shared" si="37"/>
        <v>709281.9918253127</v>
      </c>
      <c r="J92" s="25">
        <f t="shared" si="37"/>
        <v>744746.0914165784</v>
      </c>
      <c r="K92" s="25">
        <f t="shared" si="37"/>
        <v>781983.3959874073</v>
      </c>
      <c r="L92" s="25">
        <f t="shared" si="37"/>
        <v>821082.5657867776</v>
      </c>
      <c r="M92" s="25">
        <f t="shared" si="37"/>
        <v>862136.6940761165</v>
      </c>
    </row>
    <row r="93" spans="1:13" ht="15">
      <c r="A93" s="21" t="s">
        <v>34</v>
      </c>
      <c r="B93" s="23">
        <v>85000</v>
      </c>
      <c r="C93" s="12"/>
      <c r="D93" s="23">
        <v>85000</v>
      </c>
      <c r="E93" s="25">
        <f aca="true" t="shared" si="38" ref="E93:F95">D93*1.03</f>
        <v>87550</v>
      </c>
      <c r="F93" s="25">
        <f t="shared" si="38"/>
        <v>90176.5</v>
      </c>
      <c r="G93" s="25">
        <f aca="true" t="shared" si="39" ref="G93:M93">F93*1.03</f>
        <v>92881.795</v>
      </c>
      <c r="H93" s="25">
        <f t="shared" si="39"/>
        <v>95668.24885</v>
      </c>
      <c r="I93" s="25">
        <f t="shared" si="39"/>
        <v>98538.2963155</v>
      </c>
      <c r="J93" s="25">
        <f t="shared" si="39"/>
        <v>101494.445204965</v>
      </c>
      <c r="K93" s="25">
        <f t="shared" si="39"/>
        <v>104539.27856111396</v>
      </c>
      <c r="L93" s="25">
        <f t="shared" si="39"/>
        <v>107675.45691794738</v>
      </c>
      <c r="M93" s="25">
        <f t="shared" si="39"/>
        <v>110905.7206254858</v>
      </c>
    </row>
    <row r="94" spans="1:13" ht="15">
      <c r="A94" s="21" t="s">
        <v>40</v>
      </c>
      <c r="B94" s="23">
        <f>15200+7415+12550+22940</f>
        <v>58105</v>
      </c>
      <c r="C94" s="12"/>
      <c r="D94" s="23">
        <f>15200+7415+12550+22940</f>
        <v>58105</v>
      </c>
      <c r="E94" s="25">
        <f t="shared" si="38"/>
        <v>59848.15</v>
      </c>
      <c r="F94" s="25">
        <f t="shared" si="38"/>
        <v>61643.59450000001</v>
      </c>
      <c r="G94" s="25">
        <f aca="true" t="shared" si="40" ref="G94:M94">F94*1.03</f>
        <v>63492.902335000006</v>
      </c>
      <c r="H94" s="25">
        <f t="shared" si="40"/>
        <v>65397.689405050005</v>
      </c>
      <c r="I94" s="25">
        <f t="shared" si="40"/>
        <v>67359.6200872015</v>
      </c>
      <c r="J94" s="25">
        <f t="shared" si="40"/>
        <v>69380.40868981754</v>
      </c>
      <c r="K94" s="25">
        <f t="shared" si="40"/>
        <v>71461.82095051208</v>
      </c>
      <c r="L94" s="25">
        <f t="shared" si="40"/>
        <v>73605.67557902743</v>
      </c>
      <c r="M94" s="25">
        <f t="shared" si="40"/>
        <v>75813.84584639825</v>
      </c>
    </row>
    <row r="95" spans="1:13" ht="15">
      <c r="A95" s="21" t="s">
        <v>35</v>
      </c>
      <c r="B95" s="22">
        <v>185200</v>
      </c>
      <c r="C95" s="12"/>
      <c r="D95" s="22">
        <v>185200</v>
      </c>
      <c r="E95" s="25">
        <f t="shared" si="38"/>
        <v>190756</v>
      </c>
      <c r="F95" s="25">
        <f>E95*1.23</f>
        <v>234629.88</v>
      </c>
      <c r="G95" s="25">
        <f aca="true" t="shared" si="41" ref="G95:M95">F95*1.03</f>
        <v>241668.7764</v>
      </c>
      <c r="H95" s="25">
        <f t="shared" si="41"/>
        <v>248918.839692</v>
      </c>
      <c r="I95" s="25">
        <f t="shared" si="41"/>
        <v>256386.40488276002</v>
      </c>
      <c r="J95" s="25">
        <f t="shared" si="41"/>
        <v>264077.9970292428</v>
      </c>
      <c r="K95" s="25">
        <f t="shared" si="41"/>
        <v>272000.3369401201</v>
      </c>
      <c r="L95" s="25">
        <f t="shared" si="41"/>
        <v>280160.3470483237</v>
      </c>
      <c r="M95" s="25">
        <f t="shared" si="41"/>
        <v>288565.1574597734</v>
      </c>
    </row>
    <row r="96" spans="1:13" ht="15">
      <c r="A96" s="21" t="s">
        <v>36</v>
      </c>
      <c r="B96" s="23">
        <v>163100</v>
      </c>
      <c r="C96" s="12"/>
      <c r="D96" s="23">
        <v>163100</v>
      </c>
      <c r="E96" s="25">
        <f>D96*1.07</f>
        <v>174517</v>
      </c>
      <c r="F96" s="25">
        <f>E96*1.07</f>
        <v>186733.19</v>
      </c>
      <c r="G96" s="25">
        <f aca="true" t="shared" si="42" ref="G96:M96">F96*1.07</f>
        <v>199804.51330000002</v>
      </c>
      <c r="H96" s="25">
        <f t="shared" si="42"/>
        <v>213790.82923100004</v>
      </c>
      <c r="I96" s="25">
        <f t="shared" si="42"/>
        <v>228756.18727717004</v>
      </c>
      <c r="J96" s="25">
        <f t="shared" si="42"/>
        <v>244769.12038657197</v>
      </c>
      <c r="K96" s="25">
        <f t="shared" si="42"/>
        <v>261902.95881363202</v>
      </c>
      <c r="L96" s="25">
        <f t="shared" si="42"/>
        <v>280236.1659305863</v>
      </c>
      <c r="M96" s="25">
        <f t="shared" si="42"/>
        <v>299852.69754572737</v>
      </c>
    </row>
    <row r="97" spans="1:13" ht="15">
      <c r="A97" s="21" t="s">
        <v>37</v>
      </c>
      <c r="B97" s="23">
        <v>11900</v>
      </c>
      <c r="C97" s="12"/>
      <c r="D97" s="23">
        <v>11900</v>
      </c>
      <c r="E97" s="25">
        <f>D97*1.03</f>
        <v>12257</v>
      </c>
      <c r="F97" s="25">
        <f>E97*1.03</f>
        <v>12624.710000000001</v>
      </c>
      <c r="G97" s="25">
        <f aca="true" t="shared" si="43" ref="G97:M97">F97*1.03</f>
        <v>13003.4513</v>
      </c>
      <c r="H97" s="25">
        <f t="shared" si="43"/>
        <v>13393.554839</v>
      </c>
      <c r="I97" s="25">
        <f t="shared" si="43"/>
        <v>13795.36148417</v>
      </c>
      <c r="J97" s="25">
        <f t="shared" si="43"/>
        <v>14209.222328695101</v>
      </c>
      <c r="K97" s="25">
        <f t="shared" si="43"/>
        <v>14635.498998555955</v>
      </c>
      <c r="L97" s="25">
        <f t="shared" si="43"/>
        <v>15074.563968512633</v>
      </c>
      <c r="M97" s="25">
        <f t="shared" si="43"/>
        <v>15526.800887568013</v>
      </c>
    </row>
    <row r="98" spans="1:13" ht="15">
      <c r="A98" s="21" t="s">
        <v>38</v>
      </c>
      <c r="B98" s="23">
        <v>37500</v>
      </c>
      <c r="C98" s="12"/>
      <c r="D98" s="23">
        <v>37500</v>
      </c>
      <c r="E98" s="25">
        <f>D98*1.1</f>
        <v>41250</v>
      </c>
      <c r="F98" s="25">
        <f>E98*1.1</f>
        <v>45375.00000000001</v>
      </c>
      <c r="G98" s="25">
        <f aca="true" t="shared" si="44" ref="G98:M98">F98*1.1</f>
        <v>49912.500000000015</v>
      </c>
      <c r="H98" s="25">
        <f t="shared" si="44"/>
        <v>54903.75000000002</v>
      </c>
      <c r="I98" s="25">
        <f t="shared" si="44"/>
        <v>60394.12500000003</v>
      </c>
      <c r="J98" s="25">
        <f t="shared" si="44"/>
        <v>66433.53750000003</v>
      </c>
      <c r="K98" s="25">
        <f t="shared" si="44"/>
        <v>73076.89125000004</v>
      </c>
      <c r="L98" s="25">
        <f t="shared" si="44"/>
        <v>80384.58037500005</v>
      </c>
      <c r="M98" s="25">
        <f t="shared" si="44"/>
        <v>88423.03841250006</v>
      </c>
    </row>
    <row r="99" spans="1:13" ht="15">
      <c r="A99" s="21" t="s">
        <v>39</v>
      </c>
      <c r="B99" s="24">
        <v>798700</v>
      </c>
      <c r="C99" s="12"/>
      <c r="D99" s="24">
        <v>798700</v>
      </c>
      <c r="E99" s="35">
        <f>D99*1.1</f>
        <v>878570.0000000001</v>
      </c>
      <c r="F99" s="35">
        <f>E99*1.1</f>
        <v>966427.0000000002</v>
      </c>
      <c r="G99" s="35">
        <f aca="true" t="shared" si="45" ref="G99:M99">F99*1.1</f>
        <v>1063069.7000000004</v>
      </c>
      <c r="H99" s="35">
        <f t="shared" si="45"/>
        <v>1169376.6700000006</v>
      </c>
      <c r="I99" s="35">
        <f t="shared" si="45"/>
        <v>1286314.3370000008</v>
      </c>
      <c r="J99" s="35">
        <f t="shared" si="45"/>
        <v>1414945.770700001</v>
      </c>
      <c r="K99" s="35">
        <f t="shared" si="45"/>
        <v>1556440.347770001</v>
      </c>
      <c r="L99" s="35">
        <f t="shared" si="45"/>
        <v>1712084.3825470014</v>
      </c>
      <c r="M99" s="35">
        <f t="shared" si="45"/>
        <v>1883292.8208017016</v>
      </c>
    </row>
    <row r="100" spans="1:13" ht="15">
      <c r="A100" s="21" t="s">
        <v>185</v>
      </c>
      <c r="B100" s="31">
        <f>SUM(B87:B99)</f>
        <v>3837247</v>
      </c>
      <c r="C100" s="12"/>
      <c r="D100" s="25">
        <f aca="true" t="shared" si="46" ref="D100:M100">SUM(D87:D99)</f>
        <v>3837247</v>
      </c>
      <c r="E100" s="25">
        <f t="shared" si="46"/>
        <v>3980064.52</v>
      </c>
      <c r="F100" s="25">
        <f t="shared" si="46"/>
        <v>4220656.2966</v>
      </c>
      <c r="G100" s="25">
        <f t="shared" si="46"/>
        <v>4437825.542148001</v>
      </c>
      <c r="H100" s="25">
        <f t="shared" si="46"/>
        <v>4669728.036446941</v>
      </c>
      <c r="I100" s="38">
        <f t="shared" si="46"/>
        <v>4917581.273287214</v>
      </c>
      <c r="J100" s="38">
        <f t="shared" si="46"/>
        <v>5182714.191153424</v>
      </c>
      <c r="K100" s="38">
        <f t="shared" si="46"/>
        <v>5466577.855105821</v>
      </c>
      <c r="L100" s="38">
        <f t="shared" si="46"/>
        <v>5770757.18376269</v>
      </c>
      <c r="M100" s="38">
        <f t="shared" si="46"/>
        <v>6096983.82463307</v>
      </c>
    </row>
    <row r="101" spans="1:8" ht="15">
      <c r="A101" s="12"/>
      <c r="B101" s="25"/>
      <c r="C101" s="12"/>
      <c r="D101" s="25"/>
      <c r="E101" s="25"/>
      <c r="F101" s="33"/>
      <c r="G101" s="33"/>
      <c r="H101" s="33"/>
    </row>
    <row r="102" spans="1:13" ht="15">
      <c r="A102" s="21" t="s">
        <v>287</v>
      </c>
      <c r="B102" s="25">
        <v>865000</v>
      </c>
      <c r="C102" s="12"/>
      <c r="D102" s="25">
        <v>865000</v>
      </c>
      <c r="E102" s="25">
        <v>900000</v>
      </c>
      <c r="F102" s="25">
        <v>940000</v>
      </c>
      <c r="G102" s="25">
        <v>980000</v>
      </c>
      <c r="H102" s="25">
        <v>1020000</v>
      </c>
      <c r="I102" s="25">
        <v>1065000</v>
      </c>
      <c r="J102" s="25">
        <v>1110000</v>
      </c>
      <c r="K102" s="25">
        <v>1160000</v>
      </c>
      <c r="L102" s="25">
        <v>1215000</v>
      </c>
      <c r="M102" s="25">
        <v>1265000</v>
      </c>
    </row>
    <row r="103" spans="1:13" ht="15">
      <c r="A103" s="21" t="s">
        <v>146</v>
      </c>
      <c r="B103" s="35">
        <v>2065089</v>
      </c>
      <c r="C103" s="12"/>
      <c r="D103" s="35">
        <v>2065089</v>
      </c>
      <c r="E103" s="35">
        <v>1363111</v>
      </c>
      <c r="F103" s="35">
        <v>1326793</v>
      </c>
      <c r="G103" s="35">
        <v>1286771</v>
      </c>
      <c r="H103" s="35">
        <v>1243656</v>
      </c>
      <c r="I103" s="47">
        <v>1200174</v>
      </c>
      <c r="J103" s="47">
        <v>1154424</v>
      </c>
      <c r="K103" s="47">
        <v>1015524</v>
      </c>
      <c r="L103" s="47">
        <v>1054399</v>
      </c>
      <c r="M103" s="47">
        <v>999979</v>
      </c>
    </row>
    <row r="104" spans="1:13" ht="15">
      <c r="A104" s="21" t="s">
        <v>147</v>
      </c>
      <c r="B104" s="31">
        <f>B102+B103</f>
        <v>2930089</v>
      </c>
      <c r="C104" s="12"/>
      <c r="D104" s="31">
        <f aca="true" t="shared" si="47" ref="D104:M104">D102+D103</f>
        <v>2930089</v>
      </c>
      <c r="E104" s="31">
        <f t="shared" si="47"/>
        <v>2263111</v>
      </c>
      <c r="F104" s="31">
        <f t="shared" si="47"/>
        <v>2266793</v>
      </c>
      <c r="G104" s="31">
        <f t="shared" si="47"/>
        <v>2266771</v>
      </c>
      <c r="H104" s="31">
        <f t="shared" si="47"/>
        <v>2263656</v>
      </c>
      <c r="I104" s="31">
        <f t="shared" si="47"/>
        <v>2265174</v>
      </c>
      <c r="J104" s="31">
        <f t="shared" si="47"/>
        <v>2264424</v>
      </c>
      <c r="K104" s="31">
        <f t="shared" si="47"/>
        <v>2175524</v>
      </c>
      <c r="L104" s="31">
        <f t="shared" si="47"/>
        <v>2269399</v>
      </c>
      <c r="M104" s="31">
        <f t="shared" si="47"/>
        <v>2264979</v>
      </c>
    </row>
    <row r="105" spans="1:5" ht="15">
      <c r="A105" s="21"/>
      <c r="B105" s="31"/>
      <c r="C105" s="12"/>
      <c r="D105" s="12"/>
      <c r="E105" s="12"/>
    </row>
    <row r="106" spans="1:13" ht="15.75" thickBot="1">
      <c r="A106" s="21" t="s">
        <v>159</v>
      </c>
      <c r="B106" s="36">
        <f>B100+B104</f>
        <v>6767336</v>
      </c>
      <c r="C106" s="12"/>
      <c r="D106" s="36">
        <f>D100+D104</f>
        <v>6767336</v>
      </c>
      <c r="E106" s="36">
        <f aca="true" t="shared" si="48" ref="E106:M106">E100+E104</f>
        <v>6243175.52</v>
      </c>
      <c r="F106" s="36">
        <f t="shared" si="48"/>
        <v>6487449.2966</v>
      </c>
      <c r="G106" s="36">
        <f t="shared" si="48"/>
        <v>6704596.542148001</v>
      </c>
      <c r="H106" s="36">
        <f t="shared" si="48"/>
        <v>6933384.036446941</v>
      </c>
      <c r="I106" s="36">
        <f t="shared" si="48"/>
        <v>7182755.273287214</v>
      </c>
      <c r="J106" s="36">
        <f t="shared" si="48"/>
        <v>7447138.191153424</v>
      </c>
      <c r="K106" s="36">
        <f t="shared" si="48"/>
        <v>7642101.855105821</v>
      </c>
      <c r="L106" s="36">
        <f t="shared" si="48"/>
        <v>8040156.18376269</v>
      </c>
      <c r="M106" s="36">
        <f t="shared" si="48"/>
        <v>8361962.82463307</v>
      </c>
    </row>
    <row r="107" spans="1:5" ht="15.75" thickTop="1">
      <c r="A107" s="21"/>
      <c r="B107" s="31"/>
      <c r="C107" s="12"/>
      <c r="D107" s="12"/>
      <c r="E107" s="12"/>
    </row>
    <row r="108" spans="1:13" ht="15">
      <c r="A108" s="21" t="s">
        <v>160</v>
      </c>
      <c r="B108" s="31"/>
      <c r="C108" s="12"/>
      <c r="D108" s="16">
        <f aca="true" t="shared" si="49" ref="D108:M108">D84</f>
        <v>7472331.3</v>
      </c>
      <c r="E108" s="16">
        <f t="shared" si="49"/>
        <v>7037624.1875</v>
      </c>
      <c r="F108" s="16">
        <f t="shared" si="49"/>
        <v>7331189.872125001</v>
      </c>
      <c r="G108" s="16">
        <f t="shared" si="49"/>
        <v>7789596.317212501</v>
      </c>
      <c r="H108" s="16">
        <f t="shared" si="49"/>
        <v>8339808.298165314</v>
      </c>
      <c r="I108" s="16">
        <f t="shared" si="49"/>
        <v>8824306.222412298</v>
      </c>
      <c r="J108" s="16">
        <f t="shared" si="49"/>
        <v>9300962.97593574</v>
      </c>
      <c r="K108" s="16">
        <f t="shared" si="49"/>
        <v>9766011.124732528</v>
      </c>
      <c r="L108" s="16">
        <f t="shared" si="49"/>
        <v>10254311.680969156</v>
      </c>
      <c r="M108" s="16">
        <f t="shared" si="49"/>
        <v>10767027.265017614</v>
      </c>
    </row>
    <row r="109" spans="1:13" ht="15">
      <c r="A109" s="21" t="s">
        <v>159</v>
      </c>
      <c r="B109" s="31"/>
      <c r="C109" s="12"/>
      <c r="D109" s="35">
        <f>B106</f>
        <v>6767336</v>
      </c>
      <c r="E109" s="35">
        <f aca="true" t="shared" si="50" ref="E109:M109">E106</f>
        <v>6243175.52</v>
      </c>
      <c r="F109" s="35">
        <f t="shared" si="50"/>
        <v>6487449.2966</v>
      </c>
      <c r="G109" s="35">
        <f t="shared" si="50"/>
        <v>6704596.542148001</v>
      </c>
      <c r="H109" s="35">
        <f t="shared" si="50"/>
        <v>6933384.036446941</v>
      </c>
      <c r="I109" s="35">
        <f t="shared" si="50"/>
        <v>7182755.273287214</v>
      </c>
      <c r="J109" s="35">
        <f t="shared" si="50"/>
        <v>7447138.191153424</v>
      </c>
      <c r="K109" s="35">
        <f t="shared" si="50"/>
        <v>7642101.855105821</v>
      </c>
      <c r="L109" s="35">
        <f t="shared" si="50"/>
        <v>8040156.18376269</v>
      </c>
      <c r="M109" s="35">
        <f t="shared" si="50"/>
        <v>8361962.82463307</v>
      </c>
    </row>
    <row r="110" spans="1:13" ht="15.75" thickBot="1">
      <c r="A110" s="21" t="s">
        <v>161</v>
      </c>
      <c r="B110" s="31"/>
      <c r="C110" s="12"/>
      <c r="D110" s="28">
        <f aca="true" t="shared" si="51" ref="D110:M110">D108-D109</f>
        <v>704995.2999999998</v>
      </c>
      <c r="E110" s="28">
        <f t="shared" si="51"/>
        <v>794448.6675000004</v>
      </c>
      <c r="F110" s="28">
        <f t="shared" si="51"/>
        <v>843740.5755250007</v>
      </c>
      <c r="G110" s="28">
        <f t="shared" si="51"/>
        <v>1084999.7750645</v>
      </c>
      <c r="H110" s="28">
        <f t="shared" si="51"/>
        <v>1406424.2617183728</v>
      </c>
      <c r="I110" s="28">
        <f t="shared" si="51"/>
        <v>1641550.9491250832</v>
      </c>
      <c r="J110" s="28">
        <f t="shared" si="51"/>
        <v>1853824.7847823165</v>
      </c>
      <c r="K110" s="28">
        <f t="shared" si="51"/>
        <v>2123909.269626707</v>
      </c>
      <c r="L110" s="28">
        <f t="shared" si="51"/>
        <v>2214155.4972064663</v>
      </c>
      <c r="M110" s="28">
        <f t="shared" si="51"/>
        <v>2405064.4403845435</v>
      </c>
    </row>
    <row r="111" spans="1:13" ht="15.75" thickTop="1">
      <c r="A111" s="21" t="s">
        <v>164</v>
      </c>
      <c r="B111" s="31"/>
      <c r="C111" s="12"/>
      <c r="D111" s="25">
        <v>100000</v>
      </c>
      <c r="E111" s="25">
        <v>100000</v>
      </c>
      <c r="F111" s="25">
        <v>100000</v>
      </c>
      <c r="G111" s="25">
        <v>100000</v>
      </c>
      <c r="H111" s="25">
        <v>100000</v>
      </c>
      <c r="I111" s="25">
        <v>100000</v>
      </c>
      <c r="J111" s="25">
        <v>100000</v>
      </c>
      <c r="K111" s="25">
        <v>100000</v>
      </c>
      <c r="L111" s="25">
        <v>100000</v>
      </c>
      <c r="M111" s="25">
        <v>100000</v>
      </c>
    </row>
    <row r="112" spans="1:13" ht="15">
      <c r="A112" s="21" t="s">
        <v>162</v>
      </c>
      <c r="B112" s="31"/>
      <c r="C112" s="12"/>
      <c r="D112" s="25">
        <v>310000</v>
      </c>
      <c r="E112" s="25">
        <f>D112*(1+$E$30)</f>
        <v>325500</v>
      </c>
      <c r="F112" s="25">
        <f>E112*(1+$G$30)</f>
        <v>341775</v>
      </c>
      <c r="G112" s="25">
        <f>F112*(1+$G$30)</f>
        <v>358863.75</v>
      </c>
      <c r="H112" s="25">
        <f>G112*(1+$H$30)</f>
        <v>376806.9375</v>
      </c>
      <c r="I112" s="38">
        <f>H112*(1+$I$30)</f>
        <v>395647.284375</v>
      </c>
      <c r="J112" s="38">
        <f>I112*(1+$J$30)</f>
        <v>415429.64859375</v>
      </c>
      <c r="K112" s="38">
        <f>J112*(1+$K$30)</f>
        <v>436201.13102343754</v>
      </c>
      <c r="L112" s="38">
        <f>K112*(1+$L$30)</f>
        <v>458011.1875746094</v>
      </c>
      <c r="M112" s="38">
        <f>L112*(1+$M$30)</f>
        <v>480911.7469533399</v>
      </c>
    </row>
    <row r="113" spans="1:13" ht="15">
      <c r="A113" s="21" t="s">
        <v>165</v>
      </c>
      <c r="B113" s="31"/>
      <c r="C113" s="12"/>
      <c r="D113" s="18">
        <v>50000</v>
      </c>
      <c r="E113" s="31">
        <f>D113*(1+$E$30)</f>
        <v>52500</v>
      </c>
      <c r="F113" s="31">
        <f>E113*(1+$G$30)</f>
        <v>55125</v>
      </c>
      <c r="G113" s="31">
        <f>F113*(1+$G$30)</f>
        <v>57881.25</v>
      </c>
      <c r="H113" s="31">
        <f>G113*(1+$H$30)</f>
        <v>60775.3125</v>
      </c>
      <c r="I113" s="38">
        <f>H113*(1+$I$30)</f>
        <v>63814.078125</v>
      </c>
      <c r="J113" s="38">
        <f>I113*(1+$J$30)</f>
        <v>67004.78203125</v>
      </c>
      <c r="K113" s="38">
        <f>J113*(1+$K$30)</f>
        <v>70355.0211328125</v>
      </c>
      <c r="L113" s="38">
        <f>K113*(1+$L$30)</f>
        <v>73872.77218945313</v>
      </c>
      <c r="M113" s="38">
        <f>L113*(1+$M$30)</f>
        <v>77566.41079892579</v>
      </c>
    </row>
    <row r="114" spans="1:13" ht="15">
      <c r="A114" s="21" t="s">
        <v>282</v>
      </c>
      <c r="B114" s="31"/>
      <c r="C114" s="12"/>
      <c r="D114" s="18"/>
      <c r="E114" s="31"/>
      <c r="F114" s="31"/>
      <c r="G114" s="31"/>
      <c r="H114" s="31"/>
      <c r="I114" s="38"/>
      <c r="J114" s="38"/>
      <c r="K114" s="38"/>
      <c r="L114" s="38"/>
      <c r="M114" s="38"/>
    </row>
    <row r="115" spans="1:13" ht="15.75" thickBot="1">
      <c r="A115" s="21" t="s">
        <v>166</v>
      </c>
      <c r="B115" s="31"/>
      <c r="C115" s="12"/>
      <c r="D115" s="28">
        <f>D110-D111-D112-D113</f>
        <v>244995.2999999998</v>
      </c>
      <c r="E115" s="28">
        <f>E110-E111-E112-E113-E114</f>
        <v>316448.66750000045</v>
      </c>
      <c r="F115" s="28">
        <f>F110-F111-F112-F113-F114</f>
        <v>346840.5755250007</v>
      </c>
      <c r="G115" s="28">
        <f aca="true" t="shared" si="52" ref="G115:M115">G110-G111-G112-G113</f>
        <v>568254.7750645</v>
      </c>
      <c r="H115" s="28">
        <f t="shared" si="52"/>
        <v>868842.0117183728</v>
      </c>
      <c r="I115" s="28">
        <f t="shared" si="52"/>
        <v>1082089.5866250831</v>
      </c>
      <c r="J115" s="28">
        <f t="shared" si="52"/>
        <v>1271390.3541573165</v>
      </c>
      <c r="K115" s="28">
        <f t="shared" si="52"/>
        <v>1517353.1174704568</v>
      </c>
      <c r="L115" s="28">
        <f t="shared" si="52"/>
        <v>1582271.5374424038</v>
      </c>
      <c r="M115" s="28">
        <f t="shared" si="52"/>
        <v>1746586.2826322778</v>
      </c>
    </row>
    <row r="116" spans="1:5" ht="15.75" thickTop="1">
      <c r="A116" s="12"/>
      <c r="B116" s="12"/>
      <c r="C116" s="12"/>
      <c r="D116" s="12"/>
      <c r="E116" s="12"/>
    </row>
    <row r="117" spans="1:14" ht="15">
      <c r="A117" s="21" t="s">
        <v>320</v>
      </c>
      <c r="B117" s="17">
        <f>B100*0.22</f>
        <v>844194.34</v>
      </c>
      <c r="C117" s="12"/>
      <c r="D117" s="17">
        <f>B117</f>
        <v>844194.34</v>
      </c>
      <c r="E117" s="17">
        <f>E100*$N$117</f>
        <v>875614.1944</v>
      </c>
      <c r="F117" s="17">
        <f aca="true" t="shared" si="53" ref="F117:M117">F100*$N$117</f>
        <v>928544.385252</v>
      </c>
      <c r="G117" s="17">
        <f t="shared" si="53"/>
        <v>976321.6192725601</v>
      </c>
      <c r="H117" s="17">
        <f t="shared" si="53"/>
        <v>1027340.1680183271</v>
      </c>
      <c r="I117" s="17">
        <f t="shared" si="53"/>
        <v>1081867.880123187</v>
      </c>
      <c r="J117" s="17">
        <f t="shared" si="53"/>
        <v>1140197.1220537534</v>
      </c>
      <c r="K117" s="17">
        <f t="shared" si="53"/>
        <v>1202647.1281232806</v>
      </c>
      <c r="L117" s="17">
        <f t="shared" si="53"/>
        <v>1269566.580427792</v>
      </c>
      <c r="M117" s="17">
        <f t="shared" si="53"/>
        <v>1341336.4414192755</v>
      </c>
      <c r="N117" s="169">
        <v>0.22</v>
      </c>
    </row>
    <row r="118" spans="1:13" ht="15">
      <c r="A118" s="21" t="s">
        <v>173</v>
      </c>
      <c r="B118" s="20"/>
      <c r="C118" s="12"/>
      <c r="D118" s="20">
        <f aca="true" t="shared" si="54" ref="D118:M118">D117*(6/15)</f>
        <v>337677.73600000003</v>
      </c>
      <c r="E118" s="20">
        <f t="shared" si="54"/>
        <v>350245.67776000005</v>
      </c>
      <c r="F118" s="20">
        <f t="shared" si="54"/>
        <v>371417.7541008</v>
      </c>
      <c r="G118" s="20">
        <f t="shared" si="54"/>
        <v>390528.6477090241</v>
      </c>
      <c r="H118" s="20">
        <f t="shared" si="54"/>
        <v>410936.06720733084</v>
      </c>
      <c r="I118" s="20">
        <f t="shared" si="54"/>
        <v>432747.1520492749</v>
      </c>
      <c r="J118" s="20">
        <f t="shared" si="54"/>
        <v>456078.84882150136</v>
      </c>
      <c r="K118" s="20">
        <f t="shared" si="54"/>
        <v>481058.8512493123</v>
      </c>
      <c r="L118" s="20">
        <f t="shared" si="54"/>
        <v>507826.63217111677</v>
      </c>
      <c r="M118" s="20">
        <f t="shared" si="54"/>
        <v>536534.5765677103</v>
      </c>
    </row>
    <row r="119" spans="1:13" ht="15">
      <c r="A119" s="21" t="s">
        <v>174</v>
      </c>
      <c r="B119" s="20"/>
      <c r="C119" s="12"/>
      <c r="D119" s="20">
        <f aca="true" t="shared" si="55" ref="D119:M119">D117*(3/15)</f>
        <v>168838.86800000002</v>
      </c>
      <c r="E119" s="20">
        <f t="shared" si="55"/>
        <v>175122.83888000002</v>
      </c>
      <c r="F119" s="20">
        <f t="shared" si="55"/>
        <v>185708.8770504</v>
      </c>
      <c r="G119" s="20">
        <f t="shared" si="55"/>
        <v>195264.32385451204</v>
      </c>
      <c r="H119" s="20">
        <f t="shared" si="55"/>
        <v>205468.03360366542</v>
      </c>
      <c r="I119" s="20">
        <f t="shared" si="55"/>
        <v>216373.57602463744</v>
      </c>
      <c r="J119" s="20">
        <f t="shared" si="55"/>
        <v>228039.42441075068</v>
      </c>
      <c r="K119" s="20">
        <f t="shared" si="55"/>
        <v>240529.42562465614</v>
      </c>
      <c r="L119" s="20">
        <f t="shared" si="55"/>
        <v>253913.31608555838</v>
      </c>
      <c r="M119" s="20">
        <f t="shared" si="55"/>
        <v>268267.28828385513</v>
      </c>
    </row>
    <row r="120" spans="1:15" ht="15">
      <c r="A120" s="21" t="s">
        <v>175</v>
      </c>
      <c r="B120" s="20"/>
      <c r="C120" s="12"/>
      <c r="D120" s="20">
        <f aca="true" t="shared" si="56" ref="D120:M120">D117*(3/15)</f>
        <v>168838.86800000002</v>
      </c>
      <c r="E120" s="20">
        <f t="shared" si="56"/>
        <v>175122.83888000002</v>
      </c>
      <c r="F120" s="20">
        <f t="shared" si="56"/>
        <v>185708.8770504</v>
      </c>
      <c r="G120" s="20">
        <f t="shared" si="56"/>
        <v>195264.32385451204</v>
      </c>
      <c r="H120" s="20">
        <f t="shared" si="56"/>
        <v>205468.03360366542</v>
      </c>
      <c r="I120" s="20">
        <f t="shared" si="56"/>
        <v>216373.57602463744</v>
      </c>
      <c r="J120" s="20">
        <f t="shared" si="56"/>
        <v>228039.42441075068</v>
      </c>
      <c r="K120" s="20">
        <f t="shared" si="56"/>
        <v>240529.42562465614</v>
      </c>
      <c r="L120" s="20">
        <f t="shared" si="56"/>
        <v>253913.31608555838</v>
      </c>
      <c r="M120" s="20">
        <f t="shared" si="56"/>
        <v>268267.28828385513</v>
      </c>
      <c r="O120" s="262"/>
    </row>
    <row r="121" spans="1:8" ht="15">
      <c r="A121" s="21"/>
      <c r="B121" s="20"/>
      <c r="C121" s="12"/>
      <c r="D121" s="20"/>
      <c r="E121" s="20"/>
      <c r="F121" s="20"/>
      <c r="G121" s="20"/>
      <c r="H121" s="20"/>
    </row>
    <row r="122" spans="1:13" ht="15">
      <c r="A122" s="21"/>
      <c r="B122" s="20"/>
      <c r="C122" s="12"/>
      <c r="D122" s="13" t="s">
        <v>17</v>
      </c>
      <c r="E122" s="13" t="s">
        <v>18</v>
      </c>
      <c r="F122" s="13" t="s">
        <v>19</v>
      </c>
      <c r="G122" s="13" t="s">
        <v>20</v>
      </c>
      <c r="H122" s="13" t="s">
        <v>22</v>
      </c>
      <c r="I122" s="44" t="s">
        <v>23</v>
      </c>
      <c r="J122" s="44" t="s">
        <v>176</v>
      </c>
      <c r="K122" s="44" t="s">
        <v>177</v>
      </c>
      <c r="L122" s="44" t="s">
        <v>178</v>
      </c>
      <c r="M122" s="44" t="s">
        <v>179</v>
      </c>
    </row>
    <row r="123" spans="1:5" ht="15">
      <c r="A123" s="12"/>
      <c r="B123" s="18"/>
      <c r="C123" s="12"/>
      <c r="D123" s="12"/>
      <c r="E123" s="12"/>
    </row>
    <row r="124" spans="1:13" ht="15">
      <c r="A124" t="s">
        <v>135</v>
      </c>
      <c r="B124" s="16">
        <f>D36</f>
        <v>1214676</v>
      </c>
      <c r="C124" s="12"/>
      <c r="D124" s="16">
        <f aca="true" t="shared" si="57" ref="D124:M124">D36</f>
        <v>1214676</v>
      </c>
      <c r="E124" s="16">
        <f t="shared" si="57"/>
        <v>1275409.7999999998</v>
      </c>
      <c r="F124" s="16">
        <f t="shared" si="57"/>
        <v>1339180.29</v>
      </c>
      <c r="G124" s="16">
        <f t="shared" si="57"/>
        <v>1406139.3045</v>
      </c>
      <c r="H124" s="16">
        <f t="shared" si="57"/>
        <v>1476446.2697250003</v>
      </c>
      <c r="I124" s="16">
        <f t="shared" si="57"/>
        <v>1550268.5832112501</v>
      </c>
      <c r="J124" s="16">
        <f t="shared" si="57"/>
        <v>1627782.012371813</v>
      </c>
      <c r="K124" s="16">
        <f t="shared" si="57"/>
        <v>1709171.1129904038</v>
      </c>
      <c r="L124" s="16">
        <f t="shared" si="57"/>
        <v>1794629.6686399237</v>
      </c>
      <c r="M124" s="16">
        <f t="shared" si="57"/>
        <v>1884361.1520719202</v>
      </c>
    </row>
    <row r="125" spans="1:13" ht="15">
      <c r="A125" t="s">
        <v>136</v>
      </c>
      <c r="B125" s="17">
        <f>B117</f>
        <v>844194.34</v>
      </c>
      <c r="C125" s="12"/>
      <c r="D125" s="17">
        <f aca="true" t="shared" si="58" ref="D125:M125">D117</f>
        <v>844194.34</v>
      </c>
      <c r="E125" s="17">
        <f t="shared" si="58"/>
        <v>875614.1944</v>
      </c>
      <c r="F125" s="17">
        <f t="shared" si="58"/>
        <v>928544.385252</v>
      </c>
      <c r="G125" s="17">
        <f t="shared" si="58"/>
        <v>976321.6192725601</v>
      </c>
      <c r="H125" s="17">
        <f t="shared" si="58"/>
        <v>1027340.1680183271</v>
      </c>
      <c r="I125" s="17">
        <f t="shared" si="58"/>
        <v>1081867.880123187</v>
      </c>
      <c r="J125" s="17">
        <f t="shared" si="58"/>
        <v>1140197.1220537534</v>
      </c>
      <c r="K125" s="17">
        <f t="shared" si="58"/>
        <v>1202647.1281232806</v>
      </c>
      <c r="L125" s="17">
        <f t="shared" si="58"/>
        <v>1269566.580427792</v>
      </c>
      <c r="M125" s="17">
        <f t="shared" si="58"/>
        <v>1341336.4414192755</v>
      </c>
    </row>
    <row r="126" spans="1:13" ht="15">
      <c r="A126" t="s">
        <v>138</v>
      </c>
      <c r="B126" s="16">
        <f>B124-B125</f>
        <v>370481.66000000003</v>
      </c>
      <c r="C126" s="12"/>
      <c r="D126" s="16">
        <f aca="true" t="shared" si="59" ref="D126:M126">D124-D125</f>
        <v>370481.66000000003</v>
      </c>
      <c r="E126" s="16">
        <f t="shared" si="59"/>
        <v>399795.6055999998</v>
      </c>
      <c r="F126" s="16">
        <f t="shared" si="59"/>
        <v>410635.9047480001</v>
      </c>
      <c r="G126" s="16">
        <f t="shared" si="59"/>
        <v>429817.68522744</v>
      </c>
      <c r="H126" s="16">
        <f t="shared" si="59"/>
        <v>449106.10170667316</v>
      </c>
      <c r="I126" s="16">
        <f t="shared" si="59"/>
        <v>468400.70308806305</v>
      </c>
      <c r="J126" s="16">
        <f t="shared" si="59"/>
        <v>487584.8903180596</v>
      </c>
      <c r="K126" s="16">
        <f t="shared" si="59"/>
        <v>506523.9848671232</v>
      </c>
      <c r="L126" s="16">
        <f t="shared" si="59"/>
        <v>525063.0882121318</v>
      </c>
      <c r="M126" s="16">
        <f t="shared" si="59"/>
        <v>543024.7106526447</v>
      </c>
    </row>
    <row r="127" spans="2:8" ht="15">
      <c r="B127" s="16"/>
      <c r="C127" s="12"/>
      <c r="D127" s="16"/>
      <c r="E127" s="16"/>
      <c r="F127" s="16"/>
      <c r="G127" s="16"/>
      <c r="H127" s="16"/>
    </row>
    <row r="128" spans="2:8" ht="15">
      <c r="B128" s="16"/>
      <c r="C128" s="12"/>
      <c r="D128" s="16"/>
      <c r="E128" s="16"/>
      <c r="F128" s="16"/>
      <c r="G128" s="16"/>
      <c r="H128" s="16"/>
    </row>
    <row r="129" spans="2:8" ht="15">
      <c r="B129" s="16"/>
      <c r="C129" s="12"/>
      <c r="D129" s="16"/>
      <c r="E129" s="16"/>
      <c r="F129" s="16"/>
      <c r="G129" s="16"/>
      <c r="H129" s="16"/>
    </row>
    <row r="130" spans="1:13" ht="15" hidden="1">
      <c r="A130" t="s">
        <v>286</v>
      </c>
      <c r="B130" s="12"/>
      <c r="C130" s="12"/>
      <c r="D130" s="12"/>
      <c r="E130" s="142">
        <f>'Bond Pymt Fixed-30 Year'!$G$12</f>
        <v>1005000.0000000001</v>
      </c>
      <c r="F130" s="33">
        <f>'Bond Pymt Fixed-30 Year'!$G$13</f>
        <v>1005000.0000000001</v>
      </c>
      <c r="G130" s="33">
        <f>'Bond Pymt Fixed-30 Year'!$G$14</f>
        <v>1172574.468650593</v>
      </c>
      <c r="H130" s="33">
        <f>'Bond Pymt Fixed-30 Year'!$G$15</f>
        <v>1172574.468650593</v>
      </c>
      <c r="I130" s="33">
        <f>'Bond Pymt Fixed-30 Year'!$G$16</f>
        <v>1172574.468650593</v>
      </c>
      <c r="J130" s="33">
        <f>'Bond Pymt Fixed-30 Year'!$G$17</f>
        <v>1172574.468650593</v>
      </c>
      <c r="K130" s="33">
        <f>'Bond Pymt Fixed-30 Year'!$G$18</f>
        <v>1172574.468650593</v>
      </c>
      <c r="L130" s="33">
        <f>'Bond Pymt Fixed-30 Year'!$G$19</f>
        <v>1172574.4686505927</v>
      </c>
      <c r="M130" s="33">
        <f>'Bond Pymt Fixed-30 Year'!$G$20</f>
        <v>1172574.468650593</v>
      </c>
    </row>
    <row r="131" spans="1:13" ht="15" hidden="1">
      <c r="A131" t="s">
        <v>285</v>
      </c>
      <c r="E131" s="33">
        <f>'Bond Pymt Fixed-30 Year'!$D$12</f>
        <v>0</v>
      </c>
      <c r="F131" s="33">
        <f>'Bond Pymt Fixed-30 Year'!$D$13</f>
        <v>0</v>
      </c>
      <c r="G131" s="33">
        <f>'Bond Pymt Fixed-30 Year'!$D$14</f>
        <v>167574.46865059284</v>
      </c>
      <c r="H131" s="33">
        <f>'Bond Pymt Fixed-30 Year'!$D$15</f>
        <v>178801.95805018255</v>
      </c>
      <c r="I131" s="33">
        <f>'Bond Pymt Fixed-30 Year'!$D$16</f>
        <v>190781.68923954476</v>
      </c>
      <c r="J131" s="33">
        <f>'Bond Pymt Fixed-30 Year'!$D$17</f>
        <v>203564.06241859426</v>
      </c>
      <c r="K131" s="33">
        <f>'Bond Pymt Fixed-30 Year'!$D$18</f>
        <v>217202.85460064007</v>
      </c>
      <c r="L131" s="33">
        <f>'Bond Pymt Fixed-30 Year'!$D$19</f>
        <v>231755.44585888294</v>
      </c>
      <c r="M131" s="33">
        <f>'Bond Pymt Fixed-30 Year'!$D$20</f>
        <v>247283.0607314281</v>
      </c>
    </row>
    <row r="132" spans="1:13" ht="15" hidden="1">
      <c r="A132" t="s">
        <v>196</v>
      </c>
      <c r="E132" s="33">
        <f>'Bond Pymt Fixed-30 Year'!$C$12</f>
        <v>1005000.0000000001</v>
      </c>
      <c r="F132" s="33">
        <f>'Bond Pymt Fixed-30 Year'!C13</f>
        <v>1005000.0000000001</v>
      </c>
      <c r="G132" s="33">
        <f>'Bond Pymt Fixed-30 Year'!$C$14</f>
        <v>1005000.0000000001</v>
      </c>
      <c r="H132" s="33">
        <f>'Bond Pymt Fixed-30 Year'!$C$15</f>
        <v>993772.5106004104</v>
      </c>
      <c r="I132" s="33">
        <f>'Bond Pymt Fixed-30 Year'!$C$16</f>
        <v>981792.7794110482</v>
      </c>
      <c r="J132" s="33">
        <f>'Bond Pymt Fixed-30 Year'!$C$17</f>
        <v>969010.4062319987</v>
      </c>
      <c r="K132" s="33">
        <f>'Bond Pymt Fixed-30 Year'!$C$18</f>
        <v>955371.6140499528</v>
      </c>
      <c r="L132" s="33">
        <f>'Bond Pymt Fixed-30 Year'!$C$19</f>
        <v>940819.0227917099</v>
      </c>
      <c r="M132" s="33">
        <f>'Bond Pymt Fixed-30 Year'!$C$20</f>
        <v>925291.4079191647</v>
      </c>
    </row>
    <row r="133" spans="5:13" ht="15" hidden="1">
      <c r="E133" s="33"/>
      <c r="F133" s="33"/>
      <c r="G133" s="33"/>
      <c r="H133" s="33"/>
      <c r="I133" s="33"/>
      <c r="J133" s="33"/>
      <c r="K133" s="33"/>
      <c r="L133" s="33"/>
      <c r="M133" s="33"/>
    </row>
    <row r="134" spans="1:13" s="263" customFormat="1" ht="15">
      <c r="A134" s="263" t="s">
        <v>378</v>
      </c>
      <c r="E134" s="264">
        <v>0</v>
      </c>
      <c r="F134" s="264">
        <f>485000+765000-383456</f>
        <v>866544</v>
      </c>
      <c r="G134" s="264">
        <f>510000+740265</f>
        <v>1250265</v>
      </c>
      <c r="H134" s="264">
        <f>535000+714255</f>
        <v>1249255</v>
      </c>
      <c r="I134" s="264">
        <f>565000+686970</f>
        <v>1251970</v>
      </c>
      <c r="J134" s="264">
        <v>952013.36</v>
      </c>
      <c r="K134" s="264">
        <v>951413.36</v>
      </c>
      <c r="L134" s="264">
        <v>950663.36</v>
      </c>
      <c r="M134" s="264">
        <v>949913.36</v>
      </c>
    </row>
    <row r="135" spans="5:13" ht="15">
      <c r="E135" s="33"/>
      <c r="M135" s="33"/>
    </row>
    <row r="136" ht="15">
      <c r="A136" t="s">
        <v>289</v>
      </c>
    </row>
    <row r="137" spans="1:13" ht="15" hidden="1">
      <c r="A137" t="s">
        <v>285</v>
      </c>
      <c r="D137" s="33">
        <f>D102+D131</f>
        <v>865000</v>
      </c>
      <c r="E137" s="33">
        <f>E102+E131</f>
        <v>900000</v>
      </c>
      <c r="F137" s="33">
        <f aca="true" t="shared" si="60" ref="F137:M137">F102+F131</f>
        <v>940000</v>
      </c>
      <c r="G137" s="33">
        <f t="shared" si="60"/>
        <v>1147574.468650593</v>
      </c>
      <c r="H137" s="33">
        <f t="shared" si="60"/>
        <v>1198801.9580501826</v>
      </c>
      <c r="I137" s="33">
        <f t="shared" si="60"/>
        <v>1255781.6892395448</v>
      </c>
      <c r="J137" s="33">
        <f t="shared" si="60"/>
        <v>1313564.0624185943</v>
      </c>
      <c r="K137" s="33">
        <f t="shared" si="60"/>
        <v>1377202.85460064</v>
      </c>
      <c r="L137" s="33">
        <f t="shared" si="60"/>
        <v>1446755.445858883</v>
      </c>
      <c r="M137" s="33">
        <f t="shared" si="60"/>
        <v>1512283.0607314282</v>
      </c>
    </row>
    <row r="138" spans="1:13" ht="15" hidden="1">
      <c r="A138" t="s">
        <v>288</v>
      </c>
      <c r="D138" s="33">
        <f>D103+D132</f>
        <v>2065089</v>
      </c>
      <c r="E138" s="33">
        <f>E103+E132</f>
        <v>2368111</v>
      </c>
      <c r="F138" s="33">
        <f aca="true" t="shared" si="61" ref="F138:M138">F103+F132</f>
        <v>2331793</v>
      </c>
      <c r="G138" s="33">
        <f t="shared" si="61"/>
        <v>2291771</v>
      </c>
      <c r="H138" s="33">
        <f t="shared" si="61"/>
        <v>2237428.5106004104</v>
      </c>
      <c r="I138" s="33">
        <f t="shared" si="61"/>
        <v>2181966.779411048</v>
      </c>
      <c r="J138" s="33">
        <f t="shared" si="61"/>
        <v>2123434.4062319985</v>
      </c>
      <c r="K138" s="33">
        <f t="shared" si="61"/>
        <v>1970895.614049953</v>
      </c>
      <c r="L138" s="33">
        <f t="shared" si="61"/>
        <v>1995218.0227917098</v>
      </c>
      <c r="M138" s="33">
        <f t="shared" si="61"/>
        <v>1925270.4079191647</v>
      </c>
    </row>
    <row r="139" spans="1:13" ht="15">
      <c r="A139" t="s">
        <v>376</v>
      </c>
      <c r="D139" s="33">
        <f>SUM(D137:D138)</f>
        <v>2930089</v>
      </c>
      <c r="E139" s="33">
        <f>E134+E104</f>
        <v>2263111</v>
      </c>
      <c r="F139" s="33">
        <f aca="true" t="shared" si="62" ref="F139:M139">F134+F104</f>
        <v>3133337</v>
      </c>
      <c r="G139" s="33">
        <v>3428771.26</v>
      </c>
      <c r="H139" s="33">
        <f t="shared" si="62"/>
        <v>3512911</v>
      </c>
      <c r="I139" s="33">
        <f t="shared" si="62"/>
        <v>3517144</v>
      </c>
      <c r="J139" s="33">
        <f t="shared" si="62"/>
        <v>3216437.36</v>
      </c>
      <c r="K139" s="33">
        <f t="shared" si="62"/>
        <v>3126937.36</v>
      </c>
      <c r="L139" s="33">
        <f t="shared" si="62"/>
        <v>3220062.36</v>
      </c>
      <c r="M139" s="33">
        <f t="shared" si="62"/>
        <v>3214892.36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landscape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24.140625" style="0" customWidth="1"/>
    <col min="2" max="2" width="19.00390625" style="0" customWidth="1"/>
    <col min="3" max="3" width="14.140625" style="0" customWidth="1"/>
    <col min="4" max="4" width="14.57421875" style="0" customWidth="1"/>
    <col min="5" max="5" width="15.140625" style="0" customWidth="1"/>
    <col min="6" max="6" width="5.00390625" style="0" customWidth="1"/>
    <col min="7" max="7" width="14.8515625" style="0" customWidth="1"/>
    <col min="10" max="10" width="12.57421875" style="0" bestFit="1" customWidth="1"/>
  </cols>
  <sheetData>
    <row r="1" ht="15">
      <c r="A1" t="s">
        <v>192</v>
      </c>
    </row>
    <row r="3" spans="1:3" ht="15">
      <c r="A3" t="s">
        <v>193</v>
      </c>
      <c r="B3" s="63">
        <v>15000000</v>
      </c>
      <c r="C3" t="s">
        <v>205</v>
      </c>
    </row>
    <row r="4" spans="1:2" ht="15">
      <c r="A4" t="s">
        <v>194</v>
      </c>
      <c r="B4" s="64">
        <v>0</v>
      </c>
    </row>
    <row r="5" spans="1:2" ht="15">
      <c r="A5" t="s">
        <v>195</v>
      </c>
      <c r="B5" s="63">
        <f>B3-B4</f>
        <v>15000000</v>
      </c>
    </row>
    <row r="6" spans="1:2" ht="15">
      <c r="A6" t="s">
        <v>196</v>
      </c>
      <c r="B6" s="65">
        <v>0.067</v>
      </c>
    </row>
    <row r="7" spans="1:3" ht="15">
      <c r="A7" t="s">
        <v>197</v>
      </c>
      <c r="B7" s="63"/>
      <c r="C7" s="152"/>
    </row>
    <row r="8" spans="1:2" ht="15.75" thickBot="1">
      <c r="A8" t="s">
        <v>198</v>
      </c>
      <c r="B8" s="66">
        <v>30</v>
      </c>
    </row>
    <row r="9" spans="1:3" ht="15.75" thickBot="1">
      <c r="A9" t="s">
        <v>199</v>
      </c>
      <c r="B9" s="67">
        <f>PMT(B6,B8,(B5+B7),0,0)</f>
        <v>-1172574.468650593</v>
      </c>
      <c r="C9" s="261">
        <v>-1040225</v>
      </c>
    </row>
    <row r="11" spans="1:7" ht="30">
      <c r="A11" s="57" t="s">
        <v>200</v>
      </c>
      <c r="B11" s="59" t="s">
        <v>201</v>
      </c>
      <c r="C11" s="59" t="s">
        <v>196</v>
      </c>
      <c r="D11" s="59" t="s">
        <v>202</v>
      </c>
      <c r="E11" s="59" t="s">
        <v>203</v>
      </c>
      <c r="G11" s="259" t="s">
        <v>204</v>
      </c>
    </row>
    <row r="12" spans="1:7" ht="15">
      <c r="A12" s="57">
        <v>2009</v>
      </c>
      <c r="B12" s="58">
        <f>B5+B7</f>
        <v>15000000</v>
      </c>
      <c r="C12" s="58">
        <f>B12*$B$6</f>
        <v>1005000.0000000001</v>
      </c>
      <c r="D12" s="62"/>
      <c r="E12" s="58">
        <f>B12-D12</f>
        <v>15000000</v>
      </c>
      <c r="G12" s="60">
        <f>C12+D12</f>
        <v>1005000.0000000001</v>
      </c>
    </row>
    <row r="13" spans="1:7" ht="15">
      <c r="A13" s="57">
        <v>2010</v>
      </c>
      <c r="B13" s="58">
        <f>E12</f>
        <v>15000000</v>
      </c>
      <c r="C13" s="58">
        <f aca="true" t="shared" si="0" ref="C13:C41">B13*$B$6</f>
        <v>1005000.0000000001</v>
      </c>
      <c r="D13" s="62"/>
      <c r="E13" s="58">
        <f>B13-D13</f>
        <v>15000000</v>
      </c>
      <c r="G13" s="60">
        <f aca="true" t="shared" si="1" ref="G13:G41">C13+D13</f>
        <v>1005000.0000000001</v>
      </c>
    </row>
    <row r="14" spans="1:10" ht="15">
      <c r="A14" s="57">
        <v>2011</v>
      </c>
      <c r="B14" s="58">
        <f aca="true" t="shared" si="2" ref="B14:B41">E13</f>
        <v>15000000</v>
      </c>
      <c r="C14" s="58">
        <f t="shared" si="0"/>
        <v>1005000.0000000001</v>
      </c>
      <c r="D14" s="62">
        <f>-(B9+C12)</f>
        <v>167574.46865059284</v>
      </c>
      <c r="E14" s="58">
        <f aca="true" t="shared" si="3" ref="E14:E41">B14-D14</f>
        <v>14832425.531349408</v>
      </c>
      <c r="G14" s="60">
        <f t="shared" si="1"/>
        <v>1172574.468650593</v>
      </c>
      <c r="J14" s="260"/>
    </row>
    <row r="15" spans="1:7" ht="15">
      <c r="A15" s="57">
        <v>2012</v>
      </c>
      <c r="B15" s="58">
        <f t="shared" si="2"/>
        <v>14832425.531349408</v>
      </c>
      <c r="C15" s="58">
        <f t="shared" si="0"/>
        <v>993772.5106004104</v>
      </c>
      <c r="D15" s="58">
        <f aca="true" t="shared" si="4" ref="D15:D43">D14*(1+($B$6))</f>
        <v>178801.95805018255</v>
      </c>
      <c r="E15" s="58">
        <f t="shared" si="3"/>
        <v>14653623.573299225</v>
      </c>
      <c r="G15" s="60">
        <f t="shared" si="1"/>
        <v>1172574.468650593</v>
      </c>
    </row>
    <row r="16" spans="1:7" ht="15">
      <c r="A16" s="57">
        <v>2013</v>
      </c>
      <c r="B16" s="58">
        <f t="shared" si="2"/>
        <v>14653623.573299225</v>
      </c>
      <c r="C16" s="58">
        <f t="shared" si="0"/>
        <v>981792.7794110482</v>
      </c>
      <c r="D16" s="58">
        <f t="shared" si="4"/>
        <v>190781.68923954476</v>
      </c>
      <c r="E16" s="58">
        <f t="shared" si="3"/>
        <v>14462841.88405968</v>
      </c>
      <c r="G16" s="60">
        <f t="shared" si="1"/>
        <v>1172574.468650593</v>
      </c>
    </row>
    <row r="17" spans="1:7" ht="15">
      <c r="A17" s="57">
        <v>2014</v>
      </c>
      <c r="B17" s="58">
        <f t="shared" si="2"/>
        <v>14462841.88405968</v>
      </c>
      <c r="C17" s="58">
        <f t="shared" si="0"/>
        <v>969010.4062319987</v>
      </c>
      <c r="D17" s="58">
        <f t="shared" si="4"/>
        <v>203564.06241859426</v>
      </c>
      <c r="E17" s="58">
        <f t="shared" si="3"/>
        <v>14259277.821641086</v>
      </c>
      <c r="G17" s="60">
        <f t="shared" si="1"/>
        <v>1172574.468650593</v>
      </c>
    </row>
    <row r="18" spans="1:7" ht="15">
      <c r="A18" s="57">
        <v>2015</v>
      </c>
      <c r="B18" s="58">
        <f t="shared" si="2"/>
        <v>14259277.821641086</v>
      </c>
      <c r="C18" s="58">
        <f t="shared" si="0"/>
        <v>955371.6140499528</v>
      </c>
      <c r="D18" s="58">
        <f t="shared" si="4"/>
        <v>217202.85460064007</v>
      </c>
      <c r="E18" s="58">
        <f t="shared" si="3"/>
        <v>14042074.967040446</v>
      </c>
      <c r="G18" s="60">
        <f t="shared" si="1"/>
        <v>1172574.468650593</v>
      </c>
    </row>
    <row r="19" spans="1:7" ht="15">
      <c r="A19" s="57">
        <v>2016</v>
      </c>
      <c r="B19" s="58">
        <f t="shared" si="2"/>
        <v>14042074.967040446</v>
      </c>
      <c r="C19" s="58">
        <f t="shared" si="0"/>
        <v>940819.0227917099</v>
      </c>
      <c r="D19" s="58">
        <f t="shared" si="4"/>
        <v>231755.44585888294</v>
      </c>
      <c r="E19" s="58">
        <f t="shared" si="3"/>
        <v>13810319.521181563</v>
      </c>
      <c r="G19" s="60">
        <f t="shared" si="1"/>
        <v>1172574.4686505927</v>
      </c>
    </row>
    <row r="20" spans="1:7" ht="15">
      <c r="A20" s="57">
        <v>2017</v>
      </c>
      <c r="B20" s="58">
        <f t="shared" si="2"/>
        <v>13810319.521181563</v>
      </c>
      <c r="C20" s="58">
        <f t="shared" si="0"/>
        <v>925291.4079191647</v>
      </c>
      <c r="D20" s="58">
        <f t="shared" si="4"/>
        <v>247283.0607314281</v>
      </c>
      <c r="E20" s="58">
        <f t="shared" si="3"/>
        <v>13563036.460450135</v>
      </c>
      <c r="G20" s="60">
        <f t="shared" si="1"/>
        <v>1172574.468650593</v>
      </c>
    </row>
    <row r="21" spans="1:7" ht="15">
      <c r="A21" s="57">
        <v>2018</v>
      </c>
      <c r="B21" s="58">
        <f t="shared" si="2"/>
        <v>13563036.460450135</v>
      </c>
      <c r="C21" s="58">
        <f t="shared" si="0"/>
        <v>908723.4428501591</v>
      </c>
      <c r="D21" s="58">
        <f t="shared" si="4"/>
        <v>263851.02580043377</v>
      </c>
      <c r="E21" s="58">
        <f t="shared" si="3"/>
        <v>13299185.434649702</v>
      </c>
      <c r="G21" s="60">
        <f t="shared" si="1"/>
        <v>1172574.468650593</v>
      </c>
    </row>
    <row r="22" spans="1:7" ht="15">
      <c r="A22" s="57">
        <v>2019</v>
      </c>
      <c r="B22" s="58">
        <f t="shared" si="2"/>
        <v>13299185.434649702</v>
      </c>
      <c r="C22" s="58">
        <f t="shared" si="0"/>
        <v>891045.4241215301</v>
      </c>
      <c r="D22" s="58">
        <f t="shared" si="4"/>
        <v>281529.0445290628</v>
      </c>
      <c r="E22" s="58">
        <f t="shared" si="3"/>
        <v>13017656.390120639</v>
      </c>
      <c r="G22" s="60">
        <f t="shared" si="1"/>
        <v>1172574.468650593</v>
      </c>
    </row>
    <row r="23" spans="1:7" ht="15">
      <c r="A23" s="57">
        <v>2020</v>
      </c>
      <c r="B23" s="58">
        <f t="shared" si="2"/>
        <v>13017656.390120639</v>
      </c>
      <c r="C23" s="58">
        <f t="shared" si="0"/>
        <v>872182.9781380828</v>
      </c>
      <c r="D23" s="58">
        <f t="shared" si="4"/>
        <v>300391.49051251</v>
      </c>
      <c r="E23" s="58">
        <f t="shared" si="3"/>
        <v>12717264.899608128</v>
      </c>
      <c r="G23" s="60">
        <f t="shared" si="1"/>
        <v>1172574.4686505927</v>
      </c>
    </row>
    <row r="24" spans="1:7" ht="15">
      <c r="A24" s="57">
        <v>2021</v>
      </c>
      <c r="B24" s="58">
        <f t="shared" si="2"/>
        <v>12717264.899608128</v>
      </c>
      <c r="C24" s="58">
        <f t="shared" si="0"/>
        <v>852056.7482737446</v>
      </c>
      <c r="D24" s="58">
        <f t="shared" si="4"/>
        <v>320517.7203768482</v>
      </c>
      <c r="E24" s="58">
        <f t="shared" si="3"/>
        <v>12396747.17923128</v>
      </c>
      <c r="G24" s="60">
        <f t="shared" si="1"/>
        <v>1172574.4686505927</v>
      </c>
    </row>
    <row r="25" spans="1:7" ht="15">
      <c r="A25" s="57">
        <v>2022</v>
      </c>
      <c r="B25" s="58">
        <f t="shared" si="2"/>
        <v>12396747.17923128</v>
      </c>
      <c r="C25" s="58">
        <f t="shared" si="0"/>
        <v>830582.0610084959</v>
      </c>
      <c r="D25" s="58">
        <f t="shared" si="4"/>
        <v>341992.407642097</v>
      </c>
      <c r="E25" s="58">
        <f t="shared" si="3"/>
        <v>12054754.771589184</v>
      </c>
      <c r="G25" s="60">
        <f t="shared" si="1"/>
        <v>1172574.468650593</v>
      </c>
    </row>
    <row r="26" spans="1:7" ht="15">
      <c r="A26" s="57">
        <v>2023</v>
      </c>
      <c r="B26" s="58">
        <f t="shared" si="2"/>
        <v>12054754.771589184</v>
      </c>
      <c r="C26" s="58">
        <f t="shared" si="0"/>
        <v>807668.5696964754</v>
      </c>
      <c r="D26" s="58">
        <f t="shared" si="4"/>
        <v>364905.89895411744</v>
      </c>
      <c r="E26" s="58">
        <f t="shared" si="3"/>
        <v>11689848.872635067</v>
      </c>
      <c r="G26" s="60">
        <f t="shared" si="1"/>
        <v>1172574.468650593</v>
      </c>
    </row>
    <row r="27" spans="1:7" ht="15">
      <c r="A27" s="57">
        <v>2024</v>
      </c>
      <c r="B27" s="58">
        <f t="shared" si="2"/>
        <v>11689848.872635067</v>
      </c>
      <c r="C27" s="58">
        <f t="shared" si="0"/>
        <v>783219.8744665495</v>
      </c>
      <c r="D27" s="58">
        <f t="shared" si="4"/>
        <v>389354.5941840433</v>
      </c>
      <c r="E27" s="58">
        <f t="shared" si="3"/>
        <v>11300494.278451024</v>
      </c>
      <c r="G27" s="60">
        <f t="shared" si="1"/>
        <v>1172574.4686505927</v>
      </c>
    </row>
    <row r="28" spans="1:7" ht="15">
      <c r="A28" s="57">
        <v>2025</v>
      </c>
      <c r="B28" s="58">
        <f t="shared" si="2"/>
        <v>11300494.278451024</v>
      </c>
      <c r="C28" s="58">
        <f t="shared" si="0"/>
        <v>757133.1166562187</v>
      </c>
      <c r="D28" s="58">
        <f t="shared" si="4"/>
        <v>415441.3519943742</v>
      </c>
      <c r="E28" s="58">
        <f t="shared" si="3"/>
        <v>10885052.926456649</v>
      </c>
      <c r="G28" s="60">
        <f t="shared" si="1"/>
        <v>1172574.468650593</v>
      </c>
    </row>
    <row r="29" spans="1:7" ht="15">
      <c r="A29" s="57">
        <v>2026</v>
      </c>
      <c r="B29" s="58">
        <f t="shared" si="2"/>
        <v>10885052.926456649</v>
      </c>
      <c r="C29" s="58">
        <f t="shared" si="0"/>
        <v>729298.5460725955</v>
      </c>
      <c r="D29" s="58">
        <f t="shared" si="4"/>
        <v>443275.92257799726</v>
      </c>
      <c r="E29" s="58">
        <f t="shared" si="3"/>
        <v>10441777.003878651</v>
      </c>
      <c r="G29" s="60">
        <f t="shared" si="1"/>
        <v>1172574.4686505927</v>
      </c>
    </row>
    <row r="30" spans="1:7" ht="15">
      <c r="A30" s="57">
        <v>2027</v>
      </c>
      <c r="B30" s="58">
        <f t="shared" si="2"/>
        <v>10441777.003878651</v>
      </c>
      <c r="C30" s="58">
        <f t="shared" si="0"/>
        <v>699599.0592598696</v>
      </c>
      <c r="D30" s="58">
        <f t="shared" si="4"/>
        <v>472975.40939072304</v>
      </c>
      <c r="E30" s="58">
        <f t="shared" si="3"/>
        <v>9968801.594487928</v>
      </c>
      <c r="G30" s="60">
        <f t="shared" si="1"/>
        <v>1172574.4686505927</v>
      </c>
    </row>
    <row r="31" spans="1:7" ht="15">
      <c r="A31" s="57">
        <v>2028</v>
      </c>
      <c r="B31" s="58">
        <f t="shared" si="2"/>
        <v>9968801.594487928</v>
      </c>
      <c r="C31" s="58">
        <f t="shared" si="0"/>
        <v>667909.7068306912</v>
      </c>
      <c r="D31" s="58">
        <f t="shared" si="4"/>
        <v>504664.76181990147</v>
      </c>
      <c r="E31" s="58">
        <f t="shared" si="3"/>
        <v>9464136.832668027</v>
      </c>
      <c r="G31" s="60">
        <f t="shared" si="1"/>
        <v>1172574.4686505927</v>
      </c>
    </row>
    <row r="32" spans="1:7" ht="15">
      <c r="A32" s="57">
        <v>2029</v>
      </c>
      <c r="B32" s="58">
        <f t="shared" si="2"/>
        <v>9464136.832668027</v>
      </c>
      <c r="C32" s="58">
        <f t="shared" si="0"/>
        <v>634097.1677887578</v>
      </c>
      <c r="D32" s="58">
        <f t="shared" si="4"/>
        <v>538477.3008618349</v>
      </c>
      <c r="E32" s="58">
        <f t="shared" si="3"/>
        <v>8925659.531806191</v>
      </c>
      <c r="G32" s="60">
        <f t="shared" si="1"/>
        <v>1172574.4686505927</v>
      </c>
    </row>
    <row r="33" spans="1:7" ht="15">
      <c r="A33" s="57">
        <v>2030</v>
      </c>
      <c r="B33" s="58">
        <f t="shared" si="2"/>
        <v>8925659.531806191</v>
      </c>
      <c r="C33" s="58">
        <f t="shared" si="0"/>
        <v>598019.1886310149</v>
      </c>
      <c r="D33" s="58">
        <f t="shared" si="4"/>
        <v>574555.2800195778</v>
      </c>
      <c r="E33" s="58">
        <f t="shared" si="3"/>
        <v>8351104.251786614</v>
      </c>
      <c r="G33" s="60">
        <f t="shared" si="1"/>
        <v>1172574.4686505927</v>
      </c>
    </row>
    <row r="34" spans="1:7" ht="15">
      <c r="A34" s="57">
        <v>2031</v>
      </c>
      <c r="B34" s="58">
        <f t="shared" si="2"/>
        <v>8351104.251786614</v>
      </c>
      <c r="C34" s="58">
        <f t="shared" si="0"/>
        <v>559523.9848697032</v>
      </c>
      <c r="D34" s="58">
        <f t="shared" si="4"/>
        <v>613050.4837808895</v>
      </c>
      <c r="E34" s="58">
        <f t="shared" si="3"/>
        <v>7738053.768005724</v>
      </c>
      <c r="G34" s="60">
        <f t="shared" si="1"/>
        <v>1172574.4686505927</v>
      </c>
    </row>
    <row r="35" spans="1:7" ht="15">
      <c r="A35" s="57">
        <v>2032</v>
      </c>
      <c r="B35" s="58">
        <f t="shared" si="2"/>
        <v>7738053.768005724</v>
      </c>
      <c r="C35" s="58">
        <f t="shared" si="0"/>
        <v>518449.6024563835</v>
      </c>
      <c r="D35" s="58">
        <f t="shared" si="4"/>
        <v>654124.8661942091</v>
      </c>
      <c r="E35" s="58">
        <f t="shared" si="3"/>
        <v>7083928.901811515</v>
      </c>
      <c r="G35" s="60">
        <f t="shared" si="1"/>
        <v>1172574.4686505925</v>
      </c>
    </row>
    <row r="36" spans="1:7" ht="15">
      <c r="A36" s="57">
        <v>2033</v>
      </c>
      <c r="B36" s="58">
        <f t="shared" si="2"/>
        <v>7083928.901811515</v>
      </c>
      <c r="C36" s="58">
        <f t="shared" si="0"/>
        <v>474623.2364213715</v>
      </c>
      <c r="D36" s="58">
        <f t="shared" si="4"/>
        <v>697951.232229221</v>
      </c>
      <c r="E36" s="58">
        <f t="shared" si="3"/>
        <v>6385977.669582294</v>
      </c>
      <c r="G36" s="60">
        <f t="shared" si="1"/>
        <v>1172574.4686505925</v>
      </c>
    </row>
    <row r="37" spans="1:7" ht="15">
      <c r="A37" s="57">
        <v>2034</v>
      </c>
      <c r="B37" s="58">
        <f t="shared" si="2"/>
        <v>6385977.669582294</v>
      </c>
      <c r="C37" s="58">
        <f t="shared" si="0"/>
        <v>427860.50386201375</v>
      </c>
      <c r="D37" s="58">
        <f t="shared" si="4"/>
        <v>744713.9647885788</v>
      </c>
      <c r="E37" s="58">
        <f t="shared" si="3"/>
        <v>5641263.704793716</v>
      </c>
      <c r="G37" s="60">
        <f t="shared" si="1"/>
        <v>1172574.4686505925</v>
      </c>
    </row>
    <row r="38" spans="1:7" ht="15">
      <c r="A38" s="57">
        <v>2035</v>
      </c>
      <c r="B38" s="58">
        <f t="shared" si="2"/>
        <v>5641263.704793716</v>
      </c>
      <c r="C38" s="58">
        <f t="shared" si="0"/>
        <v>377964.668221179</v>
      </c>
      <c r="D38" s="58">
        <f t="shared" si="4"/>
        <v>794609.8004294136</v>
      </c>
      <c r="E38" s="58">
        <f t="shared" si="3"/>
        <v>4846653.904364303</v>
      </c>
      <c r="G38" s="60">
        <f t="shared" si="1"/>
        <v>1172574.4686505925</v>
      </c>
    </row>
    <row r="39" spans="1:7" ht="15">
      <c r="A39" s="57">
        <v>2036</v>
      </c>
      <c r="B39" s="58">
        <f t="shared" si="2"/>
        <v>4846653.904364303</v>
      </c>
      <c r="C39" s="58">
        <f t="shared" si="0"/>
        <v>324725.8115924083</v>
      </c>
      <c r="D39" s="58">
        <f t="shared" si="4"/>
        <v>847848.6570581843</v>
      </c>
      <c r="E39" s="58">
        <f t="shared" si="3"/>
        <v>3998805.2473061187</v>
      </c>
      <c r="G39" s="60">
        <f t="shared" si="1"/>
        <v>1172574.4686505925</v>
      </c>
    </row>
    <row r="40" spans="1:7" ht="15">
      <c r="A40" s="57">
        <v>2037</v>
      </c>
      <c r="B40" s="58">
        <f t="shared" si="2"/>
        <v>3998805.2473061187</v>
      </c>
      <c r="C40" s="58">
        <f t="shared" si="0"/>
        <v>267919.95156951</v>
      </c>
      <c r="D40" s="58">
        <f t="shared" si="4"/>
        <v>904654.5170810826</v>
      </c>
      <c r="E40" s="58">
        <f t="shared" si="3"/>
        <v>3094150.730225036</v>
      </c>
      <c r="G40" s="60">
        <f t="shared" si="1"/>
        <v>1172574.4686505925</v>
      </c>
    </row>
    <row r="41" spans="1:7" ht="15">
      <c r="A41" s="57">
        <v>2038</v>
      </c>
      <c r="B41" s="58">
        <f t="shared" si="2"/>
        <v>3094150.730225036</v>
      </c>
      <c r="C41" s="58">
        <f t="shared" si="0"/>
        <v>207308.09892507741</v>
      </c>
      <c r="D41" s="58">
        <f t="shared" si="4"/>
        <v>965266.369725515</v>
      </c>
      <c r="E41" s="58">
        <f t="shared" si="3"/>
        <v>2128884.360499521</v>
      </c>
      <c r="G41" s="60">
        <f t="shared" si="1"/>
        <v>1172574.4686505925</v>
      </c>
    </row>
    <row r="42" spans="1:7" ht="15">
      <c r="A42" s="57">
        <v>2039</v>
      </c>
      <c r="B42" s="58">
        <f>E41</f>
        <v>2128884.360499521</v>
      </c>
      <c r="C42" s="58">
        <f>B42*$B$6</f>
        <v>142635.2521534679</v>
      </c>
      <c r="D42" s="58">
        <f t="shared" si="4"/>
        <v>1029939.2164971245</v>
      </c>
      <c r="E42" s="58">
        <f>B42-D42</f>
        <v>1098945.1440023961</v>
      </c>
      <c r="G42" s="60">
        <f>C42+D42</f>
        <v>1172574.4686505925</v>
      </c>
    </row>
    <row r="43" spans="1:7" ht="15">
      <c r="A43" s="57">
        <v>2040</v>
      </c>
      <c r="B43" s="58">
        <f>E42</f>
        <v>1098945.1440023961</v>
      </c>
      <c r="C43" s="58">
        <f>B43*$B$6</f>
        <v>73629.32464816055</v>
      </c>
      <c r="D43" s="58">
        <f t="shared" si="4"/>
        <v>1098945.1440024318</v>
      </c>
      <c r="E43" s="58">
        <f>B43-D43</f>
        <v>-3.562308847904205E-08</v>
      </c>
      <c r="G43" s="60">
        <f>C43+D43</f>
        <v>1172574.4686505923</v>
      </c>
    </row>
    <row r="44" spans="2:4" ht="15.75" thickBot="1">
      <c r="B44" s="60"/>
      <c r="C44" s="61">
        <f>SUM(C12:C41)</f>
        <v>21970969.482716113</v>
      </c>
      <c r="D44" s="68">
        <f>SUM(D12:D41)</f>
        <v>12871115.63950048</v>
      </c>
    </row>
    <row r="45" ht="15.75" thickTop="1"/>
    <row r="47" ht="15">
      <c r="D47" s="60"/>
    </row>
    <row r="54" ht="15">
      <c r="B54" s="60"/>
    </row>
  </sheetData>
  <sheetProtection/>
  <printOptions/>
  <pageMargins left="0.7" right="0.7" top="0.75" bottom="0.75" header="0.3" footer="0.3"/>
  <pageSetup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24.140625" style="0" customWidth="1"/>
    <col min="2" max="2" width="19.00390625" style="0" customWidth="1"/>
    <col min="3" max="3" width="14.140625" style="0" customWidth="1"/>
    <col min="4" max="4" width="14.57421875" style="0" customWidth="1"/>
    <col min="5" max="5" width="15.140625" style="0" customWidth="1"/>
    <col min="6" max="6" width="5.00390625" style="0" customWidth="1"/>
    <col min="7" max="7" width="14.8515625" style="0" customWidth="1"/>
    <col min="10" max="10" width="12.57421875" style="0" bestFit="1" customWidth="1"/>
  </cols>
  <sheetData>
    <row r="1" ht="15">
      <c r="A1" t="s">
        <v>192</v>
      </c>
    </row>
    <row r="3" spans="1:3" ht="15">
      <c r="A3" t="s">
        <v>193</v>
      </c>
      <c r="B3" s="63">
        <v>15000000</v>
      </c>
      <c r="C3" t="s">
        <v>205</v>
      </c>
    </row>
    <row r="4" spans="1:2" ht="15">
      <c r="A4" t="s">
        <v>194</v>
      </c>
      <c r="B4" s="64">
        <v>0</v>
      </c>
    </row>
    <row r="5" spans="1:2" ht="15">
      <c r="A5" t="s">
        <v>195</v>
      </c>
      <c r="B5" s="63">
        <f>B3-B4</f>
        <v>15000000</v>
      </c>
    </row>
    <row r="6" spans="1:2" ht="15">
      <c r="A6" t="s">
        <v>196</v>
      </c>
      <c r="B6" s="65">
        <v>0.0493</v>
      </c>
    </row>
    <row r="7" spans="1:3" ht="15">
      <c r="A7" t="s">
        <v>197</v>
      </c>
      <c r="B7" s="63"/>
      <c r="C7" s="152"/>
    </row>
    <row r="8" spans="1:2" ht="15.75" thickBot="1">
      <c r="A8" t="s">
        <v>198</v>
      </c>
      <c r="B8" s="66">
        <v>20</v>
      </c>
    </row>
    <row r="9" spans="1:3" ht="15.75" thickBot="1">
      <c r="A9" t="s">
        <v>199</v>
      </c>
      <c r="B9" s="67">
        <f>PMT(B6,B8,(B5+B7),0,0)</f>
        <v>-1196505.1854541725</v>
      </c>
      <c r="C9" s="261">
        <v>-1040225</v>
      </c>
    </row>
    <row r="11" spans="1:7" ht="30">
      <c r="A11" s="57" t="s">
        <v>200</v>
      </c>
      <c r="B11" s="59" t="s">
        <v>201</v>
      </c>
      <c r="C11" s="59" t="s">
        <v>196</v>
      </c>
      <c r="D11" s="59" t="s">
        <v>202</v>
      </c>
      <c r="E11" s="59" t="s">
        <v>203</v>
      </c>
      <c r="G11" s="259" t="s">
        <v>204</v>
      </c>
    </row>
    <row r="12" spans="1:7" ht="15">
      <c r="A12" s="57">
        <v>2009</v>
      </c>
      <c r="B12" s="58">
        <f>B5+B7</f>
        <v>15000000</v>
      </c>
      <c r="C12" s="58">
        <f>B12*$B$6</f>
        <v>739500</v>
      </c>
      <c r="D12" s="62"/>
      <c r="E12" s="58">
        <f>B12-D12</f>
        <v>15000000</v>
      </c>
      <c r="G12" s="60">
        <f>C12+D12</f>
        <v>739500</v>
      </c>
    </row>
    <row r="13" spans="1:7" ht="15">
      <c r="A13" s="57">
        <v>2010</v>
      </c>
      <c r="B13" s="58">
        <f>E12</f>
        <v>15000000</v>
      </c>
      <c r="C13" s="58">
        <f aca="true" t="shared" si="0" ref="C13:C41">B13*$B$6</f>
        <v>739500</v>
      </c>
      <c r="D13" s="62"/>
      <c r="E13" s="58">
        <f>B13-D13</f>
        <v>15000000</v>
      </c>
      <c r="G13" s="60">
        <f aca="true" t="shared" si="1" ref="G13:G41">C13+D13</f>
        <v>739500</v>
      </c>
    </row>
    <row r="14" spans="1:10" ht="15">
      <c r="A14" s="57">
        <v>2011</v>
      </c>
      <c r="B14" s="58">
        <f aca="true" t="shared" si="2" ref="B14:B41">E13</f>
        <v>15000000</v>
      </c>
      <c r="C14" s="58">
        <f t="shared" si="0"/>
        <v>739500</v>
      </c>
      <c r="D14" s="62">
        <f>-(B9+C12)</f>
        <v>457005.18545417255</v>
      </c>
      <c r="E14" s="58">
        <f aca="true" t="shared" si="3" ref="E14:E41">B14-D14</f>
        <v>14542994.814545827</v>
      </c>
      <c r="G14" s="60">
        <f t="shared" si="1"/>
        <v>1196505.1854541725</v>
      </c>
      <c r="J14" s="260"/>
    </row>
    <row r="15" spans="1:7" ht="15">
      <c r="A15" s="57">
        <v>2012</v>
      </c>
      <c r="B15" s="58">
        <f t="shared" si="2"/>
        <v>14542994.814545827</v>
      </c>
      <c r="C15" s="58">
        <f t="shared" si="0"/>
        <v>716969.6443571092</v>
      </c>
      <c r="D15" s="58">
        <f aca="true" t="shared" si="4" ref="D15:D43">D14*(1+($B$6))</f>
        <v>479535.5410970632</v>
      </c>
      <c r="E15" s="58">
        <f t="shared" si="3"/>
        <v>14063459.273448763</v>
      </c>
      <c r="G15" s="60">
        <f t="shared" si="1"/>
        <v>1196505.1854541725</v>
      </c>
    </row>
    <row r="16" spans="1:7" ht="15">
      <c r="A16" s="57">
        <v>2013</v>
      </c>
      <c r="B16" s="58">
        <f t="shared" si="2"/>
        <v>14063459.273448763</v>
      </c>
      <c r="C16" s="58">
        <f t="shared" si="0"/>
        <v>693328.542181024</v>
      </c>
      <c r="D16" s="58">
        <f t="shared" si="4"/>
        <v>503176.6432731484</v>
      </c>
      <c r="E16" s="58">
        <f t="shared" si="3"/>
        <v>13560282.630175615</v>
      </c>
      <c r="G16" s="60">
        <f t="shared" si="1"/>
        <v>1196505.1854541723</v>
      </c>
    </row>
    <row r="17" spans="1:7" ht="15">
      <c r="A17" s="57">
        <v>2014</v>
      </c>
      <c r="B17" s="58">
        <f t="shared" si="2"/>
        <v>13560282.630175615</v>
      </c>
      <c r="C17" s="58">
        <f t="shared" si="0"/>
        <v>668521.9336676578</v>
      </c>
      <c r="D17" s="58">
        <f t="shared" si="4"/>
        <v>527983.2517865145</v>
      </c>
      <c r="E17" s="58">
        <f t="shared" si="3"/>
        <v>13032299.3783891</v>
      </c>
      <c r="G17" s="60">
        <f t="shared" si="1"/>
        <v>1196505.1854541723</v>
      </c>
    </row>
    <row r="18" spans="1:7" ht="15">
      <c r="A18" s="57">
        <v>2015</v>
      </c>
      <c r="B18" s="58">
        <f t="shared" si="2"/>
        <v>13032299.3783891</v>
      </c>
      <c r="C18" s="58">
        <f t="shared" si="0"/>
        <v>642492.3593545826</v>
      </c>
      <c r="D18" s="58">
        <f t="shared" si="4"/>
        <v>554012.8260995897</v>
      </c>
      <c r="E18" s="58">
        <f t="shared" si="3"/>
        <v>12478286.55228951</v>
      </c>
      <c r="G18" s="60">
        <f t="shared" si="1"/>
        <v>1196505.1854541723</v>
      </c>
    </row>
    <row r="19" spans="1:7" ht="15">
      <c r="A19" s="57">
        <v>2016</v>
      </c>
      <c r="B19" s="58">
        <f t="shared" si="2"/>
        <v>12478286.55228951</v>
      </c>
      <c r="C19" s="58">
        <f t="shared" si="0"/>
        <v>615179.5270278729</v>
      </c>
      <c r="D19" s="58">
        <f t="shared" si="4"/>
        <v>581325.6584262995</v>
      </c>
      <c r="E19" s="58">
        <f t="shared" si="3"/>
        <v>11896960.89386321</v>
      </c>
      <c r="G19" s="60">
        <f t="shared" si="1"/>
        <v>1196505.1854541723</v>
      </c>
    </row>
    <row r="20" spans="1:7" ht="15">
      <c r="A20" s="57">
        <v>2017</v>
      </c>
      <c r="B20" s="58">
        <f t="shared" si="2"/>
        <v>11896960.89386321</v>
      </c>
      <c r="C20" s="58">
        <f t="shared" si="0"/>
        <v>586520.1720674562</v>
      </c>
      <c r="D20" s="58">
        <f t="shared" si="4"/>
        <v>609985.013386716</v>
      </c>
      <c r="E20" s="58">
        <f t="shared" si="3"/>
        <v>11286975.880476495</v>
      </c>
      <c r="G20" s="60">
        <f t="shared" si="1"/>
        <v>1196505.185454172</v>
      </c>
    </row>
    <row r="21" spans="1:7" ht="15">
      <c r="A21" s="57">
        <v>2018</v>
      </c>
      <c r="B21" s="58">
        <f t="shared" si="2"/>
        <v>11286975.880476495</v>
      </c>
      <c r="C21" s="58">
        <f t="shared" si="0"/>
        <v>556447.9109074912</v>
      </c>
      <c r="D21" s="58">
        <f t="shared" si="4"/>
        <v>640057.2745466811</v>
      </c>
      <c r="E21" s="58">
        <f t="shared" si="3"/>
        <v>10646918.605929814</v>
      </c>
      <c r="G21" s="60">
        <f t="shared" si="1"/>
        <v>1196505.1854541723</v>
      </c>
    </row>
    <row r="22" spans="1:7" ht="15">
      <c r="A22" s="57">
        <v>2019</v>
      </c>
      <c r="B22" s="58">
        <f t="shared" si="2"/>
        <v>10646918.605929814</v>
      </c>
      <c r="C22" s="58">
        <f t="shared" si="0"/>
        <v>524893.0872723398</v>
      </c>
      <c r="D22" s="58">
        <f t="shared" si="4"/>
        <v>671612.0981818323</v>
      </c>
      <c r="E22" s="58">
        <f t="shared" si="3"/>
        <v>9975306.507747982</v>
      </c>
      <c r="G22" s="60">
        <f t="shared" si="1"/>
        <v>1196505.185454172</v>
      </c>
    </row>
    <row r="23" spans="1:7" ht="15">
      <c r="A23" s="57">
        <v>2020</v>
      </c>
      <c r="B23" s="58">
        <f t="shared" si="2"/>
        <v>9975306.507747982</v>
      </c>
      <c r="C23" s="58">
        <f t="shared" si="0"/>
        <v>491782.6108319755</v>
      </c>
      <c r="D23" s="58">
        <f t="shared" si="4"/>
        <v>704722.5746221966</v>
      </c>
      <c r="E23" s="58">
        <f t="shared" si="3"/>
        <v>9270583.933125785</v>
      </c>
      <c r="G23" s="60">
        <f t="shared" si="1"/>
        <v>1196505.185454172</v>
      </c>
    </row>
    <row r="24" spans="1:7" ht="15">
      <c r="A24" s="57">
        <v>2021</v>
      </c>
      <c r="B24" s="58">
        <f t="shared" si="2"/>
        <v>9270583.933125785</v>
      </c>
      <c r="C24" s="58">
        <f t="shared" si="0"/>
        <v>457039.7879031011</v>
      </c>
      <c r="D24" s="58">
        <f t="shared" si="4"/>
        <v>739465.3975510708</v>
      </c>
      <c r="E24" s="58">
        <f t="shared" si="3"/>
        <v>8531118.535574714</v>
      </c>
      <c r="G24" s="60">
        <f t="shared" si="1"/>
        <v>1196505.1854541718</v>
      </c>
    </row>
    <row r="25" spans="1:7" ht="15">
      <c r="A25" s="57">
        <v>2022</v>
      </c>
      <c r="B25" s="58">
        <f t="shared" si="2"/>
        <v>8531118.535574714</v>
      </c>
      <c r="C25" s="58">
        <f t="shared" si="0"/>
        <v>420584.14380383334</v>
      </c>
      <c r="D25" s="58">
        <f t="shared" si="4"/>
        <v>775921.0416503384</v>
      </c>
      <c r="E25" s="58">
        <f t="shared" si="3"/>
        <v>7755197.493924376</v>
      </c>
      <c r="G25" s="60">
        <f t="shared" si="1"/>
        <v>1196505.1854541718</v>
      </c>
    </row>
    <row r="26" spans="1:7" ht="15">
      <c r="A26" s="57">
        <v>2023</v>
      </c>
      <c r="B26" s="58">
        <f t="shared" si="2"/>
        <v>7755197.493924376</v>
      </c>
      <c r="C26" s="58">
        <f t="shared" si="0"/>
        <v>382331.2364504717</v>
      </c>
      <c r="D26" s="58">
        <f t="shared" si="4"/>
        <v>814173.9490037</v>
      </c>
      <c r="E26" s="58">
        <f t="shared" si="3"/>
        <v>6941023.544920675</v>
      </c>
      <c r="G26" s="60">
        <f t="shared" si="1"/>
        <v>1196505.1854541716</v>
      </c>
    </row>
    <row r="27" spans="1:7" ht="15">
      <c r="A27" s="57">
        <v>2024</v>
      </c>
      <c r="B27" s="58">
        <f t="shared" si="2"/>
        <v>6941023.544920675</v>
      </c>
      <c r="C27" s="58">
        <f t="shared" si="0"/>
        <v>342192.46076458925</v>
      </c>
      <c r="D27" s="58">
        <f t="shared" si="4"/>
        <v>854312.7246895824</v>
      </c>
      <c r="E27" s="58">
        <f t="shared" si="3"/>
        <v>6086710.820231093</v>
      </c>
      <c r="G27" s="60">
        <f t="shared" si="1"/>
        <v>1196505.1854541716</v>
      </c>
    </row>
    <row r="28" spans="1:7" ht="15">
      <c r="A28" s="57">
        <v>2025</v>
      </c>
      <c r="B28" s="58">
        <f t="shared" si="2"/>
        <v>6086710.820231093</v>
      </c>
      <c r="C28" s="58">
        <f t="shared" si="0"/>
        <v>300074.84343739285</v>
      </c>
      <c r="D28" s="58">
        <f t="shared" si="4"/>
        <v>896430.3420167787</v>
      </c>
      <c r="E28" s="58">
        <f t="shared" si="3"/>
        <v>5190280.478214314</v>
      </c>
      <c r="G28" s="60">
        <f t="shared" si="1"/>
        <v>1196505.1854541716</v>
      </c>
    </row>
    <row r="29" spans="1:7" ht="15">
      <c r="A29" s="57">
        <v>2026</v>
      </c>
      <c r="B29" s="58">
        <f t="shared" si="2"/>
        <v>5190280.478214314</v>
      </c>
      <c r="C29" s="58">
        <f t="shared" si="0"/>
        <v>255880.82757596567</v>
      </c>
      <c r="D29" s="58">
        <f t="shared" si="4"/>
        <v>940624.3578782057</v>
      </c>
      <c r="E29" s="58">
        <f t="shared" si="3"/>
        <v>4249656.120336109</v>
      </c>
      <c r="G29" s="60">
        <f t="shared" si="1"/>
        <v>1196505.1854541714</v>
      </c>
    </row>
    <row r="30" spans="1:7" ht="15">
      <c r="A30" s="57">
        <v>2027</v>
      </c>
      <c r="B30" s="58">
        <f t="shared" si="2"/>
        <v>4249656.120336109</v>
      </c>
      <c r="C30" s="58">
        <f t="shared" si="0"/>
        <v>209508.04673257016</v>
      </c>
      <c r="D30" s="58">
        <f t="shared" si="4"/>
        <v>986997.1387216011</v>
      </c>
      <c r="E30" s="58">
        <f t="shared" si="3"/>
        <v>3262658.9816145077</v>
      </c>
      <c r="G30" s="60">
        <f t="shared" si="1"/>
        <v>1196505.1854541712</v>
      </c>
    </row>
    <row r="31" spans="1:7" ht="15">
      <c r="A31" s="57">
        <v>2028</v>
      </c>
      <c r="B31" s="58">
        <f t="shared" si="2"/>
        <v>3262658.9816145077</v>
      </c>
      <c r="C31" s="58">
        <f t="shared" si="0"/>
        <v>160849.08779359522</v>
      </c>
      <c r="D31" s="58">
        <f t="shared" si="4"/>
        <v>1035656.097660576</v>
      </c>
      <c r="E31" s="58">
        <f t="shared" si="3"/>
        <v>2227002.8839539317</v>
      </c>
      <c r="G31" s="60">
        <f t="shared" si="1"/>
        <v>1196505.1854541712</v>
      </c>
    </row>
    <row r="32" spans="1:7" ht="15">
      <c r="A32" s="57">
        <v>2029</v>
      </c>
      <c r="B32" s="58">
        <f t="shared" si="2"/>
        <v>2227002.8839539317</v>
      </c>
      <c r="C32" s="58">
        <f t="shared" si="0"/>
        <v>109791.24217892882</v>
      </c>
      <c r="D32" s="58">
        <f t="shared" si="4"/>
        <v>1086713.9432752423</v>
      </c>
      <c r="E32" s="58">
        <f t="shared" si="3"/>
        <v>1140288.9406786894</v>
      </c>
      <c r="G32" s="60">
        <f t="shared" si="1"/>
        <v>1196505.1854541712</v>
      </c>
    </row>
    <row r="33" spans="1:7" ht="15">
      <c r="A33" s="57">
        <v>2030</v>
      </c>
      <c r="B33" s="58">
        <f t="shared" si="2"/>
        <v>1140288.9406786894</v>
      </c>
      <c r="C33" s="58">
        <f t="shared" si="0"/>
        <v>56216.24477545938</v>
      </c>
      <c r="D33" s="58">
        <f t="shared" si="4"/>
        <v>1140288.9406787117</v>
      </c>
      <c r="E33" s="58">
        <f t="shared" si="3"/>
        <v>-2.2351741790771484E-08</v>
      </c>
      <c r="G33" s="60">
        <f t="shared" si="1"/>
        <v>1196505.1854541712</v>
      </c>
    </row>
    <row r="34" spans="1:7" ht="15">
      <c r="A34" s="57">
        <v>2031</v>
      </c>
      <c r="B34" s="58">
        <f t="shared" si="2"/>
        <v>-2.2351741790771484E-08</v>
      </c>
      <c r="C34" s="58">
        <f t="shared" si="0"/>
        <v>-1.101940870285034E-09</v>
      </c>
      <c r="D34" s="58">
        <f t="shared" si="4"/>
        <v>1196505.185454172</v>
      </c>
      <c r="E34" s="58">
        <f t="shared" si="3"/>
        <v>-1196505.1854541944</v>
      </c>
      <c r="G34" s="60">
        <f t="shared" si="1"/>
        <v>1196505.185454171</v>
      </c>
    </row>
    <row r="35" spans="1:7" ht="15">
      <c r="A35" s="57">
        <v>2032</v>
      </c>
      <c r="B35" s="58">
        <f t="shared" si="2"/>
        <v>-1196505.1854541944</v>
      </c>
      <c r="C35" s="58">
        <f t="shared" si="0"/>
        <v>-58987.70564289178</v>
      </c>
      <c r="D35" s="58">
        <f t="shared" si="4"/>
        <v>1255492.8910970627</v>
      </c>
      <c r="E35" s="58">
        <f t="shared" si="3"/>
        <v>-2451998.076551257</v>
      </c>
      <c r="G35" s="60">
        <f t="shared" si="1"/>
        <v>1196505.185454171</v>
      </c>
    </row>
    <row r="36" spans="1:7" ht="15">
      <c r="A36" s="57">
        <v>2033</v>
      </c>
      <c r="B36" s="58">
        <f t="shared" si="2"/>
        <v>-2451998.076551257</v>
      </c>
      <c r="C36" s="58">
        <f t="shared" si="0"/>
        <v>-120883.50517397697</v>
      </c>
      <c r="D36" s="58">
        <f t="shared" si="4"/>
        <v>1317388.6906281477</v>
      </c>
      <c r="E36" s="58">
        <f t="shared" si="3"/>
        <v>-3769386.767179405</v>
      </c>
      <c r="G36" s="60">
        <f t="shared" si="1"/>
        <v>1196505.1854541707</v>
      </c>
    </row>
    <row r="37" spans="1:7" ht="15">
      <c r="A37" s="57">
        <v>2034</v>
      </c>
      <c r="B37" s="58">
        <f t="shared" si="2"/>
        <v>-3769386.767179405</v>
      </c>
      <c r="C37" s="58">
        <f t="shared" si="0"/>
        <v>-185830.76762194466</v>
      </c>
      <c r="D37" s="58">
        <f t="shared" si="4"/>
        <v>1382335.9530761153</v>
      </c>
      <c r="E37" s="58">
        <f t="shared" si="3"/>
        <v>-5151722.72025552</v>
      </c>
      <c r="G37" s="60">
        <f t="shared" si="1"/>
        <v>1196505.1854541707</v>
      </c>
    </row>
    <row r="38" spans="1:7" ht="15">
      <c r="A38" s="57">
        <v>2035</v>
      </c>
      <c r="B38" s="58">
        <f t="shared" si="2"/>
        <v>-5151722.72025552</v>
      </c>
      <c r="C38" s="58">
        <f t="shared" si="0"/>
        <v>-253979.93010859712</v>
      </c>
      <c r="D38" s="58">
        <f t="shared" si="4"/>
        <v>1450485.1155627677</v>
      </c>
      <c r="E38" s="58">
        <f t="shared" si="3"/>
        <v>-6602207.835818288</v>
      </c>
      <c r="G38" s="60">
        <f t="shared" si="1"/>
        <v>1196505.1854541707</v>
      </c>
    </row>
    <row r="39" spans="1:7" ht="15">
      <c r="A39" s="57">
        <v>2036</v>
      </c>
      <c r="B39" s="58">
        <f t="shared" si="2"/>
        <v>-6602207.835818288</v>
      </c>
      <c r="C39" s="58">
        <f t="shared" si="0"/>
        <v>-325488.8463058416</v>
      </c>
      <c r="D39" s="58">
        <f t="shared" si="4"/>
        <v>1521994.031760012</v>
      </c>
      <c r="E39" s="58">
        <f t="shared" si="3"/>
        <v>-8124201.8675783</v>
      </c>
      <c r="G39" s="60">
        <f t="shared" si="1"/>
        <v>1196505.1854541705</v>
      </c>
    </row>
    <row r="40" spans="1:7" ht="15">
      <c r="A40" s="57">
        <v>2037</v>
      </c>
      <c r="B40" s="58">
        <f t="shared" si="2"/>
        <v>-8124201.8675783</v>
      </c>
      <c r="C40" s="58">
        <f t="shared" si="0"/>
        <v>-400523.15207161015</v>
      </c>
      <c r="D40" s="58">
        <f t="shared" si="4"/>
        <v>1597028.3375257805</v>
      </c>
      <c r="E40" s="58">
        <f t="shared" si="3"/>
        <v>-9721230.205104081</v>
      </c>
      <c r="G40" s="60">
        <f t="shared" si="1"/>
        <v>1196505.1854541705</v>
      </c>
    </row>
    <row r="41" spans="1:7" ht="15">
      <c r="A41" s="57">
        <v>2038</v>
      </c>
      <c r="B41" s="58">
        <f t="shared" si="2"/>
        <v>-9721230.205104081</v>
      </c>
      <c r="C41" s="58">
        <f t="shared" si="0"/>
        <v>-479256.64911163115</v>
      </c>
      <c r="D41" s="58">
        <f t="shared" si="4"/>
        <v>1675761.8345658013</v>
      </c>
      <c r="E41" s="58">
        <f t="shared" si="3"/>
        <v>-11396992.039669883</v>
      </c>
      <c r="G41" s="60">
        <f t="shared" si="1"/>
        <v>1196505.1854541702</v>
      </c>
    </row>
    <row r="42" spans="1:7" ht="15">
      <c r="A42" s="57">
        <v>2039</v>
      </c>
      <c r="B42" s="58">
        <f>E41</f>
        <v>-11396992.039669883</v>
      </c>
      <c r="C42" s="58">
        <f>B42*$B$6</f>
        <v>-561871.7075557251</v>
      </c>
      <c r="D42" s="58">
        <f t="shared" si="4"/>
        <v>1758376.8930098952</v>
      </c>
      <c r="E42" s="58">
        <f>B42-D42</f>
        <v>-13155368.932679778</v>
      </c>
      <c r="G42" s="60">
        <f>C42+D42</f>
        <v>1196505.1854541702</v>
      </c>
    </row>
    <row r="43" spans="1:7" ht="15">
      <c r="A43" s="57">
        <v>2040</v>
      </c>
      <c r="B43" s="58">
        <f>E42</f>
        <v>-13155368.932679778</v>
      </c>
      <c r="C43" s="58">
        <f>B43*$B$6</f>
        <v>-648559.688381113</v>
      </c>
      <c r="D43" s="58">
        <f t="shared" si="4"/>
        <v>1845064.8738352829</v>
      </c>
      <c r="E43" s="58">
        <f>B43-D43</f>
        <v>-15000433.80651506</v>
      </c>
      <c r="G43" s="60">
        <f>C43+D43</f>
        <v>1196505.1854541698</v>
      </c>
    </row>
    <row r="44" spans="2:4" ht="15.75" thickBot="1">
      <c r="B44" s="60"/>
      <c r="C44" s="61">
        <f>SUM(C12:C41)</f>
        <v>8584153.153046919</v>
      </c>
      <c r="D44" s="68">
        <f>SUM(D12:D41)</f>
        <v>26396992.03966988</v>
      </c>
    </row>
    <row r="45" ht="15.75" thickTop="1"/>
    <row r="47" ht="15">
      <c r="D47" s="60"/>
    </row>
    <row r="54" ht="15">
      <c r="B54" s="60"/>
    </row>
  </sheetData>
  <sheetProtection/>
  <printOptions/>
  <pageMargins left="0.7" right="0.7" top="0.75" bottom="0.75" header="0.3" footer="0.3"/>
  <pageSetup horizontalDpi="600" verticalDpi="600" orientation="portrait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89"/>
  <sheetViews>
    <sheetView zoomScalePageLayoutView="0" workbookViewId="0" topLeftCell="A1">
      <selection activeCell="I7" sqref="I7"/>
    </sheetView>
  </sheetViews>
  <sheetFormatPr defaultColWidth="9.140625" defaultRowHeight="15"/>
  <cols>
    <col min="1" max="1" width="6.8515625" style="0" customWidth="1"/>
    <col min="2" max="2" width="26.140625" style="0" customWidth="1"/>
    <col min="3" max="3" width="15.140625" style="0" customWidth="1"/>
    <col min="4" max="4" width="12.140625" style="79" customWidth="1"/>
    <col min="5" max="5" width="12.140625" style="0" customWidth="1"/>
    <col min="6" max="6" width="12.00390625" style="0" customWidth="1"/>
    <col min="7" max="7" width="11.140625" style="0" customWidth="1"/>
    <col min="8" max="8" width="25.8515625" style="75" customWidth="1"/>
    <col min="9" max="9" width="13.140625" style="72" customWidth="1"/>
  </cols>
  <sheetData>
    <row r="1" spans="2:8" ht="12.75">
      <c r="B1" s="69" t="s">
        <v>206</v>
      </c>
      <c r="C1" s="69"/>
      <c r="D1" s="70"/>
      <c r="E1" s="69"/>
      <c r="F1" s="69"/>
      <c r="G1" s="69"/>
      <c r="H1" s="71"/>
    </row>
    <row r="2" spans="2:7" ht="12.75">
      <c r="B2" s="73" t="s">
        <v>207</v>
      </c>
      <c r="C2" s="73"/>
      <c r="D2" s="74"/>
      <c r="E2" s="73"/>
      <c r="F2" s="73"/>
      <c r="G2" s="73"/>
    </row>
    <row r="3" spans="2:9" ht="15">
      <c r="B3" s="73" t="s">
        <v>280</v>
      </c>
      <c r="C3" s="73"/>
      <c r="D3" s="74"/>
      <c r="E3" s="73"/>
      <c r="F3" s="76"/>
      <c r="G3" s="73"/>
      <c r="H3" s="75" t="s">
        <v>208</v>
      </c>
      <c r="I3" s="77">
        <f>F31</f>
        <v>8365689.600000001</v>
      </c>
    </row>
    <row r="4" spans="3:9" ht="15">
      <c r="C4" s="73"/>
      <c r="D4" s="74"/>
      <c r="E4" s="77"/>
      <c r="F4" s="76"/>
      <c r="G4" s="73"/>
      <c r="H4" s="75" t="s">
        <v>209</v>
      </c>
      <c r="I4" s="34">
        <f>'[1]Rev 1-Rent Rev'!$E$30</f>
        <v>7134739.2</v>
      </c>
    </row>
    <row r="5" spans="2:9" ht="15">
      <c r="B5" s="73"/>
      <c r="C5" s="73"/>
      <c r="D5" s="74"/>
      <c r="E5" s="73"/>
      <c r="F5" s="76"/>
      <c r="G5" s="73"/>
      <c r="H5" s="75" t="s">
        <v>210</v>
      </c>
      <c r="I5" s="77">
        <f>F31-I4</f>
        <v>1230950.4000000004</v>
      </c>
    </row>
    <row r="6" spans="2:9" ht="15">
      <c r="B6" s="78" t="s">
        <v>281</v>
      </c>
      <c r="C6" s="1"/>
      <c r="F6" s="33"/>
      <c r="H6" s="75" t="s">
        <v>211</v>
      </c>
      <c r="I6" s="80">
        <f>C86</f>
        <v>399106.5576</v>
      </c>
    </row>
    <row r="7" spans="2:9" ht="15">
      <c r="B7" s="78"/>
      <c r="C7" s="1"/>
      <c r="F7" s="33"/>
      <c r="H7" s="75" t="s">
        <v>212</v>
      </c>
      <c r="I7" s="81">
        <f>I5-I6</f>
        <v>831843.8424000004</v>
      </c>
    </row>
    <row r="8" spans="2:9" ht="15">
      <c r="B8" s="78"/>
      <c r="C8" s="1"/>
      <c r="E8" s="73" t="s">
        <v>213</v>
      </c>
      <c r="F8" s="33"/>
      <c r="H8"/>
      <c r="I8"/>
    </row>
    <row r="9" spans="2:9" ht="15">
      <c r="B9" s="78"/>
      <c r="C9" s="1"/>
      <c r="D9" s="74" t="s">
        <v>97</v>
      </c>
      <c r="E9" s="73" t="s">
        <v>214</v>
      </c>
      <c r="F9" s="82" t="s">
        <v>215</v>
      </c>
      <c r="H9"/>
      <c r="I9"/>
    </row>
    <row r="10" spans="3:6" ht="12.75">
      <c r="C10" s="73" t="s">
        <v>216</v>
      </c>
      <c r="D10" s="74" t="s">
        <v>217</v>
      </c>
      <c r="E10" s="73" t="s">
        <v>218</v>
      </c>
      <c r="F10" s="76" t="s">
        <v>214</v>
      </c>
    </row>
    <row r="11" spans="2:7" ht="15">
      <c r="B11" s="83" t="s">
        <v>219</v>
      </c>
      <c r="C11" s="83" t="s">
        <v>98</v>
      </c>
      <c r="D11" s="84" t="s">
        <v>220</v>
      </c>
      <c r="E11" s="83" t="s">
        <v>221</v>
      </c>
      <c r="F11" s="85" t="s">
        <v>97</v>
      </c>
      <c r="G11" s="8"/>
    </row>
    <row r="12" spans="2:7" ht="15">
      <c r="B12" s="8" t="s">
        <v>222</v>
      </c>
      <c r="C12" s="1">
        <v>76</v>
      </c>
      <c r="D12" s="86">
        <v>2570</v>
      </c>
      <c r="E12" s="87">
        <f>PRODUCT(C12:D12)</f>
        <v>195320</v>
      </c>
      <c r="F12" s="33"/>
      <c r="G12" s="8"/>
    </row>
    <row r="13" spans="2:7" ht="15">
      <c r="B13" s="8" t="s">
        <v>223</v>
      </c>
      <c r="C13" s="1">
        <v>282</v>
      </c>
      <c r="D13" s="86">
        <v>1970</v>
      </c>
      <c r="E13" s="87">
        <f aca="true" t="shared" si="0" ref="E13:E24">PRODUCT(C13:D13)</f>
        <v>555540</v>
      </c>
      <c r="F13" s="33"/>
      <c r="G13" s="8"/>
    </row>
    <row r="14" spans="2:7" ht="15">
      <c r="B14" s="8" t="s">
        <v>224</v>
      </c>
      <c r="C14" s="1">
        <v>292</v>
      </c>
      <c r="D14" s="86">
        <v>2385</v>
      </c>
      <c r="E14" s="87">
        <f t="shared" si="0"/>
        <v>696420</v>
      </c>
      <c r="F14" s="33"/>
      <c r="G14" s="8"/>
    </row>
    <row r="15" spans="2:7" ht="15">
      <c r="B15" s="88"/>
      <c r="C15" s="1"/>
      <c r="D15" s="86"/>
      <c r="E15" s="87"/>
      <c r="F15" s="33"/>
      <c r="G15" s="8"/>
    </row>
    <row r="16" spans="2:7" ht="15">
      <c r="B16" s="8" t="s">
        <v>225</v>
      </c>
      <c r="C16" s="1">
        <v>196</v>
      </c>
      <c r="D16" s="86">
        <v>2385</v>
      </c>
      <c r="E16" s="87">
        <f t="shared" si="0"/>
        <v>467460</v>
      </c>
      <c r="F16" s="33"/>
      <c r="G16" s="8"/>
    </row>
    <row r="17" spans="2:7" ht="15">
      <c r="B17" s="8" t="s">
        <v>226</v>
      </c>
      <c r="C17" s="1">
        <v>196</v>
      </c>
      <c r="D17" s="86">
        <v>2385</v>
      </c>
      <c r="E17" s="87">
        <f t="shared" si="0"/>
        <v>467460</v>
      </c>
      <c r="F17" s="33"/>
      <c r="G17" s="8"/>
    </row>
    <row r="18" spans="2:7" ht="15">
      <c r="B18" s="88"/>
      <c r="C18" s="1"/>
      <c r="D18" s="86"/>
      <c r="E18" s="87"/>
      <c r="F18" s="33"/>
      <c r="G18" s="8"/>
    </row>
    <row r="19" spans="2:7" ht="15">
      <c r="B19" s="8" t="s">
        <v>227</v>
      </c>
      <c r="C19" s="1">
        <v>192</v>
      </c>
      <c r="D19" s="86">
        <v>2625</v>
      </c>
      <c r="E19" s="87">
        <f t="shared" si="0"/>
        <v>504000</v>
      </c>
      <c r="F19" s="33"/>
      <c r="G19" s="8"/>
    </row>
    <row r="20" spans="2:7" ht="15">
      <c r="B20" s="8" t="s">
        <v>228</v>
      </c>
      <c r="C20" s="1">
        <v>86</v>
      </c>
      <c r="D20" s="86">
        <v>3265</v>
      </c>
      <c r="E20" s="87">
        <f t="shared" si="0"/>
        <v>280790</v>
      </c>
      <c r="F20" s="33"/>
      <c r="G20" s="8"/>
    </row>
    <row r="21" spans="2:7" ht="15">
      <c r="B21" s="8" t="s">
        <v>229</v>
      </c>
      <c r="C21" s="1">
        <v>128</v>
      </c>
      <c r="D21" s="86">
        <v>3040</v>
      </c>
      <c r="E21" s="87">
        <f t="shared" si="0"/>
        <v>389120</v>
      </c>
      <c r="F21" s="33"/>
      <c r="G21" s="8"/>
    </row>
    <row r="22" spans="2:7" ht="15">
      <c r="B22" s="8" t="s">
        <v>230</v>
      </c>
      <c r="C22" s="27">
        <v>54</v>
      </c>
      <c r="D22" s="89">
        <v>3730</v>
      </c>
      <c r="E22" s="90">
        <f t="shared" si="0"/>
        <v>201420</v>
      </c>
      <c r="F22" s="50"/>
      <c r="G22" s="8"/>
    </row>
    <row r="23" spans="2:7" ht="15">
      <c r="B23" s="88" t="s">
        <v>231</v>
      </c>
      <c r="C23" s="27">
        <v>32</v>
      </c>
      <c r="D23" s="89">
        <v>2325</v>
      </c>
      <c r="E23" s="90">
        <f t="shared" si="0"/>
        <v>74400</v>
      </c>
      <c r="F23" s="50"/>
      <c r="G23" s="8"/>
    </row>
    <row r="24" spans="2:7" ht="15">
      <c r="B24" s="88" t="s">
        <v>232</v>
      </c>
      <c r="C24" s="154">
        <v>208</v>
      </c>
      <c r="D24" s="91">
        <v>2525</v>
      </c>
      <c r="E24" s="92">
        <f t="shared" si="0"/>
        <v>525200</v>
      </c>
      <c r="F24" s="34"/>
      <c r="G24" s="8"/>
    </row>
    <row r="25" spans="2:7" ht="15">
      <c r="B25" s="8"/>
      <c r="C25" s="27"/>
      <c r="D25" s="89"/>
      <c r="E25" s="90"/>
      <c r="F25" s="50"/>
      <c r="G25" s="8"/>
    </row>
    <row r="26" spans="2:7" ht="15">
      <c r="B26" s="8"/>
      <c r="C26" s="1"/>
      <c r="D26" s="86"/>
      <c r="E26" s="87"/>
      <c r="F26" s="33"/>
      <c r="G26" s="8"/>
    </row>
    <row r="27" spans="2:7" ht="15">
      <c r="B27" s="8" t="s">
        <v>233</v>
      </c>
      <c r="C27" s="1">
        <f>SUM(C12:C26)</f>
        <v>1742</v>
      </c>
      <c r="D27" s="86"/>
      <c r="E27" s="92">
        <f>SUM(E12:E26)</f>
        <v>4357130</v>
      </c>
      <c r="F27" s="34">
        <f>E27*0.99</f>
        <v>4313558.7</v>
      </c>
      <c r="G27" s="93">
        <v>0.99</v>
      </c>
    </row>
    <row r="28" spans="2:7" ht="15">
      <c r="B28" s="8"/>
      <c r="C28" s="1"/>
      <c r="D28" s="86"/>
      <c r="E28" s="87"/>
      <c r="F28" s="33"/>
      <c r="G28" s="8"/>
    </row>
    <row r="29" spans="2:7" ht="30">
      <c r="B29" s="8" t="s">
        <v>234</v>
      </c>
      <c r="C29" s="1"/>
      <c r="D29" s="94" t="s">
        <v>235</v>
      </c>
      <c r="E29" s="92">
        <f>E27</f>
        <v>4357130</v>
      </c>
      <c r="F29" s="34">
        <f>E29*0.93</f>
        <v>4052130.9000000004</v>
      </c>
      <c r="G29" s="93">
        <v>0.93</v>
      </c>
    </row>
    <row r="30" spans="2:7" ht="15">
      <c r="B30" s="8"/>
      <c r="C30" s="1"/>
      <c r="D30" s="86"/>
      <c r="E30" s="87"/>
      <c r="F30" s="33"/>
      <c r="G30" s="8"/>
    </row>
    <row r="31" spans="2:7" ht="45">
      <c r="B31" s="95" t="s">
        <v>236</v>
      </c>
      <c r="C31" s="1"/>
      <c r="D31" s="94" t="s">
        <v>237</v>
      </c>
      <c r="E31" s="96">
        <f>SUM(E27:E30)</f>
        <v>8714260</v>
      </c>
      <c r="F31" s="33">
        <f>SUM(F27:F30)</f>
        <v>8365689.600000001</v>
      </c>
      <c r="G31" s="8"/>
    </row>
    <row r="32" spans="3:6" ht="15">
      <c r="C32" s="1"/>
      <c r="F32" s="33"/>
    </row>
    <row r="33" spans="3:6" ht="15">
      <c r="C33" s="1"/>
      <c r="F33" s="33"/>
    </row>
    <row r="34" spans="3:6" ht="15">
      <c r="C34" s="1"/>
      <c r="F34" s="33"/>
    </row>
    <row r="35" ht="15"/>
    <row r="36" ht="15"/>
    <row r="37" ht="15"/>
    <row r="38" spans="4:6" ht="15">
      <c r="D38" s="73" t="s">
        <v>389</v>
      </c>
      <c r="F38" s="79"/>
    </row>
    <row r="39" spans="2:6" ht="12.75">
      <c r="B39" s="73"/>
      <c r="C39" s="73"/>
      <c r="D39" s="73"/>
      <c r="E39" s="73"/>
      <c r="F39" s="73"/>
    </row>
    <row r="40" spans="2:6" ht="12.75">
      <c r="B40" s="73" t="s">
        <v>238</v>
      </c>
      <c r="C40" s="73" t="s">
        <v>239</v>
      </c>
      <c r="D40" s="73" t="s">
        <v>240</v>
      </c>
      <c r="E40" s="73" t="s">
        <v>241</v>
      </c>
      <c r="F40" s="73" t="s">
        <v>242</v>
      </c>
    </row>
    <row r="41" spans="2:6" ht="15">
      <c r="B41" s="57"/>
      <c r="D41" s="97" t="s">
        <v>243</v>
      </c>
      <c r="E41" s="98" t="s">
        <v>244</v>
      </c>
      <c r="F41" s="73" t="s">
        <v>47</v>
      </c>
    </row>
    <row r="42" spans="2:6" ht="15">
      <c r="B42" s="57"/>
      <c r="D42" s="98"/>
      <c r="E42" s="97" t="s">
        <v>245</v>
      </c>
      <c r="F42" s="73"/>
    </row>
    <row r="43" spans="2:6" ht="15">
      <c r="B43" s="57"/>
      <c r="D43" s="98"/>
      <c r="E43" s="97"/>
      <c r="F43" s="73"/>
    </row>
    <row r="44" spans="2:6" ht="15">
      <c r="B44" s="8" t="s">
        <v>246</v>
      </c>
      <c r="C44" s="8"/>
      <c r="D44" s="99">
        <v>22394.26</v>
      </c>
      <c r="E44" s="99">
        <f>D44*0.35</f>
        <v>7837.990999999999</v>
      </c>
      <c r="F44" s="100">
        <f>SUM(D44:E44)</f>
        <v>30232.250999999997</v>
      </c>
    </row>
    <row r="45" spans="2:6" ht="15">
      <c r="B45" s="8"/>
      <c r="C45" s="8"/>
      <c r="D45" s="8"/>
      <c r="E45" s="8"/>
      <c r="F45" s="8"/>
    </row>
    <row r="46" spans="2:6" ht="15.75" thickBot="1">
      <c r="B46" s="101" t="s">
        <v>11</v>
      </c>
      <c r="D46" s="102">
        <f>SUM(D44:D44)</f>
        <v>22394.26</v>
      </c>
      <c r="E46" s="102">
        <f>SUM(E44:E44)</f>
        <v>7837.990999999999</v>
      </c>
      <c r="F46" s="103">
        <f>SUM(D46:E46)</f>
        <v>30232.250999999997</v>
      </c>
    </row>
    <row r="47" spans="2:8" ht="15.75" thickTop="1">
      <c r="B47" s="57"/>
      <c r="D47"/>
      <c r="F47" s="78"/>
      <c r="H47" s="104"/>
    </row>
    <row r="48" spans="2:7" ht="12.75">
      <c r="B48" s="292" t="s">
        <v>390</v>
      </c>
      <c r="C48" s="292"/>
      <c r="D48" s="293"/>
      <c r="E48" s="292"/>
      <c r="F48" s="292"/>
      <c r="G48" s="292"/>
    </row>
    <row r="49" spans="2:7" ht="12.75">
      <c r="B49" s="73"/>
      <c r="C49" s="73"/>
      <c r="D49" s="73"/>
      <c r="E49" s="73"/>
      <c r="F49" s="73"/>
      <c r="G49" s="105"/>
    </row>
    <row r="50" spans="2:7" ht="12.75">
      <c r="B50" s="101" t="s">
        <v>247</v>
      </c>
      <c r="C50" s="73"/>
      <c r="D50" s="73"/>
      <c r="E50" s="73"/>
      <c r="F50" s="73"/>
      <c r="G50" s="105"/>
    </row>
    <row r="51" spans="2:7" ht="12.75">
      <c r="B51" s="73"/>
      <c r="C51" s="73"/>
      <c r="D51" s="73"/>
      <c r="E51" s="73"/>
      <c r="F51" s="73"/>
      <c r="G51" s="105"/>
    </row>
    <row r="52" spans="2:5" ht="12.75">
      <c r="B52" s="106" t="s">
        <v>238</v>
      </c>
      <c r="C52" s="107" t="s">
        <v>248</v>
      </c>
      <c r="D52" s="83" t="s">
        <v>249</v>
      </c>
      <c r="E52" s="83" t="s">
        <v>47</v>
      </c>
    </row>
    <row r="53" spans="2:5" ht="15">
      <c r="B53" t="s">
        <v>250</v>
      </c>
      <c r="C53" s="108">
        <v>10</v>
      </c>
      <c r="D53" s="109">
        <v>1200</v>
      </c>
      <c r="E53" s="109">
        <f>C53*D53</f>
        <v>12000</v>
      </c>
    </row>
    <row r="54" spans="2:5" ht="15">
      <c r="B54" t="s">
        <v>251</v>
      </c>
      <c r="C54" s="108">
        <v>1</v>
      </c>
      <c r="D54" s="109">
        <v>5000</v>
      </c>
      <c r="E54" s="110">
        <f>C54*D54</f>
        <v>5000</v>
      </c>
    </row>
    <row r="55" spans="2:7" ht="15">
      <c r="B55" s="78" t="s">
        <v>252</v>
      </c>
      <c r="C55" s="108"/>
      <c r="D55" s="109"/>
      <c r="E55" s="111">
        <f>SUM(E53:E54)</f>
        <v>17000</v>
      </c>
      <c r="G55" s="109"/>
    </row>
    <row r="56" spans="2:7" ht="15">
      <c r="B56" s="78"/>
      <c r="C56" s="108"/>
      <c r="D56" s="109"/>
      <c r="E56" s="111"/>
      <c r="G56" s="109"/>
    </row>
    <row r="57" spans="2:7" ht="15">
      <c r="B57" s="78" t="s">
        <v>253</v>
      </c>
      <c r="C57" s="108"/>
      <c r="D57" s="109"/>
      <c r="E57" s="109"/>
      <c r="G57" s="109"/>
    </row>
    <row r="58" spans="2:7" ht="15">
      <c r="B58" s="78"/>
      <c r="C58" s="108"/>
      <c r="D58" s="109"/>
      <c r="E58" s="109"/>
      <c r="G58" s="109"/>
    </row>
    <row r="59" spans="2:7" ht="15">
      <c r="B59" s="78"/>
      <c r="C59" s="108"/>
      <c r="D59" s="109"/>
      <c r="E59" s="109"/>
      <c r="G59" s="109"/>
    </row>
    <row r="60" spans="3:7" ht="15">
      <c r="C60" s="108"/>
      <c r="D60" s="109"/>
      <c r="E60" s="109"/>
      <c r="G60" s="109"/>
    </row>
    <row r="61" spans="2:7" ht="12.75">
      <c r="B61" s="83" t="s">
        <v>42</v>
      </c>
      <c r="C61" s="83" t="s">
        <v>254</v>
      </c>
      <c r="D61" s="112" t="s">
        <v>255</v>
      </c>
      <c r="E61" s="112" t="s">
        <v>256</v>
      </c>
      <c r="F61" s="83" t="s">
        <v>97</v>
      </c>
      <c r="G61" s="112" t="s">
        <v>47</v>
      </c>
    </row>
    <row r="62" spans="2:7" ht="15">
      <c r="B62" s="113" t="s">
        <v>257</v>
      </c>
      <c r="C62" s="114">
        <v>20</v>
      </c>
      <c r="D62" s="115">
        <v>35</v>
      </c>
      <c r="E62" s="33">
        <f>PRODUCT(C62:D62)</f>
        <v>700</v>
      </c>
      <c r="F62" s="116">
        <v>7</v>
      </c>
      <c r="G62" s="109">
        <f>PRODUCT(E62:F62)</f>
        <v>4900</v>
      </c>
    </row>
    <row r="63" spans="2:7" ht="15">
      <c r="B63" t="s">
        <v>258</v>
      </c>
      <c r="C63" s="108">
        <v>152</v>
      </c>
      <c r="D63" s="46">
        <v>35</v>
      </c>
      <c r="E63" s="33">
        <f>PRODUCT(C63:D63)</f>
        <v>5320</v>
      </c>
      <c r="F63" s="109">
        <v>6.67</v>
      </c>
      <c r="G63" s="110">
        <f>PRODUCT(E63:F63)</f>
        <v>35484.4</v>
      </c>
    </row>
    <row r="64" spans="2:7" ht="15">
      <c r="B64" s="78" t="s">
        <v>259</v>
      </c>
      <c r="C64" s="108"/>
      <c r="D64"/>
      <c r="E64" s="33"/>
      <c r="F64" s="109"/>
      <c r="G64" s="100">
        <f>SUM(G62:G63)</f>
        <v>40384.4</v>
      </c>
    </row>
    <row r="65" spans="3:7" ht="15">
      <c r="C65" s="108"/>
      <c r="D65"/>
      <c r="G65" s="109"/>
    </row>
    <row r="66" spans="2:7" ht="15">
      <c r="B66" s="78" t="s">
        <v>260</v>
      </c>
      <c r="C66" s="108"/>
      <c r="D66"/>
      <c r="G66" s="117">
        <f>E55+G64</f>
        <v>57384.4</v>
      </c>
    </row>
    <row r="67" spans="2:7" ht="15">
      <c r="B67" s="78" t="s">
        <v>261</v>
      </c>
      <c r="C67" s="108"/>
      <c r="D67"/>
      <c r="G67" s="110">
        <f>(E55+G64)*0.0765</f>
        <v>4389.9066</v>
      </c>
    </row>
    <row r="68" spans="2:7" ht="15">
      <c r="B68" s="78" t="s">
        <v>262</v>
      </c>
      <c r="C68" s="108"/>
      <c r="D68"/>
      <c r="G68" s="117">
        <f>SUM(G66:G67)+F46</f>
        <v>92006.5576</v>
      </c>
    </row>
    <row r="69" spans="3:7" ht="15">
      <c r="C69" s="108"/>
      <c r="D69"/>
      <c r="G69" s="109"/>
    </row>
    <row r="70" ht="15"/>
    <row r="71" spans="8:9" ht="15.75">
      <c r="H71" s="118"/>
      <c r="I71" s="119"/>
    </row>
    <row r="72" spans="2:12" ht="15.75">
      <c r="B72" s="120" t="s">
        <v>263</v>
      </c>
      <c r="C72" s="121" t="s">
        <v>264</v>
      </c>
      <c r="D72" s="122" t="s">
        <v>265</v>
      </c>
      <c r="E72" s="123"/>
      <c r="F72" s="123"/>
      <c r="G72" s="123"/>
      <c r="H72" s="118"/>
      <c r="I72" s="119"/>
      <c r="J72" s="124"/>
      <c r="K72" s="125"/>
      <c r="L72" s="125"/>
    </row>
    <row r="73" spans="2:10" ht="15.75">
      <c r="B73" s="126" t="s">
        <v>266</v>
      </c>
      <c r="D73" s="127">
        <v>6000</v>
      </c>
      <c r="E73" s="127"/>
      <c r="F73" s="127"/>
      <c r="G73" s="127"/>
      <c r="H73" s="128"/>
      <c r="I73" s="129"/>
      <c r="J73" s="130"/>
    </row>
    <row r="74" spans="2:10" ht="25.5">
      <c r="B74" s="126" t="s">
        <v>267</v>
      </c>
      <c r="C74" s="131">
        <v>39300</v>
      </c>
      <c r="D74" s="127"/>
      <c r="E74" s="127"/>
      <c r="F74" s="127"/>
      <c r="G74" s="127"/>
      <c r="H74" s="118"/>
      <c r="I74" s="119"/>
      <c r="J74" s="130"/>
    </row>
    <row r="75" spans="2:10" ht="15.75">
      <c r="B75" s="126" t="s">
        <v>268</v>
      </c>
      <c r="C75" s="131">
        <v>77100</v>
      </c>
      <c r="D75" s="127"/>
      <c r="E75" s="127"/>
      <c r="F75" s="127"/>
      <c r="G75" s="127"/>
      <c r="H75" s="118"/>
      <c r="I75" s="119"/>
      <c r="J75" s="130"/>
    </row>
    <row r="76" spans="2:10" ht="25.5">
      <c r="B76" s="126" t="s">
        <v>269</v>
      </c>
      <c r="C76" s="131">
        <v>7100</v>
      </c>
      <c r="D76" s="127">
        <v>550000</v>
      </c>
      <c r="E76" s="127"/>
      <c r="F76" s="127"/>
      <c r="G76" s="127"/>
      <c r="H76" s="118"/>
      <c r="I76" s="119"/>
      <c r="J76" s="130"/>
    </row>
    <row r="77" spans="2:10" ht="15.75">
      <c r="B77" s="126" t="s">
        <v>270</v>
      </c>
      <c r="C77" s="131">
        <v>2400</v>
      </c>
      <c r="D77" s="127"/>
      <c r="E77" s="127"/>
      <c r="F77" s="127"/>
      <c r="G77" s="127"/>
      <c r="H77" s="118"/>
      <c r="I77" s="119"/>
      <c r="J77" s="130"/>
    </row>
    <row r="78" spans="2:10" ht="15.75">
      <c r="B78" s="126" t="s">
        <v>271</v>
      </c>
      <c r="C78" s="132">
        <v>23300</v>
      </c>
      <c r="D78" s="127"/>
      <c r="E78" s="127"/>
      <c r="F78" s="127"/>
      <c r="G78" s="127"/>
      <c r="H78" s="128"/>
      <c r="I78" s="129"/>
      <c r="J78" s="130"/>
    </row>
    <row r="79" spans="2:10" ht="25.5">
      <c r="B79" s="126" t="s">
        <v>272</v>
      </c>
      <c r="C79" s="131">
        <v>18700</v>
      </c>
      <c r="D79" s="127"/>
      <c r="E79" s="127"/>
      <c r="F79" s="127"/>
      <c r="G79" s="127"/>
      <c r="H79" s="118"/>
      <c r="I79" s="119"/>
      <c r="J79" s="130"/>
    </row>
    <row r="80" spans="2:10" ht="15.75">
      <c r="B80" s="126" t="s">
        <v>273</v>
      </c>
      <c r="C80" s="131">
        <v>2000</v>
      </c>
      <c r="D80" s="127"/>
      <c r="E80" s="127"/>
      <c r="F80" s="127"/>
      <c r="G80" s="127"/>
      <c r="H80" s="118"/>
      <c r="I80" s="119"/>
      <c r="J80" s="130"/>
    </row>
    <row r="81" spans="2:10" ht="25.5">
      <c r="B81" s="126" t="s">
        <v>274</v>
      </c>
      <c r="C81" s="133">
        <v>1000</v>
      </c>
      <c r="D81" s="127"/>
      <c r="E81" s="127"/>
      <c r="F81" s="127"/>
      <c r="G81" s="127"/>
      <c r="H81" s="118"/>
      <c r="I81" s="119"/>
      <c r="J81" s="130"/>
    </row>
    <row r="82" spans="2:10" ht="15.75">
      <c r="B82" s="126" t="s">
        <v>275</v>
      </c>
      <c r="C82" s="133">
        <v>2000</v>
      </c>
      <c r="D82" s="127"/>
      <c r="E82" s="127"/>
      <c r="F82" s="127"/>
      <c r="G82" s="127"/>
      <c r="H82" s="118"/>
      <c r="I82" s="119"/>
      <c r="J82" s="130"/>
    </row>
    <row r="83" spans="2:10" ht="15.75">
      <c r="B83" s="126" t="s">
        <v>276</v>
      </c>
      <c r="C83" s="132">
        <v>129800</v>
      </c>
      <c r="D83" s="127"/>
      <c r="E83" s="127"/>
      <c r="F83" s="127"/>
      <c r="G83" s="127"/>
      <c r="J83" s="130"/>
    </row>
    <row r="84" spans="2:5" ht="15">
      <c r="B84" s="126" t="s">
        <v>277</v>
      </c>
      <c r="C84" s="121">
        <v>4400</v>
      </c>
      <c r="D84" s="127">
        <v>21000</v>
      </c>
      <c r="E84" s="127"/>
    </row>
    <row r="85" spans="2:5" ht="15.75">
      <c r="B85" s="134" t="s">
        <v>278</v>
      </c>
      <c r="C85" s="135">
        <f>SUM(C74:C84)</f>
        <v>307100</v>
      </c>
      <c r="D85" s="136">
        <f>SUM(D73:D84)</f>
        <v>577000</v>
      </c>
      <c r="E85" s="137"/>
    </row>
    <row r="86" spans="2:5" ht="27" thickBot="1">
      <c r="B86" s="126" t="s">
        <v>279</v>
      </c>
      <c r="C86" s="138">
        <f>G68+C85</f>
        <v>399106.5576</v>
      </c>
      <c r="D86" s="139"/>
      <c r="E86" s="139"/>
    </row>
    <row r="87" spans="2:5" ht="16.5" thickTop="1">
      <c r="B87" s="140"/>
      <c r="C87" s="135"/>
      <c r="D87" s="139"/>
      <c r="E87" s="139"/>
    </row>
    <row r="88" spans="2:4" ht="15">
      <c r="B88" s="126" t="s">
        <v>313</v>
      </c>
      <c r="D88" s="79">
        <f>D85/5</f>
        <v>115400</v>
      </c>
    </row>
    <row r="89" spans="2:3" ht="15">
      <c r="B89" s="126" t="s">
        <v>148</v>
      </c>
      <c r="C89" s="33">
        <f>C86+D88</f>
        <v>514506.5576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48:G48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Z43"/>
  <sheetViews>
    <sheetView zoomScale="65" zoomScaleNormal="65" zoomScalePageLayoutView="0" workbookViewId="0" topLeftCell="A1">
      <selection activeCell="E14" sqref="E14"/>
    </sheetView>
  </sheetViews>
  <sheetFormatPr defaultColWidth="9.140625" defaultRowHeight="15"/>
  <cols>
    <col min="1" max="1" width="14.00390625" style="0" customWidth="1"/>
    <col min="2" max="2" width="15.421875" style="0" bestFit="1" customWidth="1"/>
    <col min="3" max="3" width="14.140625" style="0" bestFit="1" customWidth="1"/>
    <col min="4" max="4" width="17.00390625" style="0" customWidth="1"/>
    <col min="5" max="5" width="13.00390625" style="0" customWidth="1"/>
    <col min="6" max="6" width="12.8515625" style="0" customWidth="1"/>
    <col min="7" max="7" width="13.00390625" style="0" customWidth="1"/>
    <col min="8" max="8" width="12.00390625" style="0" customWidth="1"/>
    <col min="9" max="9" width="19.28125" style="0" customWidth="1"/>
    <col min="10" max="10" width="18.140625" style="0" bestFit="1" customWidth="1"/>
    <col min="11" max="11" width="16.7109375" style="0" customWidth="1"/>
    <col min="12" max="12" width="15.421875" style="0" customWidth="1"/>
    <col min="13" max="13" width="15.28125" style="0" bestFit="1" customWidth="1"/>
    <col min="14" max="14" width="16.57421875" style="0" bestFit="1" customWidth="1"/>
    <col min="15" max="15" width="15.28125" style="0" bestFit="1" customWidth="1"/>
    <col min="16" max="16" width="15.7109375" style="0" bestFit="1" customWidth="1"/>
    <col min="17" max="17" width="2.7109375" style="0" customWidth="1"/>
    <col min="18" max="18" width="16.421875" style="0" customWidth="1"/>
    <col min="19" max="19" width="13.421875" style="0" hidden="1" customWidth="1"/>
    <col min="20" max="20" width="11.57421875" style="0" hidden="1" customWidth="1"/>
    <col min="21" max="21" width="13.57421875" style="0" hidden="1" customWidth="1"/>
    <col min="22" max="22" width="13.140625" style="0" hidden="1" customWidth="1"/>
    <col min="23" max="23" width="11.8515625" style="0" hidden="1" customWidth="1"/>
    <col min="24" max="24" width="15.7109375" style="0" bestFit="1" customWidth="1"/>
    <col min="25" max="26" width="15.28125" style="0" bestFit="1" customWidth="1"/>
  </cols>
  <sheetData>
    <row r="1" spans="1:26" ht="15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6" ht="21" customHeight="1">
      <c r="A2" s="294" t="s">
        <v>331</v>
      </c>
      <c r="B2" s="294"/>
      <c r="C2" s="294"/>
      <c r="D2" s="294"/>
      <c r="E2" s="294"/>
      <c r="F2" s="294"/>
      <c r="G2" s="294"/>
      <c r="H2" s="294"/>
      <c r="I2" s="294"/>
      <c r="J2" s="294"/>
      <c r="K2" s="211"/>
      <c r="L2" s="211"/>
      <c r="M2" s="213"/>
      <c r="N2" s="213"/>
      <c r="O2" s="213"/>
      <c r="P2" s="211"/>
      <c r="Q2" s="212"/>
      <c r="R2" s="212"/>
      <c r="S2" s="212"/>
      <c r="T2" s="212"/>
      <c r="U2" s="212"/>
      <c r="V2" s="212"/>
      <c r="W2" s="212"/>
      <c r="X2" s="212"/>
      <c r="Y2" s="212"/>
      <c r="Z2" s="212"/>
    </row>
    <row r="3" spans="1:26" ht="17.25">
      <c r="A3" s="214"/>
      <c r="B3" s="214"/>
      <c r="C3" s="214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</row>
    <row r="4" spans="1:26" ht="30.75" thickBot="1">
      <c r="A4" s="183" t="s">
        <v>332</v>
      </c>
      <c r="B4" s="183"/>
      <c r="C4" s="183"/>
      <c r="D4" s="183"/>
      <c r="E4" s="183"/>
      <c r="F4" s="183"/>
      <c r="G4" s="183"/>
      <c r="H4" s="183"/>
      <c r="I4" s="212"/>
      <c r="J4" s="183"/>
      <c r="K4" s="183"/>
      <c r="L4" s="183"/>
      <c r="M4" s="207"/>
      <c r="N4" s="207"/>
      <c r="O4" s="207"/>
      <c r="P4" s="183"/>
      <c r="Q4" s="212"/>
      <c r="R4" s="212"/>
      <c r="S4" s="212"/>
      <c r="T4" s="212"/>
      <c r="U4" s="212"/>
      <c r="V4" s="212"/>
      <c r="W4" s="212"/>
      <c r="X4" s="212"/>
      <c r="Y4" s="212"/>
      <c r="Z4" s="212"/>
    </row>
    <row r="5" spans="1:26" ht="78" customHeight="1" thickBot="1">
      <c r="A5" s="184"/>
      <c r="B5" s="184" t="s">
        <v>333</v>
      </c>
      <c r="C5" s="184" t="s">
        <v>334</v>
      </c>
      <c r="D5" s="210" t="s">
        <v>335</v>
      </c>
      <c r="E5" s="186" t="s">
        <v>336</v>
      </c>
      <c r="F5" s="186" t="s">
        <v>337</v>
      </c>
      <c r="G5" s="185" t="s">
        <v>338</v>
      </c>
      <c r="H5" s="185" t="s">
        <v>339</v>
      </c>
      <c r="I5" s="185" t="s">
        <v>340</v>
      </c>
      <c r="J5" s="186" t="s">
        <v>341</v>
      </c>
      <c r="K5" s="186" t="s">
        <v>342</v>
      </c>
      <c r="L5" s="210" t="s">
        <v>343</v>
      </c>
      <c r="M5" s="208" t="s">
        <v>344</v>
      </c>
      <c r="N5" s="208" t="s">
        <v>345</v>
      </c>
      <c r="O5" s="210" t="s">
        <v>346</v>
      </c>
      <c r="P5" s="187" t="s">
        <v>347</v>
      </c>
      <c r="Q5" s="212"/>
      <c r="R5" s="197" t="s">
        <v>348</v>
      </c>
      <c r="S5" s="197" t="s">
        <v>349</v>
      </c>
      <c r="T5" s="197" t="s">
        <v>350</v>
      </c>
      <c r="U5" s="212"/>
      <c r="V5" s="212"/>
      <c r="W5" s="212"/>
      <c r="X5" s="200" t="s">
        <v>202</v>
      </c>
      <c r="Y5" s="200" t="s">
        <v>351</v>
      </c>
      <c r="Z5" s="200" t="s">
        <v>352</v>
      </c>
    </row>
    <row r="6" spans="1:26" ht="15">
      <c r="A6" s="188">
        <v>2006</v>
      </c>
      <c r="B6" s="196">
        <v>340000</v>
      </c>
      <c r="C6" s="196">
        <v>631677.5</v>
      </c>
      <c r="D6" s="238">
        <v>971677.5</v>
      </c>
      <c r="E6" s="190">
        <v>230000</v>
      </c>
      <c r="F6" s="190">
        <v>406961.25</v>
      </c>
      <c r="G6" s="189">
        <v>279972.5</v>
      </c>
      <c r="H6" s="189">
        <v>77223.49</v>
      </c>
      <c r="I6" s="215">
        <v>332001.81</v>
      </c>
      <c r="J6" s="191">
        <v>50000</v>
      </c>
      <c r="K6" s="192">
        <v>392571.24</v>
      </c>
      <c r="L6" s="209">
        <v>442571.24</v>
      </c>
      <c r="M6" s="205"/>
      <c r="N6" s="205"/>
      <c r="O6" s="209"/>
      <c r="P6" s="235">
        <f>D6+G6+H6+I6+L6</f>
        <v>2103446.54</v>
      </c>
      <c r="Q6" s="212"/>
      <c r="R6" s="216">
        <v>1840435.29</v>
      </c>
      <c r="S6" s="216">
        <v>114363.24</v>
      </c>
      <c r="T6" s="217">
        <v>177999.69</v>
      </c>
      <c r="U6" s="216">
        <v>1904071.74</v>
      </c>
      <c r="V6" s="217">
        <v>1874086.19</v>
      </c>
      <c r="W6" s="216">
        <v>29985.550000000047</v>
      </c>
      <c r="X6" s="218">
        <v>620000</v>
      </c>
      <c r="Y6" s="218"/>
      <c r="Z6" s="218"/>
    </row>
    <row r="7" spans="1:26" ht="15">
      <c r="A7" s="201">
        <f>A6+1</f>
        <v>2007</v>
      </c>
      <c r="B7" s="202">
        <v>350000</v>
      </c>
      <c r="C7" s="202">
        <v>617907.5</v>
      </c>
      <c r="D7" s="239">
        <v>967907.5</v>
      </c>
      <c r="E7" s="204">
        <v>240000</v>
      </c>
      <c r="F7" s="204">
        <v>39047.5</v>
      </c>
      <c r="G7" s="203">
        <v>279047.5</v>
      </c>
      <c r="H7" s="203"/>
      <c r="I7" s="219">
        <v>664005.8799999999</v>
      </c>
      <c r="J7" s="205">
        <v>205000</v>
      </c>
      <c r="K7" s="206">
        <v>815036.26</v>
      </c>
      <c r="L7" s="209">
        <v>1020036.26</v>
      </c>
      <c r="M7" s="205"/>
      <c r="N7" s="205"/>
      <c r="O7" s="209"/>
      <c r="P7" s="235">
        <f>D7+G7+H7+I7+L7</f>
        <v>2930997.1399999997</v>
      </c>
      <c r="Q7" s="220"/>
      <c r="R7" s="218">
        <v>2135997.1399999997</v>
      </c>
      <c r="S7" s="218"/>
      <c r="T7" s="220"/>
      <c r="U7" s="220"/>
      <c r="V7" s="220"/>
      <c r="W7" s="220"/>
      <c r="X7" s="218">
        <v>795000</v>
      </c>
      <c r="Y7" s="218">
        <v>735995.6299999999</v>
      </c>
      <c r="Z7" s="218">
        <v>1530995.63</v>
      </c>
    </row>
    <row r="8" spans="1:26" ht="15">
      <c r="A8" s="201">
        <f aca="true" t="shared" si="0" ref="A8:A30">A7+1</f>
        <v>2008</v>
      </c>
      <c r="B8" s="202">
        <v>365000</v>
      </c>
      <c r="C8" s="202">
        <v>603557.5</v>
      </c>
      <c r="D8" s="239">
        <v>968557.5</v>
      </c>
      <c r="E8" s="204">
        <v>255000</v>
      </c>
      <c r="F8" s="204">
        <v>27407.5</v>
      </c>
      <c r="G8" s="203">
        <v>282407.5</v>
      </c>
      <c r="H8" s="203"/>
      <c r="I8" s="219">
        <v>664004.84</v>
      </c>
      <c r="J8" s="205">
        <v>210000</v>
      </c>
      <c r="K8" s="206">
        <v>807348.76</v>
      </c>
      <c r="L8" s="209">
        <v>1017348.76</v>
      </c>
      <c r="M8" s="205"/>
      <c r="N8" s="205"/>
      <c r="O8" s="209"/>
      <c r="P8" s="235">
        <f>D8+G8+H8+I8+L8</f>
        <v>2932318.5999999996</v>
      </c>
      <c r="Q8" s="220"/>
      <c r="R8" s="218">
        <v>2102318.5999999996</v>
      </c>
      <c r="S8" s="218"/>
      <c r="T8" s="220"/>
      <c r="U8" s="220"/>
      <c r="V8" s="220"/>
      <c r="W8" s="220"/>
      <c r="X8" s="218">
        <v>830000</v>
      </c>
      <c r="Y8" s="218">
        <v>719156.8799999999</v>
      </c>
      <c r="Z8" s="218">
        <v>1549156.88</v>
      </c>
    </row>
    <row r="9" spans="1:26" s="231" customFormat="1" ht="15">
      <c r="A9" s="201">
        <f t="shared" si="0"/>
        <v>2009</v>
      </c>
      <c r="B9" s="202">
        <v>380000</v>
      </c>
      <c r="C9" s="202">
        <v>588227.5</v>
      </c>
      <c r="D9" s="239">
        <v>968227.5</v>
      </c>
      <c r="E9" s="204">
        <v>265000</v>
      </c>
      <c r="F9" s="204">
        <v>13382.5</v>
      </c>
      <c r="G9" s="203">
        <v>278382.5</v>
      </c>
      <c r="H9" s="203"/>
      <c r="I9" s="219">
        <v>519688.19999999955</v>
      </c>
      <c r="J9" s="205">
        <v>220000</v>
      </c>
      <c r="K9" s="206">
        <v>799473.76</v>
      </c>
      <c r="L9" s="209">
        <v>1019473.76</v>
      </c>
      <c r="M9" s="205"/>
      <c r="N9" s="205"/>
      <c r="O9" s="209"/>
      <c r="P9" s="235">
        <f>D9+G9+H9+I9+L9</f>
        <v>2785771.9599999995</v>
      </c>
      <c r="Q9" s="220"/>
      <c r="R9" s="218">
        <v>1920771.9599999995</v>
      </c>
      <c r="S9" s="218"/>
      <c r="T9" s="220"/>
      <c r="U9" s="220"/>
      <c r="V9" s="220"/>
      <c r="W9" s="220"/>
      <c r="X9" s="218">
        <v>865000</v>
      </c>
      <c r="Y9" s="218">
        <v>700541.88</v>
      </c>
      <c r="Z9" s="218">
        <v>1565541.88</v>
      </c>
    </row>
    <row r="10" spans="1:26" s="231" customFormat="1" ht="15">
      <c r="A10" s="222">
        <f t="shared" si="0"/>
        <v>2010</v>
      </c>
      <c r="B10" s="223">
        <v>395000</v>
      </c>
      <c r="C10" s="223">
        <v>571887.5</v>
      </c>
      <c r="D10" s="224">
        <v>966887.5</v>
      </c>
      <c r="E10" s="225"/>
      <c r="F10" s="225"/>
      <c r="G10" s="232"/>
      <c r="H10" s="232"/>
      <c r="I10" s="229"/>
      <c r="J10" s="227">
        <v>505000</v>
      </c>
      <c r="K10" s="228">
        <v>791223.76</v>
      </c>
      <c r="L10" s="227">
        <v>1296223.76</v>
      </c>
      <c r="M10" s="227">
        <f>'Bond Pymt Fixed-30 Year'!D12</f>
        <v>0</v>
      </c>
      <c r="N10" s="234">
        <v>962850</v>
      </c>
      <c r="O10" s="227">
        <f>SUM(M10:N10)</f>
        <v>962850</v>
      </c>
      <c r="P10" s="236">
        <f>D10+G10+H10+I10+L10+O10</f>
        <v>3225961.26</v>
      </c>
      <c r="Q10" s="229"/>
      <c r="R10" s="226">
        <f>N10+K10+C10</f>
        <v>2325961.26</v>
      </c>
      <c r="S10" s="230"/>
      <c r="T10" s="229"/>
      <c r="U10" s="229"/>
      <c r="V10" s="229"/>
      <c r="W10" s="229"/>
      <c r="X10" s="230">
        <f>M10+J10+B10</f>
        <v>900000</v>
      </c>
      <c r="Y10" s="230">
        <f>R10/2</f>
        <v>1162980.63</v>
      </c>
      <c r="Z10" s="230">
        <f>Y10+X10</f>
        <v>2062980.63</v>
      </c>
    </row>
    <row r="11" spans="1:26" ht="15">
      <c r="A11" s="201">
        <f t="shared" si="0"/>
        <v>2011</v>
      </c>
      <c r="B11" s="196">
        <v>415000</v>
      </c>
      <c r="C11" s="196">
        <v>554507.5</v>
      </c>
      <c r="D11" s="239">
        <v>969507.5</v>
      </c>
      <c r="E11" s="190"/>
      <c r="F11" s="190"/>
      <c r="G11" s="199"/>
      <c r="H11" s="199"/>
      <c r="I11" s="212"/>
      <c r="J11" s="191">
        <v>525000</v>
      </c>
      <c r="K11" s="192">
        <v>772286.26</v>
      </c>
      <c r="L11" s="209">
        <v>1297286.26</v>
      </c>
      <c r="M11" s="205">
        <v>195000</v>
      </c>
      <c r="N11" s="58">
        <v>962850</v>
      </c>
      <c r="O11" s="209">
        <f aca="true" t="shared" si="1" ref="O11:O41">SUM(M11:N11)</f>
        <v>1157850</v>
      </c>
      <c r="P11" s="235">
        <f aca="true" t="shared" si="2" ref="P11:P41">D11+G11+H11+I11+L11+O11</f>
        <v>3424643.76</v>
      </c>
      <c r="Q11" s="212"/>
      <c r="R11" s="219">
        <f aca="true" t="shared" si="3" ref="R11:R41">N11+K11+C11</f>
        <v>2289643.76</v>
      </c>
      <c r="S11" s="216"/>
      <c r="T11" s="212"/>
      <c r="U11" s="212"/>
      <c r="V11" s="212"/>
      <c r="W11" s="212"/>
      <c r="X11" s="218">
        <f aca="true" t="shared" si="4" ref="X11:X41">M11+J11+B11</f>
        <v>1135000</v>
      </c>
      <c r="Y11" s="218">
        <f aca="true" t="shared" si="5" ref="Y11:Y41">R11/2</f>
        <v>1144821.88</v>
      </c>
      <c r="Z11" s="218">
        <f aca="true" t="shared" si="6" ref="Z11:Z41">Y11+X11</f>
        <v>2279821.88</v>
      </c>
    </row>
    <row r="12" spans="1:26" ht="15">
      <c r="A12" s="201">
        <f t="shared" si="0"/>
        <v>2012</v>
      </c>
      <c r="B12" s="196">
        <v>435000</v>
      </c>
      <c r="C12" s="196">
        <v>534172.5</v>
      </c>
      <c r="D12" s="239">
        <v>969172.5</v>
      </c>
      <c r="E12" s="190"/>
      <c r="F12" s="190"/>
      <c r="G12" s="199"/>
      <c r="H12" s="199"/>
      <c r="I12" s="212"/>
      <c r="J12" s="191">
        <v>545000</v>
      </c>
      <c r="K12" s="192">
        <v>752598.76</v>
      </c>
      <c r="L12" s="209">
        <v>1297598.76</v>
      </c>
      <c r="M12" s="205">
        <v>205000</v>
      </c>
      <c r="N12" s="58">
        <v>957000</v>
      </c>
      <c r="O12" s="209">
        <f t="shared" si="1"/>
        <v>1162000</v>
      </c>
      <c r="P12" s="235">
        <f t="shared" si="2"/>
        <v>3428771.26</v>
      </c>
      <c r="Q12" s="212"/>
      <c r="R12" s="219">
        <f t="shared" si="3"/>
        <v>2243771.26</v>
      </c>
      <c r="S12" s="216"/>
      <c r="T12" s="212"/>
      <c r="U12" s="212"/>
      <c r="V12" s="212"/>
      <c r="W12" s="212"/>
      <c r="X12" s="218">
        <f t="shared" si="4"/>
        <v>1185000</v>
      </c>
      <c r="Y12" s="218">
        <f t="shared" si="5"/>
        <v>1121885.63</v>
      </c>
      <c r="Z12" s="218">
        <f t="shared" si="6"/>
        <v>2306885.63</v>
      </c>
    </row>
    <row r="13" spans="1:26" ht="15">
      <c r="A13" s="201">
        <f t="shared" si="0"/>
        <v>2013</v>
      </c>
      <c r="B13" s="196">
        <v>455000</v>
      </c>
      <c r="C13" s="196">
        <v>512857.5</v>
      </c>
      <c r="D13" s="239">
        <v>967857.5</v>
      </c>
      <c r="E13" s="190"/>
      <c r="F13" s="190"/>
      <c r="G13" s="199"/>
      <c r="H13" s="199"/>
      <c r="I13" s="212"/>
      <c r="J13" s="191">
        <v>565000</v>
      </c>
      <c r="K13" s="192">
        <v>730798.76</v>
      </c>
      <c r="L13" s="209">
        <v>1295798.76</v>
      </c>
      <c r="M13" s="205">
        <v>210000</v>
      </c>
      <c r="N13" s="58">
        <v>950850</v>
      </c>
      <c r="O13" s="209">
        <f t="shared" si="1"/>
        <v>1160850</v>
      </c>
      <c r="P13" s="235">
        <f t="shared" si="2"/>
        <v>3424506.26</v>
      </c>
      <c r="Q13" s="212"/>
      <c r="R13" s="219">
        <f t="shared" si="3"/>
        <v>2194506.26</v>
      </c>
      <c r="S13" s="216"/>
      <c r="T13" s="212"/>
      <c r="U13" s="212"/>
      <c r="V13" s="212"/>
      <c r="W13" s="212"/>
      <c r="X13" s="218">
        <f t="shared" si="4"/>
        <v>1230000</v>
      </c>
      <c r="Y13" s="218">
        <f t="shared" si="5"/>
        <v>1097253.13</v>
      </c>
      <c r="Z13" s="218">
        <f t="shared" si="6"/>
        <v>2327253.13</v>
      </c>
    </row>
    <row r="14" spans="1:26" ht="15">
      <c r="A14" s="201">
        <f t="shared" si="0"/>
        <v>2014</v>
      </c>
      <c r="B14" s="196">
        <v>480000</v>
      </c>
      <c r="C14" s="196">
        <v>490562.5</v>
      </c>
      <c r="D14" s="239">
        <v>970562.5</v>
      </c>
      <c r="E14" s="190"/>
      <c r="F14" s="190"/>
      <c r="G14" s="199"/>
      <c r="H14" s="199"/>
      <c r="I14" s="212"/>
      <c r="J14" s="191">
        <v>585000</v>
      </c>
      <c r="K14" s="192">
        <v>709611.26</v>
      </c>
      <c r="L14" s="209">
        <v>1294611.26</v>
      </c>
      <c r="M14" s="205">
        <v>215000</v>
      </c>
      <c r="N14" s="58">
        <v>942450</v>
      </c>
      <c r="O14" s="209">
        <f t="shared" si="1"/>
        <v>1157450</v>
      </c>
      <c r="P14" s="235">
        <f t="shared" si="2"/>
        <v>3422623.76</v>
      </c>
      <c r="Q14" s="212"/>
      <c r="R14" s="219">
        <f t="shared" si="3"/>
        <v>2142623.76</v>
      </c>
      <c r="S14" s="216"/>
      <c r="T14" s="212"/>
      <c r="U14" s="212"/>
      <c r="V14" s="212"/>
      <c r="W14" s="212"/>
      <c r="X14" s="218">
        <f t="shared" si="4"/>
        <v>1280000</v>
      </c>
      <c r="Y14" s="218">
        <f t="shared" si="5"/>
        <v>1071311.88</v>
      </c>
      <c r="Z14" s="218">
        <f t="shared" si="6"/>
        <v>2351311.88</v>
      </c>
    </row>
    <row r="15" spans="1:26" ht="15">
      <c r="A15" s="201">
        <f t="shared" si="0"/>
        <v>2015</v>
      </c>
      <c r="B15" s="196">
        <v>500000</v>
      </c>
      <c r="C15" s="196">
        <v>467042.5</v>
      </c>
      <c r="D15" s="239">
        <v>967042.5</v>
      </c>
      <c r="E15" s="190"/>
      <c r="F15" s="190"/>
      <c r="G15" s="199"/>
      <c r="H15" s="199"/>
      <c r="I15" s="212"/>
      <c r="J15" s="191">
        <v>610000</v>
      </c>
      <c r="K15" s="192">
        <v>687381.26</v>
      </c>
      <c r="L15" s="209">
        <v>1297381.26</v>
      </c>
      <c r="M15" s="205">
        <v>225000</v>
      </c>
      <c r="N15" s="58">
        <v>933850</v>
      </c>
      <c r="O15" s="209">
        <f t="shared" si="1"/>
        <v>1158850</v>
      </c>
      <c r="P15" s="235">
        <f t="shared" si="2"/>
        <v>3423273.76</v>
      </c>
      <c r="Q15" s="212"/>
      <c r="R15" s="219">
        <f t="shared" si="3"/>
        <v>2088273.76</v>
      </c>
      <c r="S15" s="216"/>
      <c r="T15" s="212"/>
      <c r="U15" s="212"/>
      <c r="V15" s="212"/>
      <c r="W15" s="212"/>
      <c r="X15" s="218">
        <f t="shared" si="4"/>
        <v>1335000</v>
      </c>
      <c r="Y15" s="218">
        <f t="shared" si="5"/>
        <v>1044136.88</v>
      </c>
      <c r="Z15" s="218">
        <f t="shared" si="6"/>
        <v>2379136.88</v>
      </c>
    </row>
    <row r="16" spans="1:26" ht="15">
      <c r="A16" s="201">
        <f t="shared" si="0"/>
        <v>2016</v>
      </c>
      <c r="B16" s="196">
        <v>525000</v>
      </c>
      <c r="C16" s="196">
        <v>442542.5</v>
      </c>
      <c r="D16" s="239">
        <v>967542.5</v>
      </c>
      <c r="E16" s="190"/>
      <c r="F16" s="190"/>
      <c r="G16" s="199"/>
      <c r="H16" s="199"/>
      <c r="I16" s="212"/>
      <c r="J16" s="191">
        <v>635000</v>
      </c>
      <c r="K16" s="192">
        <v>662981.26</v>
      </c>
      <c r="L16" s="209">
        <v>1297981.26</v>
      </c>
      <c r="M16" s="205">
        <v>235000</v>
      </c>
      <c r="N16" s="58">
        <v>924850</v>
      </c>
      <c r="O16" s="209">
        <f t="shared" si="1"/>
        <v>1159850</v>
      </c>
      <c r="P16" s="235">
        <f t="shared" si="2"/>
        <v>3425373.76</v>
      </c>
      <c r="Q16" s="212"/>
      <c r="R16" s="219">
        <f t="shared" si="3"/>
        <v>2030373.76</v>
      </c>
      <c r="S16" s="216"/>
      <c r="T16" s="212"/>
      <c r="U16" s="212"/>
      <c r="V16" s="212"/>
      <c r="W16" s="212"/>
      <c r="X16" s="218">
        <f t="shared" si="4"/>
        <v>1395000</v>
      </c>
      <c r="Y16" s="218">
        <f t="shared" si="5"/>
        <v>1015186.88</v>
      </c>
      <c r="Z16" s="218">
        <f t="shared" si="6"/>
        <v>2410186.88</v>
      </c>
    </row>
    <row r="17" spans="1:26" ht="15">
      <c r="A17" s="201">
        <f t="shared" si="0"/>
        <v>2017</v>
      </c>
      <c r="B17" s="196">
        <v>555000</v>
      </c>
      <c r="C17" s="196">
        <v>416817.5</v>
      </c>
      <c r="D17" s="239">
        <v>971817.5</v>
      </c>
      <c r="E17" s="190"/>
      <c r="F17" s="190"/>
      <c r="G17" s="199"/>
      <c r="H17" s="199"/>
      <c r="I17" s="212"/>
      <c r="J17" s="191">
        <v>660000</v>
      </c>
      <c r="K17" s="192">
        <v>637581.26</v>
      </c>
      <c r="L17" s="209">
        <v>1297581.26</v>
      </c>
      <c r="M17" s="205">
        <v>245000</v>
      </c>
      <c r="N17" s="58">
        <v>913100</v>
      </c>
      <c r="O17" s="209">
        <f t="shared" si="1"/>
        <v>1158100</v>
      </c>
      <c r="P17" s="235">
        <f t="shared" si="2"/>
        <v>3427498.76</v>
      </c>
      <c r="Q17" s="212"/>
      <c r="R17" s="219">
        <f t="shared" si="3"/>
        <v>1967498.76</v>
      </c>
      <c r="S17" s="216"/>
      <c r="T17" s="212"/>
      <c r="U17" s="212"/>
      <c r="V17" s="212"/>
      <c r="W17" s="212"/>
      <c r="X17" s="218">
        <f t="shared" si="4"/>
        <v>1460000</v>
      </c>
      <c r="Y17" s="218">
        <f t="shared" si="5"/>
        <v>983749.38</v>
      </c>
      <c r="Z17" s="218">
        <f t="shared" si="6"/>
        <v>2443749.38</v>
      </c>
    </row>
    <row r="18" spans="1:26" ht="15">
      <c r="A18" s="201">
        <f t="shared" si="0"/>
        <v>2018</v>
      </c>
      <c r="B18" s="196">
        <v>580000</v>
      </c>
      <c r="C18" s="196">
        <v>389622.5</v>
      </c>
      <c r="D18" s="239">
        <v>969622.5</v>
      </c>
      <c r="E18" s="190"/>
      <c r="F18" s="190"/>
      <c r="G18" s="199"/>
      <c r="H18" s="199"/>
      <c r="I18" s="212"/>
      <c r="J18" s="191">
        <v>685000</v>
      </c>
      <c r="K18" s="192">
        <v>610356.26</v>
      </c>
      <c r="L18" s="209">
        <v>1295356.26</v>
      </c>
      <c r="M18" s="205">
        <v>260000</v>
      </c>
      <c r="N18" s="58">
        <v>900850</v>
      </c>
      <c r="O18" s="209">
        <f t="shared" si="1"/>
        <v>1160850</v>
      </c>
      <c r="P18" s="235">
        <f t="shared" si="2"/>
        <v>3425828.76</v>
      </c>
      <c r="Q18" s="212"/>
      <c r="R18" s="219">
        <f t="shared" si="3"/>
        <v>1900828.76</v>
      </c>
      <c r="S18" s="216"/>
      <c r="T18" s="212"/>
      <c r="U18" s="212"/>
      <c r="V18" s="212"/>
      <c r="W18" s="212"/>
      <c r="X18" s="218">
        <f t="shared" si="4"/>
        <v>1525000</v>
      </c>
      <c r="Y18" s="218">
        <f t="shared" si="5"/>
        <v>950414.38</v>
      </c>
      <c r="Z18" s="218">
        <f t="shared" si="6"/>
        <v>2475414.38</v>
      </c>
    </row>
    <row r="19" spans="1:26" ht="15">
      <c r="A19" s="201">
        <f t="shared" si="0"/>
        <v>2019</v>
      </c>
      <c r="B19" s="196">
        <v>610000</v>
      </c>
      <c r="C19" s="196">
        <v>361202.5</v>
      </c>
      <c r="D19" s="239">
        <v>971202.5</v>
      </c>
      <c r="E19" s="190"/>
      <c r="F19" s="190"/>
      <c r="G19" s="199"/>
      <c r="H19" s="199"/>
      <c r="I19" s="212"/>
      <c r="J19" s="191">
        <v>715000</v>
      </c>
      <c r="K19" s="192">
        <v>581243.76</v>
      </c>
      <c r="L19" s="209">
        <v>1296243.76</v>
      </c>
      <c r="M19" s="205">
        <v>270000</v>
      </c>
      <c r="N19" s="58">
        <v>887850</v>
      </c>
      <c r="O19" s="209">
        <f t="shared" si="1"/>
        <v>1157850</v>
      </c>
      <c r="P19" s="235">
        <f t="shared" si="2"/>
        <v>3425296.26</v>
      </c>
      <c r="Q19" s="212"/>
      <c r="R19" s="219">
        <f t="shared" si="3"/>
        <v>1830296.26</v>
      </c>
      <c r="S19" s="216"/>
      <c r="T19" s="212"/>
      <c r="U19" s="212"/>
      <c r="V19" s="212"/>
      <c r="W19" s="212"/>
      <c r="X19" s="218">
        <f t="shared" si="4"/>
        <v>1595000</v>
      </c>
      <c r="Y19" s="218">
        <f t="shared" si="5"/>
        <v>915148.13</v>
      </c>
      <c r="Z19" s="218">
        <f t="shared" si="6"/>
        <v>2510148.13</v>
      </c>
    </row>
    <row r="20" spans="1:26" ht="15">
      <c r="A20" s="201">
        <f t="shared" si="0"/>
        <v>2020</v>
      </c>
      <c r="B20" s="196">
        <v>640000</v>
      </c>
      <c r="C20" s="196">
        <v>331312.5</v>
      </c>
      <c r="D20" s="239">
        <v>971312.5</v>
      </c>
      <c r="E20" s="190"/>
      <c r="F20" s="190"/>
      <c r="G20" s="199"/>
      <c r="H20" s="199"/>
      <c r="I20" s="212"/>
      <c r="J20" s="191">
        <v>745000</v>
      </c>
      <c r="K20" s="192">
        <v>550856.26</v>
      </c>
      <c r="L20" s="209">
        <v>1295856.26</v>
      </c>
      <c r="M20" s="205">
        <v>285000</v>
      </c>
      <c r="N20" s="58">
        <v>874350</v>
      </c>
      <c r="O20" s="209">
        <f t="shared" si="1"/>
        <v>1159350</v>
      </c>
      <c r="P20" s="235">
        <f t="shared" si="2"/>
        <v>3426518.76</v>
      </c>
      <c r="Q20" s="212"/>
      <c r="R20" s="219">
        <f t="shared" si="3"/>
        <v>1756518.76</v>
      </c>
      <c r="S20" s="216"/>
      <c r="T20" s="212"/>
      <c r="U20" s="212"/>
      <c r="V20" s="212"/>
      <c r="W20" s="212"/>
      <c r="X20" s="218">
        <f t="shared" si="4"/>
        <v>1670000</v>
      </c>
      <c r="Y20" s="218">
        <f t="shared" si="5"/>
        <v>878259.38</v>
      </c>
      <c r="Z20" s="218">
        <f t="shared" si="6"/>
        <v>2548259.38</v>
      </c>
    </row>
    <row r="21" spans="1:26" ht="15">
      <c r="A21" s="201">
        <f t="shared" si="0"/>
        <v>2021</v>
      </c>
      <c r="B21" s="196">
        <v>670000</v>
      </c>
      <c r="C21" s="196">
        <v>300912.5</v>
      </c>
      <c r="D21" s="239">
        <v>970912.5</v>
      </c>
      <c r="E21" s="190"/>
      <c r="F21" s="190"/>
      <c r="G21" s="199"/>
      <c r="H21" s="199"/>
      <c r="I21" s="212"/>
      <c r="J21" s="191">
        <v>780000</v>
      </c>
      <c r="K21" s="192">
        <v>518262.52</v>
      </c>
      <c r="L21" s="209">
        <v>1298262.52</v>
      </c>
      <c r="M21" s="205">
        <v>300000</v>
      </c>
      <c r="N21" s="58">
        <v>858675</v>
      </c>
      <c r="O21" s="209">
        <f t="shared" si="1"/>
        <v>1158675</v>
      </c>
      <c r="P21" s="235">
        <f t="shared" si="2"/>
        <v>3427850.02</v>
      </c>
      <c r="Q21" s="212"/>
      <c r="R21" s="219">
        <f t="shared" si="3"/>
        <v>1677850.02</v>
      </c>
      <c r="S21" s="216"/>
      <c r="T21" s="212"/>
      <c r="U21" s="212"/>
      <c r="V21" s="212"/>
      <c r="W21" s="212"/>
      <c r="X21" s="218">
        <f t="shared" si="4"/>
        <v>1750000</v>
      </c>
      <c r="Y21" s="218">
        <f t="shared" si="5"/>
        <v>838925.01</v>
      </c>
      <c r="Z21" s="218">
        <f t="shared" si="6"/>
        <v>2588925.01</v>
      </c>
    </row>
    <row r="22" spans="1:26" ht="15">
      <c r="A22" s="201">
        <f t="shared" si="0"/>
        <v>2022</v>
      </c>
      <c r="B22" s="196">
        <v>700000</v>
      </c>
      <c r="C22" s="196">
        <v>269087.5</v>
      </c>
      <c r="D22" s="239">
        <v>969087.5</v>
      </c>
      <c r="E22" s="190"/>
      <c r="F22" s="190"/>
      <c r="G22" s="199"/>
      <c r="H22" s="199"/>
      <c r="I22" s="212"/>
      <c r="J22" s="191">
        <v>810000</v>
      </c>
      <c r="K22" s="192">
        <v>484137.5</v>
      </c>
      <c r="L22" s="209">
        <v>1294137.5</v>
      </c>
      <c r="M22" s="205">
        <v>315000</v>
      </c>
      <c r="N22" s="58">
        <v>842175</v>
      </c>
      <c r="O22" s="209">
        <f t="shared" si="1"/>
        <v>1157175</v>
      </c>
      <c r="P22" s="235">
        <f t="shared" si="2"/>
        <v>3420400</v>
      </c>
      <c r="Q22" s="212"/>
      <c r="R22" s="219">
        <f t="shared" si="3"/>
        <v>1595400</v>
      </c>
      <c r="S22" s="216"/>
      <c r="T22" s="212"/>
      <c r="U22" s="212"/>
      <c r="V22" s="212"/>
      <c r="W22" s="212"/>
      <c r="X22" s="218">
        <f t="shared" si="4"/>
        <v>1825000</v>
      </c>
      <c r="Y22" s="218">
        <f t="shared" si="5"/>
        <v>797700</v>
      </c>
      <c r="Z22" s="218">
        <f t="shared" si="6"/>
        <v>2622700</v>
      </c>
    </row>
    <row r="23" spans="1:26" ht="15">
      <c r="A23" s="201">
        <f t="shared" si="0"/>
        <v>2023</v>
      </c>
      <c r="B23" s="196">
        <v>735000</v>
      </c>
      <c r="C23" s="196">
        <v>235837.5</v>
      </c>
      <c r="D23" s="239">
        <v>970837.5</v>
      </c>
      <c r="E23" s="190"/>
      <c r="F23" s="190"/>
      <c r="G23" s="199"/>
      <c r="H23" s="199"/>
      <c r="I23" s="212"/>
      <c r="J23" s="191">
        <v>850000</v>
      </c>
      <c r="K23" s="192">
        <v>448700</v>
      </c>
      <c r="L23" s="209">
        <v>1298700</v>
      </c>
      <c r="M23" s="205">
        <v>335000</v>
      </c>
      <c r="N23" s="58">
        <v>823275</v>
      </c>
      <c r="O23" s="209">
        <f t="shared" si="1"/>
        <v>1158275</v>
      </c>
      <c r="P23" s="235">
        <f t="shared" si="2"/>
        <v>3427812.5</v>
      </c>
      <c r="Q23" s="212"/>
      <c r="R23" s="219">
        <f t="shared" si="3"/>
        <v>1507812.5</v>
      </c>
      <c r="S23" s="216"/>
      <c r="T23" s="212"/>
      <c r="U23" s="212"/>
      <c r="V23" s="212"/>
      <c r="W23" s="212"/>
      <c r="X23" s="218">
        <f t="shared" si="4"/>
        <v>1920000</v>
      </c>
      <c r="Y23" s="218">
        <f t="shared" si="5"/>
        <v>753906.25</v>
      </c>
      <c r="Z23" s="218">
        <f t="shared" si="6"/>
        <v>2673906.25</v>
      </c>
    </row>
    <row r="24" spans="1:26" ht="15">
      <c r="A24" s="201">
        <f t="shared" si="0"/>
        <v>2024</v>
      </c>
      <c r="B24" s="196">
        <v>770000</v>
      </c>
      <c r="C24" s="196">
        <v>200925</v>
      </c>
      <c r="D24" s="239">
        <v>970925</v>
      </c>
      <c r="E24" s="190"/>
      <c r="F24" s="190"/>
      <c r="G24" s="199"/>
      <c r="H24" s="199"/>
      <c r="I24" s="212"/>
      <c r="J24" s="191">
        <v>885000</v>
      </c>
      <c r="K24" s="192">
        <v>410450</v>
      </c>
      <c r="L24" s="209">
        <v>1295450</v>
      </c>
      <c r="M24" s="205">
        <v>355000</v>
      </c>
      <c r="N24" s="58">
        <v>803175</v>
      </c>
      <c r="O24" s="209">
        <f t="shared" si="1"/>
        <v>1158175</v>
      </c>
      <c r="P24" s="235">
        <f t="shared" si="2"/>
        <v>3424550</v>
      </c>
      <c r="Q24" s="212"/>
      <c r="R24" s="219">
        <f t="shared" si="3"/>
        <v>1414550</v>
      </c>
      <c r="S24" s="216"/>
      <c r="T24" s="212"/>
      <c r="U24" s="212"/>
      <c r="V24" s="212"/>
      <c r="W24" s="212"/>
      <c r="X24" s="218">
        <f t="shared" si="4"/>
        <v>2010000</v>
      </c>
      <c r="Y24" s="218">
        <f t="shared" si="5"/>
        <v>707275</v>
      </c>
      <c r="Z24" s="218">
        <f t="shared" si="6"/>
        <v>2717275</v>
      </c>
    </row>
    <row r="25" spans="1:26" ht="15">
      <c r="A25" s="201">
        <f t="shared" si="0"/>
        <v>2025</v>
      </c>
      <c r="B25" s="196">
        <v>805000</v>
      </c>
      <c r="C25" s="196">
        <v>164350</v>
      </c>
      <c r="D25" s="239">
        <v>969350</v>
      </c>
      <c r="E25" s="190"/>
      <c r="F25" s="190"/>
      <c r="G25" s="199"/>
      <c r="H25" s="199"/>
      <c r="I25" s="212"/>
      <c r="J25" s="191">
        <v>925000</v>
      </c>
      <c r="K25" s="192">
        <v>370625</v>
      </c>
      <c r="L25" s="209">
        <v>1295625</v>
      </c>
      <c r="M25" s="205">
        <v>380000</v>
      </c>
      <c r="N25" s="58">
        <v>781875</v>
      </c>
      <c r="O25" s="209">
        <f t="shared" si="1"/>
        <v>1161875</v>
      </c>
      <c r="P25" s="235">
        <f t="shared" si="2"/>
        <v>3426850</v>
      </c>
      <c r="Q25" s="212"/>
      <c r="R25" s="219">
        <f t="shared" si="3"/>
        <v>1316850</v>
      </c>
      <c r="S25" s="216"/>
      <c r="T25" s="212"/>
      <c r="U25" s="212"/>
      <c r="V25" s="212"/>
      <c r="W25" s="212"/>
      <c r="X25" s="218">
        <f t="shared" si="4"/>
        <v>2110000</v>
      </c>
      <c r="Y25" s="218">
        <f t="shared" si="5"/>
        <v>658425</v>
      </c>
      <c r="Z25" s="218">
        <f t="shared" si="6"/>
        <v>2768425</v>
      </c>
    </row>
    <row r="26" spans="1:26" ht="15">
      <c r="A26" s="201">
        <f t="shared" si="0"/>
        <v>2026</v>
      </c>
      <c r="B26" s="196">
        <v>845000</v>
      </c>
      <c r="C26" s="196">
        <v>126112.5</v>
      </c>
      <c r="D26" s="239">
        <v>971112.5</v>
      </c>
      <c r="E26" s="190"/>
      <c r="F26" s="190"/>
      <c r="G26" s="199"/>
      <c r="H26" s="199"/>
      <c r="I26" s="212"/>
      <c r="J26" s="191">
        <v>970000</v>
      </c>
      <c r="K26" s="192">
        <v>329000</v>
      </c>
      <c r="L26" s="209">
        <v>1299000</v>
      </c>
      <c r="M26" s="205">
        <v>400000</v>
      </c>
      <c r="N26" s="58">
        <v>759075</v>
      </c>
      <c r="O26" s="209">
        <f t="shared" si="1"/>
        <v>1159075</v>
      </c>
      <c r="P26" s="235">
        <f t="shared" si="2"/>
        <v>3429187.5</v>
      </c>
      <c r="Q26" s="212"/>
      <c r="R26" s="219">
        <f t="shared" si="3"/>
        <v>1214187.5</v>
      </c>
      <c r="S26" s="216"/>
      <c r="T26" s="212"/>
      <c r="U26" s="212"/>
      <c r="V26" s="212"/>
      <c r="W26" s="212"/>
      <c r="X26" s="218">
        <f t="shared" si="4"/>
        <v>2215000</v>
      </c>
      <c r="Y26" s="218">
        <f t="shared" si="5"/>
        <v>607093.75</v>
      </c>
      <c r="Z26" s="218">
        <f t="shared" si="6"/>
        <v>2822093.75</v>
      </c>
    </row>
    <row r="27" spans="1:26" ht="15">
      <c r="A27" s="201">
        <f t="shared" si="0"/>
        <v>2027</v>
      </c>
      <c r="B27" s="196">
        <v>885000</v>
      </c>
      <c r="C27" s="196">
        <v>85975</v>
      </c>
      <c r="D27" s="239">
        <v>970975</v>
      </c>
      <c r="E27" s="190"/>
      <c r="F27" s="190"/>
      <c r="G27" s="199"/>
      <c r="H27" s="199"/>
      <c r="I27" s="212"/>
      <c r="J27" s="191">
        <v>1015000</v>
      </c>
      <c r="K27" s="192">
        <v>280500</v>
      </c>
      <c r="L27" s="209">
        <v>1295500</v>
      </c>
      <c r="M27" s="205">
        <v>425000</v>
      </c>
      <c r="N27" s="58">
        <v>733075</v>
      </c>
      <c r="O27" s="209">
        <f t="shared" si="1"/>
        <v>1158075</v>
      </c>
      <c r="P27" s="235">
        <f t="shared" si="2"/>
        <v>3424550</v>
      </c>
      <c r="Q27" s="212"/>
      <c r="R27" s="219">
        <f t="shared" si="3"/>
        <v>1099550</v>
      </c>
      <c r="S27" s="216"/>
      <c r="T27" s="212"/>
      <c r="U27" s="212"/>
      <c r="V27" s="212"/>
      <c r="W27" s="212"/>
      <c r="X27" s="218">
        <f t="shared" si="4"/>
        <v>2325000</v>
      </c>
      <c r="Y27" s="218">
        <f t="shared" si="5"/>
        <v>549775</v>
      </c>
      <c r="Z27" s="218">
        <f t="shared" si="6"/>
        <v>2874775</v>
      </c>
    </row>
    <row r="28" spans="1:26" ht="15">
      <c r="A28" s="201">
        <f t="shared" si="0"/>
        <v>2028</v>
      </c>
      <c r="B28" s="196">
        <v>925000</v>
      </c>
      <c r="C28" s="196">
        <v>43937.5</v>
      </c>
      <c r="D28" s="239">
        <v>968937.5</v>
      </c>
      <c r="E28" s="190"/>
      <c r="F28" s="190"/>
      <c r="G28" s="199"/>
      <c r="H28" s="199"/>
      <c r="I28" s="212"/>
      <c r="J28" s="191">
        <v>1065000</v>
      </c>
      <c r="K28" s="192">
        <v>229750</v>
      </c>
      <c r="L28" s="209">
        <v>1294750</v>
      </c>
      <c r="M28" s="205">
        <v>455000</v>
      </c>
      <c r="N28" s="58">
        <v>705450</v>
      </c>
      <c r="O28" s="209">
        <f t="shared" si="1"/>
        <v>1160450</v>
      </c>
      <c r="P28" s="235">
        <f t="shared" si="2"/>
        <v>3424137.5</v>
      </c>
      <c r="Q28" s="212"/>
      <c r="R28" s="219">
        <f t="shared" si="3"/>
        <v>979137.5</v>
      </c>
      <c r="S28" s="216"/>
      <c r="T28" s="212"/>
      <c r="U28" s="212"/>
      <c r="V28" s="212"/>
      <c r="W28" s="212"/>
      <c r="X28" s="218">
        <f t="shared" si="4"/>
        <v>2445000</v>
      </c>
      <c r="Y28" s="218">
        <f t="shared" si="5"/>
        <v>489568.75</v>
      </c>
      <c r="Z28" s="218">
        <f t="shared" si="6"/>
        <v>2934568.75</v>
      </c>
    </row>
    <row r="29" spans="1:26" ht="15">
      <c r="A29" s="201">
        <f t="shared" si="0"/>
        <v>2029</v>
      </c>
      <c r="B29" s="196"/>
      <c r="C29" s="196"/>
      <c r="D29" s="240"/>
      <c r="E29" s="190"/>
      <c r="F29" s="190"/>
      <c r="G29" s="199"/>
      <c r="H29" s="199"/>
      <c r="I29" s="212"/>
      <c r="J29" s="191">
        <v>1120000</v>
      </c>
      <c r="K29" s="192">
        <v>176500</v>
      </c>
      <c r="L29" s="209">
        <v>1296500</v>
      </c>
      <c r="M29" s="205">
        <v>485000</v>
      </c>
      <c r="N29" s="58">
        <v>675875</v>
      </c>
      <c r="O29" s="209">
        <f t="shared" si="1"/>
        <v>1160875</v>
      </c>
      <c r="P29" s="235">
        <f t="shared" si="2"/>
        <v>2457375</v>
      </c>
      <c r="Q29" s="212"/>
      <c r="R29" s="219">
        <f t="shared" si="3"/>
        <v>852375</v>
      </c>
      <c r="S29" s="216"/>
      <c r="T29" s="212"/>
      <c r="U29" s="212"/>
      <c r="V29" s="212"/>
      <c r="W29" s="212"/>
      <c r="X29" s="218">
        <f t="shared" si="4"/>
        <v>1605000</v>
      </c>
      <c r="Y29" s="218">
        <f t="shared" si="5"/>
        <v>426187.5</v>
      </c>
      <c r="Z29" s="218">
        <f t="shared" si="6"/>
        <v>2031187.5</v>
      </c>
    </row>
    <row r="30" spans="1:26" ht="15">
      <c r="A30" s="201">
        <f t="shared" si="0"/>
        <v>2030</v>
      </c>
      <c r="B30" s="196"/>
      <c r="C30" s="196"/>
      <c r="D30" s="240"/>
      <c r="E30" s="190"/>
      <c r="F30" s="190"/>
      <c r="G30" s="199"/>
      <c r="H30" s="199"/>
      <c r="I30" s="212"/>
      <c r="J30" s="191">
        <v>1175000</v>
      </c>
      <c r="K30" s="192">
        <v>120500</v>
      </c>
      <c r="L30" s="209">
        <v>1295500</v>
      </c>
      <c r="M30" s="205">
        <v>515000</v>
      </c>
      <c r="N30" s="58">
        <v>644350</v>
      </c>
      <c r="O30" s="209">
        <f t="shared" si="1"/>
        <v>1159350</v>
      </c>
      <c r="P30" s="235">
        <f t="shared" si="2"/>
        <v>2454850</v>
      </c>
      <c r="Q30" s="212"/>
      <c r="R30" s="219">
        <f t="shared" si="3"/>
        <v>764850</v>
      </c>
      <c r="S30" s="216"/>
      <c r="T30" s="212"/>
      <c r="U30" s="212"/>
      <c r="V30" s="212"/>
      <c r="W30" s="212"/>
      <c r="X30" s="218">
        <f t="shared" si="4"/>
        <v>1690000</v>
      </c>
      <c r="Y30" s="218">
        <f t="shared" si="5"/>
        <v>382425</v>
      </c>
      <c r="Z30" s="218">
        <f t="shared" si="6"/>
        <v>2072425</v>
      </c>
    </row>
    <row r="31" spans="1:26" ht="15">
      <c r="A31" s="201">
        <f>A30+1</f>
        <v>2031</v>
      </c>
      <c r="B31" s="196"/>
      <c r="C31" s="196"/>
      <c r="D31" s="240"/>
      <c r="E31" s="190"/>
      <c r="F31" s="190"/>
      <c r="G31" s="199"/>
      <c r="H31" s="199"/>
      <c r="I31" s="212"/>
      <c r="J31" s="191">
        <v>1235000</v>
      </c>
      <c r="K31" s="192">
        <v>61750</v>
      </c>
      <c r="L31" s="209">
        <v>1296750</v>
      </c>
      <c r="M31" s="205">
        <v>550000</v>
      </c>
      <c r="N31" s="58">
        <v>608300</v>
      </c>
      <c r="O31" s="209">
        <f t="shared" si="1"/>
        <v>1158300</v>
      </c>
      <c r="P31" s="235">
        <f t="shared" si="2"/>
        <v>2455050</v>
      </c>
      <c r="Q31" s="212"/>
      <c r="R31" s="219">
        <f t="shared" si="3"/>
        <v>670050</v>
      </c>
      <c r="S31" s="216"/>
      <c r="T31" s="212"/>
      <c r="U31" s="212"/>
      <c r="V31" s="212"/>
      <c r="W31" s="212"/>
      <c r="X31" s="218">
        <f t="shared" si="4"/>
        <v>1785000</v>
      </c>
      <c r="Y31" s="218">
        <f t="shared" si="5"/>
        <v>335025</v>
      </c>
      <c r="Z31" s="218">
        <f t="shared" si="6"/>
        <v>2120025</v>
      </c>
    </row>
    <row r="32" spans="1:26" ht="15">
      <c r="A32" s="201">
        <f aca="true" t="shared" si="7" ref="A32:A39">A31+1</f>
        <v>2032</v>
      </c>
      <c r="B32" s="196"/>
      <c r="C32" s="196"/>
      <c r="D32" s="240"/>
      <c r="E32" s="190"/>
      <c r="F32" s="190"/>
      <c r="G32" s="199"/>
      <c r="H32" s="199"/>
      <c r="I32" s="212"/>
      <c r="J32" s="191"/>
      <c r="K32" s="192"/>
      <c r="L32" s="209"/>
      <c r="M32" s="205">
        <v>590000</v>
      </c>
      <c r="N32" s="233">
        <v>569800</v>
      </c>
      <c r="O32" s="209">
        <f t="shared" si="1"/>
        <v>1159800</v>
      </c>
      <c r="P32" s="235">
        <f t="shared" si="2"/>
        <v>1159800</v>
      </c>
      <c r="Q32" s="216"/>
      <c r="R32" s="219">
        <f t="shared" si="3"/>
        <v>569800</v>
      </c>
      <c r="S32" s="212"/>
      <c r="T32" s="212"/>
      <c r="U32" s="212"/>
      <c r="V32" s="212"/>
      <c r="W32" s="218"/>
      <c r="X32" s="218">
        <f t="shared" si="4"/>
        <v>590000</v>
      </c>
      <c r="Y32" s="218">
        <f t="shared" si="5"/>
        <v>284900</v>
      </c>
      <c r="Z32" s="218">
        <f t="shared" si="6"/>
        <v>874900</v>
      </c>
    </row>
    <row r="33" spans="1:26" ht="15">
      <c r="A33" s="201">
        <f t="shared" si="7"/>
        <v>2033</v>
      </c>
      <c r="B33" s="196"/>
      <c r="C33" s="196"/>
      <c r="D33" s="240"/>
      <c r="E33" s="190"/>
      <c r="F33" s="190"/>
      <c r="G33" s="199"/>
      <c r="H33" s="199"/>
      <c r="I33" s="212"/>
      <c r="J33" s="191"/>
      <c r="K33" s="192"/>
      <c r="L33" s="209"/>
      <c r="M33" s="205">
        <v>630000</v>
      </c>
      <c r="N33" s="233">
        <v>528500</v>
      </c>
      <c r="O33" s="209">
        <f t="shared" si="1"/>
        <v>1158500</v>
      </c>
      <c r="P33" s="235">
        <f t="shared" si="2"/>
        <v>1158500</v>
      </c>
      <c r="Q33" s="216"/>
      <c r="R33" s="219">
        <f t="shared" si="3"/>
        <v>528500</v>
      </c>
      <c r="S33" s="212"/>
      <c r="T33" s="212"/>
      <c r="U33" s="212"/>
      <c r="V33" s="212"/>
      <c r="W33" s="218"/>
      <c r="X33" s="218">
        <f t="shared" si="4"/>
        <v>630000</v>
      </c>
      <c r="Y33" s="218">
        <f t="shared" si="5"/>
        <v>264250</v>
      </c>
      <c r="Z33" s="218">
        <f t="shared" si="6"/>
        <v>894250</v>
      </c>
    </row>
    <row r="34" spans="1:26" ht="15">
      <c r="A34" s="201">
        <f t="shared" si="7"/>
        <v>2034</v>
      </c>
      <c r="B34" s="196"/>
      <c r="C34" s="196"/>
      <c r="D34" s="240"/>
      <c r="E34" s="190"/>
      <c r="F34" s="190"/>
      <c r="G34" s="199"/>
      <c r="H34" s="199"/>
      <c r="I34" s="212"/>
      <c r="J34" s="191"/>
      <c r="K34" s="192"/>
      <c r="L34" s="209"/>
      <c r="M34" s="205">
        <v>675000</v>
      </c>
      <c r="N34" s="233">
        <v>484400</v>
      </c>
      <c r="O34" s="209">
        <f t="shared" si="1"/>
        <v>1159400</v>
      </c>
      <c r="P34" s="235">
        <f t="shared" si="2"/>
        <v>1159400</v>
      </c>
      <c r="Q34" s="216"/>
      <c r="R34" s="219">
        <f t="shared" si="3"/>
        <v>484400</v>
      </c>
      <c r="S34" s="212"/>
      <c r="T34" s="212"/>
      <c r="U34" s="212"/>
      <c r="V34" s="212"/>
      <c r="W34" s="218"/>
      <c r="X34" s="218">
        <f t="shared" si="4"/>
        <v>675000</v>
      </c>
      <c r="Y34" s="218">
        <f t="shared" si="5"/>
        <v>242200</v>
      </c>
      <c r="Z34" s="218">
        <f t="shared" si="6"/>
        <v>917200</v>
      </c>
    </row>
    <row r="35" spans="1:26" ht="15">
      <c r="A35" s="201">
        <f t="shared" si="7"/>
        <v>2035</v>
      </c>
      <c r="B35" s="196"/>
      <c r="C35" s="196"/>
      <c r="D35" s="240"/>
      <c r="E35" s="190"/>
      <c r="F35" s="190"/>
      <c r="G35" s="199"/>
      <c r="H35" s="199"/>
      <c r="I35" s="212"/>
      <c r="J35" s="191"/>
      <c r="K35" s="192"/>
      <c r="L35" s="209"/>
      <c r="M35" s="205">
        <v>720000</v>
      </c>
      <c r="N35" s="233">
        <v>437150</v>
      </c>
      <c r="O35" s="209">
        <f t="shared" si="1"/>
        <v>1157150</v>
      </c>
      <c r="P35" s="235">
        <f t="shared" si="2"/>
        <v>1157150</v>
      </c>
      <c r="Q35" s="216"/>
      <c r="R35" s="219">
        <f t="shared" si="3"/>
        <v>437150</v>
      </c>
      <c r="S35" s="212"/>
      <c r="T35" s="212"/>
      <c r="U35" s="212"/>
      <c r="V35" s="212"/>
      <c r="W35" s="218"/>
      <c r="X35" s="218">
        <f t="shared" si="4"/>
        <v>720000</v>
      </c>
      <c r="Y35" s="218">
        <f t="shared" si="5"/>
        <v>218575</v>
      </c>
      <c r="Z35" s="218">
        <f t="shared" si="6"/>
        <v>938575</v>
      </c>
    </row>
    <row r="36" spans="1:26" ht="15">
      <c r="A36" s="201">
        <f t="shared" si="7"/>
        <v>2036</v>
      </c>
      <c r="B36" s="196"/>
      <c r="C36" s="196"/>
      <c r="D36" s="240"/>
      <c r="E36" s="190"/>
      <c r="F36" s="190"/>
      <c r="G36" s="199"/>
      <c r="H36" s="199"/>
      <c r="I36" s="212"/>
      <c r="J36" s="191"/>
      <c r="K36" s="192"/>
      <c r="L36" s="209"/>
      <c r="M36" s="205">
        <v>775000</v>
      </c>
      <c r="N36" s="233">
        <v>386750</v>
      </c>
      <c r="O36" s="209">
        <f t="shared" si="1"/>
        <v>1161750</v>
      </c>
      <c r="P36" s="235">
        <f t="shared" si="2"/>
        <v>1161750</v>
      </c>
      <c r="Q36" s="216"/>
      <c r="R36" s="219">
        <f t="shared" si="3"/>
        <v>386750</v>
      </c>
      <c r="S36" s="212"/>
      <c r="T36" s="212"/>
      <c r="U36" s="212"/>
      <c r="V36" s="212"/>
      <c r="W36" s="218"/>
      <c r="X36" s="218">
        <f t="shared" si="4"/>
        <v>775000</v>
      </c>
      <c r="Y36" s="218">
        <f t="shared" si="5"/>
        <v>193375</v>
      </c>
      <c r="Z36" s="218">
        <f t="shared" si="6"/>
        <v>968375</v>
      </c>
    </row>
    <row r="37" spans="1:26" ht="15">
      <c r="A37" s="201">
        <f t="shared" si="7"/>
        <v>2037</v>
      </c>
      <c r="B37" s="196"/>
      <c r="C37" s="196"/>
      <c r="D37" s="240"/>
      <c r="E37" s="190"/>
      <c r="F37" s="190"/>
      <c r="G37" s="199"/>
      <c r="H37" s="199"/>
      <c r="I37" s="212"/>
      <c r="J37" s="191"/>
      <c r="K37" s="192"/>
      <c r="L37" s="209"/>
      <c r="M37" s="205">
        <v>825000</v>
      </c>
      <c r="N37" s="233">
        <v>332500</v>
      </c>
      <c r="O37" s="209">
        <f t="shared" si="1"/>
        <v>1157500</v>
      </c>
      <c r="P37" s="235">
        <f t="shared" si="2"/>
        <v>1157500</v>
      </c>
      <c r="Q37" s="216"/>
      <c r="R37" s="219">
        <f t="shared" si="3"/>
        <v>332500</v>
      </c>
      <c r="S37" s="212"/>
      <c r="T37" s="212"/>
      <c r="U37" s="212"/>
      <c r="V37" s="212"/>
      <c r="W37" s="218"/>
      <c r="X37" s="218">
        <f t="shared" si="4"/>
        <v>825000</v>
      </c>
      <c r="Y37" s="218">
        <f t="shared" si="5"/>
        <v>166250</v>
      </c>
      <c r="Z37" s="218">
        <f t="shared" si="6"/>
        <v>991250</v>
      </c>
    </row>
    <row r="38" spans="1:26" ht="15">
      <c r="A38" s="201">
        <f t="shared" si="7"/>
        <v>2038</v>
      </c>
      <c r="B38" s="196"/>
      <c r="C38" s="196"/>
      <c r="D38" s="240"/>
      <c r="E38" s="190"/>
      <c r="F38" s="190"/>
      <c r="G38" s="199"/>
      <c r="H38" s="199"/>
      <c r="I38" s="212"/>
      <c r="J38" s="191"/>
      <c r="K38" s="192"/>
      <c r="L38" s="209"/>
      <c r="M38" s="205">
        <v>885000</v>
      </c>
      <c r="N38" s="233">
        <v>274750</v>
      </c>
      <c r="O38" s="209">
        <f t="shared" si="1"/>
        <v>1159750</v>
      </c>
      <c r="P38" s="235">
        <f t="shared" si="2"/>
        <v>1159750</v>
      </c>
      <c r="Q38" s="216"/>
      <c r="R38" s="219">
        <f t="shared" si="3"/>
        <v>274750</v>
      </c>
      <c r="S38" s="212"/>
      <c r="T38" s="212"/>
      <c r="U38" s="212"/>
      <c r="V38" s="212"/>
      <c r="W38" s="218"/>
      <c r="X38" s="218">
        <f t="shared" si="4"/>
        <v>885000</v>
      </c>
      <c r="Y38" s="218">
        <f t="shared" si="5"/>
        <v>137375</v>
      </c>
      <c r="Z38" s="218">
        <f t="shared" si="6"/>
        <v>1022375</v>
      </c>
    </row>
    <row r="39" spans="1:26" ht="15">
      <c r="A39" s="201">
        <f t="shared" si="7"/>
        <v>2039</v>
      </c>
      <c r="B39" s="265"/>
      <c r="C39" s="265"/>
      <c r="D39" s="266"/>
      <c r="E39" s="267"/>
      <c r="F39" s="267"/>
      <c r="G39" s="268"/>
      <c r="H39" s="268"/>
      <c r="I39" s="269"/>
      <c r="J39" s="270"/>
      <c r="K39" s="271"/>
      <c r="L39" s="272"/>
      <c r="M39" s="273">
        <v>945000</v>
      </c>
      <c r="N39" s="233">
        <v>212800</v>
      </c>
      <c r="O39" s="272">
        <f t="shared" si="1"/>
        <v>1157800</v>
      </c>
      <c r="P39" s="277">
        <f t="shared" si="2"/>
        <v>1157800</v>
      </c>
      <c r="Q39" s="276"/>
      <c r="R39" s="274">
        <f t="shared" si="3"/>
        <v>212800</v>
      </c>
      <c r="S39" s="269"/>
      <c r="T39" s="269"/>
      <c r="U39" s="269"/>
      <c r="V39" s="269"/>
      <c r="W39" s="275"/>
      <c r="X39" s="275">
        <f t="shared" si="4"/>
        <v>945000</v>
      </c>
      <c r="Y39" s="275">
        <f t="shared" si="5"/>
        <v>106400</v>
      </c>
      <c r="Z39" s="275">
        <f t="shared" si="6"/>
        <v>1051400</v>
      </c>
    </row>
    <row r="40" spans="1:26" ht="15">
      <c r="A40" s="201">
        <v>2040</v>
      </c>
      <c r="B40" s="265"/>
      <c r="C40" s="265"/>
      <c r="D40" s="266"/>
      <c r="E40" s="267"/>
      <c r="F40" s="267"/>
      <c r="G40" s="268"/>
      <c r="H40" s="268"/>
      <c r="I40" s="269"/>
      <c r="J40" s="270"/>
      <c r="K40" s="271"/>
      <c r="L40" s="272"/>
      <c r="M40" s="273">
        <v>1010000</v>
      </c>
      <c r="N40" s="233">
        <v>146650</v>
      </c>
      <c r="O40" s="272">
        <f t="shared" si="1"/>
        <v>1156650</v>
      </c>
      <c r="P40" s="235">
        <f t="shared" si="2"/>
        <v>1156650</v>
      </c>
      <c r="Q40" s="216"/>
      <c r="R40" s="274">
        <f t="shared" si="3"/>
        <v>146650</v>
      </c>
      <c r="S40" s="269"/>
      <c r="T40" s="269"/>
      <c r="U40" s="269"/>
      <c r="V40" s="269"/>
      <c r="W40" s="275"/>
      <c r="X40" s="275">
        <f t="shared" si="4"/>
        <v>1010000</v>
      </c>
      <c r="Y40" s="275">
        <f t="shared" si="5"/>
        <v>73325</v>
      </c>
      <c r="Z40" s="275">
        <f t="shared" si="6"/>
        <v>1083325</v>
      </c>
    </row>
    <row r="41" spans="1:26" ht="15">
      <c r="A41" s="201">
        <v>2041</v>
      </c>
      <c r="B41" s="245"/>
      <c r="C41" s="245"/>
      <c r="D41" s="246"/>
      <c r="E41" s="247"/>
      <c r="F41" s="247"/>
      <c r="G41" s="248"/>
      <c r="H41" s="248"/>
      <c r="I41" s="243"/>
      <c r="J41" s="249"/>
      <c r="K41" s="250"/>
      <c r="L41" s="251"/>
      <c r="M41" s="252">
        <v>1085000</v>
      </c>
      <c r="N41" s="253">
        <v>75950</v>
      </c>
      <c r="O41" s="251">
        <f t="shared" si="1"/>
        <v>1160950</v>
      </c>
      <c r="P41" s="254">
        <f t="shared" si="2"/>
        <v>1160950</v>
      </c>
      <c r="Q41" s="278"/>
      <c r="R41" s="242">
        <f t="shared" si="3"/>
        <v>75950</v>
      </c>
      <c r="S41" s="243"/>
      <c r="T41" s="243"/>
      <c r="U41" s="243"/>
      <c r="V41" s="243"/>
      <c r="W41" s="244"/>
      <c r="X41" s="244">
        <f t="shared" si="4"/>
        <v>1085000</v>
      </c>
      <c r="Y41" s="244">
        <f t="shared" si="5"/>
        <v>37975</v>
      </c>
      <c r="Z41" s="244">
        <f t="shared" si="6"/>
        <v>1122975</v>
      </c>
    </row>
    <row r="42" spans="1:26" ht="15.75" thickBot="1">
      <c r="A42" s="188" t="s">
        <v>47</v>
      </c>
      <c r="B42" s="198">
        <v>13360000</v>
      </c>
      <c r="C42" s="198">
        <v>8941035</v>
      </c>
      <c r="D42" s="237">
        <v>22301035</v>
      </c>
      <c r="E42" s="194">
        <v>990000</v>
      </c>
      <c r="F42" s="194">
        <v>486798.75</v>
      </c>
      <c r="G42" s="193">
        <v>1119810</v>
      </c>
      <c r="H42" s="193">
        <v>77223.49</v>
      </c>
      <c r="I42" s="221">
        <v>2179700.7299999995</v>
      </c>
      <c r="J42" s="194">
        <v>18290000</v>
      </c>
      <c r="K42" s="194">
        <v>13731523.899999999</v>
      </c>
      <c r="L42" s="237">
        <v>32021523.9</v>
      </c>
      <c r="M42" s="198">
        <f>SUM(M10:M41)</f>
        <v>15000000</v>
      </c>
      <c r="N42" s="198">
        <f>SUM(N10:N41)</f>
        <v>21895400</v>
      </c>
      <c r="O42" s="198">
        <f>SUM(O10:O41)</f>
        <v>36895400</v>
      </c>
      <c r="P42" s="195">
        <f>SUM(P6:P41)</f>
        <v>94594693.11999997</v>
      </c>
      <c r="Q42" s="212"/>
      <c r="R42" s="241">
        <f>SUM(R6:R41)</f>
        <v>47311681.870000005</v>
      </c>
      <c r="S42" s="241">
        <f>SUM(S6:S39)</f>
        <v>114363.24</v>
      </c>
      <c r="T42" s="241">
        <f>SUM(T6:T39)</f>
        <v>177999.69</v>
      </c>
      <c r="U42" s="241">
        <f>SUM(U6:U39)</f>
        <v>1904071.74</v>
      </c>
      <c r="V42" s="241">
        <f>SUM(V6:V39)</f>
        <v>1874086.19</v>
      </c>
      <c r="W42" s="241">
        <f>SUM(W6:W39)</f>
        <v>29985.550000000047</v>
      </c>
      <c r="X42" s="241">
        <f>SUM(X6:X41)</f>
        <v>47640000</v>
      </c>
      <c r="Y42" s="241">
        <f>SUM(Y6:Y41)</f>
        <v>21811773.830000006</v>
      </c>
      <c r="Z42" s="241">
        <f>SUM(Z6:Z41)</f>
        <v>68831773.82999998</v>
      </c>
    </row>
    <row r="43" spans="1:26" ht="15.75" thickTop="1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23">
      <selection activeCell="H34" sqref="H34"/>
    </sheetView>
  </sheetViews>
  <sheetFormatPr defaultColWidth="9.140625" defaultRowHeight="15"/>
  <cols>
    <col min="1" max="1" width="36.28125" style="0" customWidth="1"/>
    <col min="2" max="3" width="11.57421875" style="231" bestFit="1" customWidth="1"/>
    <col min="4" max="5" width="11.28125" style="231" bestFit="1" customWidth="1"/>
    <col min="6" max="6" width="14.57421875" style="0" bestFit="1" customWidth="1"/>
    <col min="7" max="7" width="11.7109375" style="0" bestFit="1" customWidth="1"/>
    <col min="8" max="9" width="12.57421875" style="0" customWidth="1"/>
    <col min="10" max="10" width="12.28125" style="0" bestFit="1" customWidth="1"/>
    <col min="11" max="11" width="12.421875" style="0" customWidth="1"/>
  </cols>
  <sheetData>
    <row r="1" spans="1:10" ht="23.25">
      <c r="A1" s="295" t="s">
        <v>397</v>
      </c>
      <c r="B1" s="295"/>
      <c r="C1" s="295"/>
      <c r="D1" s="295"/>
      <c r="E1" s="295"/>
      <c r="F1" s="295"/>
      <c r="G1" s="295"/>
      <c r="J1" t="s">
        <v>398</v>
      </c>
    </row>
    <row r="2" spans="1:7" ht="23.25">
      <c r="A2" s="291" t="s">
        <v>399</v>
      </c>
      <c r="B2" s="279"/>
      <c r="C2" s="279"/>
      <c r="D2" s="279"/>
      <c r="E2" s="279"/>
      <c r="F2" s="279"/>
      <c r="G2" s="279"/>
    </row>
    <row r="3" spans="1:7" ht="14.25" customHeight="1">
      <c r="A3" s="279"/>
      <c r="B3" s="283"/>
      <c r="C3" s="283"/>
      <c r="D3" s="283"/>
      <c r="E3" s="283"/>
      <c r="F3" s="279"/>
      <c r="G3" s="279"/>
    </row>
    <row r="4" spans="2:11" ht="15">
      <c r="B4" s="284" t="s">
        <v>388</v>
      </c>
      <c r="C4" s="284" t="s">
        <v>388</v>
      </c>
      <c r="D4" s="284" t="s">
        <v>388</v>
      </c>
      <c r="E4" s="284" t="s">
        <v>388</v>
      </c>
      <c r="F4" s="1" t="s">
        <v>388</v>
      </c>
      <c r="G4" s="1" t="s">
        <v>388</v>
      </c>
      <c r="H4" s="1" t="s">
        <v>388</v>
      </c>
      <c r="I4" s="1" t="s">
        <v>388</v>
      </c>
      <c r="J4" s="1" t="s">
        <v>388</v>
      </c>
      <c r="K4" s="1" t="s">
        <v>395</v>
      </c>
    </row>
    <row r="5" spans="2:11" ht="15">
      <c r="B5" s="285">
        <v>38533</v>
      </c>
      <c r="C5" s="285">
        <v>38898</v>
      </c>
      <c r="D5" s="285">
        <v>39263</v>
      </c>
      <c r="E5" s="285">
        <v>39629</v>
      </c>
      <c r="F5" s="280">
        <v>39994</v>
      </c>
      <c r="G5" s="280">
        <v>40359</v>
      </c>
      <c r="H5" s="280">
        <v>40724</v>
      </c>
      <c r="I5" s="280">
        <v>41090</v>
      </c>
      <c r="J5" s="280">
        <v>41455</v>
      </c>
      <c r="K5" s="281">
        <v>41820</v>
      </c>
    </row>
    <row r="6" spans="1:10" ht="15">
      <c r="A6" s="255" t="s">
        <v>354</v>
      </c>
      <c r="C6" s="286"/>
      <c r="D6" s="286"/>
      <c r="E6" s="286"/>
      <c r="F6" s="257"/>
      <c r="G6" s="257"/>
      <c r="H6" s="257"/>
      <c r="I6" s="257"/>
      <c r="J6" s="257"/>
    </row>
    <row r="7" spans="1:12" ht="15">
      <c r="A7" t="s">
        <v>355</v>
      </c>
      <c r="B7" s="286">
        <v>5570798</v>
      </c>
      <c r="C7" s="286">
        <v>5946632</v>
      </c>
      <c r="D7" s="286">
        <v>6101043</v>
      </c>
      <c r="E7" s="286">
        <v>6445792</v>
      </c>
      <c r="F7" s="282">
        <f>6826581</f>
        <v>6826581</v>
      </c>
      <c r="G7" s="257">
        <v>7191599</v>
      </c>
      <c r="H7" s="135">
        <f>G7*1.05</f>
        <v>7551178.95</v>
      </c>
      <c r="I7" s="135">
        <f>H7*1.05</f>
        <v>7928737.897500001</v>
      </c>
      <c r="J7" s="135">
        <f>I7*1.05</f>
        <v>8325174.792375001</v>
      </c>
      <c r="K7" s="135">
        <f>J7*1.05</f>
        <v>8741433.531993752</v>
      </c>
      <c r="L7" s="135"/>
    </row>
    <row r="8" spans="1:12" ht="15">
      <c r="A8" t="s">
        <v>391</v>
      </c>
      <c r="B8" s="286"/>
      <c r="C8" s="286"/>
      <c r="D8" s="286"/>
      <c r="E8" s="286"/>
      <c r="F8" s="282">
        <v>0</v>
      </c>
      <c r="G8" s="282">
        <v>2000</v>
      </c>
      <c r="H8" s="135">
        <v>1230950</v>
      </c>
      <c r="I8" s="135">
        <f>H8*1.05</f>
        <v>1292497.5</v>
      </c>
      <c r="J8" s="135">
        <f>I8*1.05</f>
        <v>1357122.375</v>
      </c>
      <c r="K8" s="135">
        <f>J8*1.05</f>
        <v>1424978.4937500001</v>
      </c>
      <c r="L8" s="135"/>
    </row>
    <row r="9" spans="1:12" ht="15">
      <c r="A9" t="s">
        <v>196</v>
      </c>
      <c r="B9" s="286">
        <v>200472</v>
      </c>
      <c r="C9" s="286">
        <v>591567</v>
      </c>
      <c r="D9" s="286">
        <v>922283</v>
      </c>
      <c r="E9" s="286">
        <v>950911</v>
      </c>
      <c r="F9" s="282">
        <f>(117836-15000)*2+558451</f>
        <v>764123</v>
      </c>
      <c r="G9" s="257">
        <v>168047</v>
      </c>
      <c r="H9" s="257">
        <v>158400</v>
      </c>
      <c r="I9" s="257">
        <v>178281</v>
      </c>
      <c r="J9" s="257">
        <v>183629</v>
      </c>
      <c r="K9" s="257">
        <f>J9*1.05</f>
        <v>192810.45</v>
      </c>
      <c r="L9" s="257"/>
    </row>
    <row r="10" spans="1:11" ht="30">
      <c r="A10" s="79" t="s">
        <v>383</v>
      </c>
      <c r="B10" s="286"/>
      <c r="C10" s="286"/>
      <c r="D10" s="286"/>
      <c r="E10" s="286"/>
      <c r="F10" s="261">
        <v>0</v>
      </c>
      <c r="G10" s="257">
        <f>29050+36000</f>
        <v>65050</v>
      </c>
      <c r="H10" s="257">
        <f>29050+6623</f>
        <v>35673</v>
      </c>
      <c r="I10" s="257"/>
      <c r="J10" s="257"/>
      <c r="K10" s="257"/>
    </row>
    <row r="11" spans="1:12" ht="15">
      <c r="A11" t="s">
        <v>356</v>
      </c>
      <c r="B11" s="286">
        <v>128075</v>
      </c>
      <c r="C11" s="286">
        <v>91131</v>
      </c>
      <c r="D11" s="286">
        <v>268418</v>
      </c>
      <c r="E11" s="286">
        <v>220933</v>
      </c>
      <c r="F11" s="286">
        <v>205000</v>
      </c>
      <c r="G11" s="257">
        <f>167220+50000</f>
        <v>217220</v>
      </c>
      <c r="H11" s="257">
        <v>218720</v>
      </c>
      <c r="I11" s="257">
        <f>H11*1.05</f>
        <v>229656</v>
      </c>
      <c r="J11" s="257">
        <f>I11*1.05</f>
        <v>241138.80000000002</v>
      </c>
      <c r="K11" s="257">
        <f>J11*1.05</f>
        <v>253195.74000000002</v>
      </c>
      <c r="L11" s="257"/>
    </row>
    <row r="12" spans="1:11" ht="15">
      <c r="A12" t="s">
        <v>357</v>
      </c>
      <c r="B12" s="286">
        <f aca="true" t="shared" si="0" ref="B12:J12">SUM(B7:B11)</f>
        <v>5899345</v>
      </c>
      <c r="C12" s="286">
        <f t="shared" si="0"/>
        <v>6629330</v>
      </c>
      <c r="D12" s="286">
        <f t="shared" si="0"/>
        <v>7291744</v>
      </c>
      <c r="E12" s="286">
        <f t="shared" si="0"/>
        <v>7617636</v>
      </c>
      <c r="F12" s="257">
        <f>SUM(F7:F11)</f>
        <v>7795704</v>
      </c>
      <c r="G12" s="257">
        <f>SUM(G7:G11)</f>
        <v>7643916</v>
      </c>
      <c r="H12" s="257">
        <f t="shared" si="0"/>
        <v>9194921.95</v>
      </c>
      <c r="I12" s="257">
        <f t="shared" si="0"/>
        <v>9629172.3975</v>
      </c>
      <c r="J12" s="257">
        <f t="shared" si="0"/>
        <v>10107064.967375003</v>
      </c>
      <c r="K12" s="257">
        <f>SUM(K7:K11)</f>
        <v>10612418.215743752</v>
      </c>
    </row>
    <row r="13" spans="2:11" ht="9" customHeight="1">
      <c r="B13" s="286"/>
      <c r="C13" s="286"/>
      <c r="D13" s="286"/>
      <c r="E13" s="286"/>
      <c r="F13" s="257"/>
      <c r="G13" s="257"/>
      <c r="H13" s="257"/>
      <c r="I13" s="257"/>
      <c r="J13" s="257"/>
      <c r="K13" s="257"/>
    </row>
    <row r="14" spans="1:11" ht="15">
      <c r="A14" s="255" t="s">
        <v>358</v>
      </c>
      <c r="B14" s="286"/>
      <c r="C14" s="286"/>
      <c r="D14" s="286"/>
      <c r="E14" s="286"/>
      <c r="F14" s="257"/>
      <c r="G14" s="257"/>
      <c r="H14" s="257"/>
      <c r="I14" s="257"/>
      <c r="J14" s="257"/>
      <c r="K14" s="257"/>
    </row>
    <row r="15" spans="1:11" ht="15">
      <c r="A15" t="s">
        <v>359</v>
      </c>
      <c r="B15" s="286">
        <v>931847</v>
      </c>
      <c r="C15" s="286">
        <v>1095360</v>
      </c>
      <c r="D15" s="286">
        <v>1148153</v>
      </c>
      <c r="E15" s="286">
        <v>1380717</v>
      </c>
      <c r="F15" s="257">
        <v>1615757</v>
      </c>
      <c r="G15" s="257">
        <f>F15*1.03</f>
        <v>1664229.71</v>
      </c>
      <c r="H15" s="257">
        <f>G15*1.03</f>
        <v>1714156.6013</v>
      </c>
      <c r="I15" s="257">
        <f>H15*1.03</f>
        <v>1765581.2993390001</v>
      </c>
      <c r="J15" s="257">
        <f>I15*1.03</f>
        <v>1818548.7383191702</v>
      </c>
      <c r="K15" s="257">
        <f>J15*1.03</f>
        <v>1873105.2004687453</v>
      </c>
    </row>
    <row r="16" spans="1:11" ht="15">
      <c r="A16" t="s">
        <v>360</v>
      </c>
      <c r="B16" s="286">
        <v>417291</v>
      </c>
      <c r="C16" s="286">
        <v>627380</v>
      </c>
      <c r="D16" s="286">
        <v>490784</v>
      </c>
      <c r="E16" s="286">
        <v>492456</v>
      </c>
      <c r="F16" s="257">
        <v>565019</v>
      </c>
      <c r="G16" s="257">
        <f aca="true" t="shared" si="1" ref="G16:K17">F16*1.05</f>
        <v>593269.9500000001</v>
      </c>
      <c r="H16" s="257">
        <f t="shared" si="1"/>
        <v>622933.4475000001</v>
      </c>
      <c r="I16" s="257">
        <f t="shared" si="1"/>
        <v>654080.1198750002</v>
      </c>
      <c r="J16" s="257">
        <f t="shared" si="1"/>
        <v>686784.1258687503</v>
      </c>
      <c r="K16" s="257">
        <f t="shared" si="1"/>
        <v>721123.3321621878</v>
      </c>
    </row>
    <row r="17" spans="1:11" ht="15">
      <c r="A17" t="s">
        <v>361</v>
      </c>
      <c r="B17" s="286">
        <v>233231</v>
      </c>
      <c r="C17" s="286">
        <v>310855</v>
      </c>
      <c r="D17" s="286">
        <v>559033</v>
      </c>
      <c r="E17" s="286">
        <v>668248</v>
      </c>
      <c r="F17" s="257">
        <v>521491</v>
      </c>
      <c r="G17" s="257">
        <f>F17*1.05</f>
        <v>547565.55</v>
      </c>
      <c r="H17" s="257">
        <f t="shared" si="1"/>
        <v>574943.8275000001</v>
      </c>
      <c r="I17" s="257">
        <f t="shared" si="1"/>
        <v>603691.0188750002</v>
      </c>
      <c r="J17" s="257">
        <f t="shared" si="1"/>
        <v>633875.5698187503</v>
      </c>
      <c r="K17" s="257">
        <f t="shared" si="1"/>
        <v>665569.3483096878</v>
      </c>
    </row>
    <row r="18" spans="1:11" ht="15">
      <c r="A18" t="s">
        <v>362</v>
      </c>
      <c r="B18" s="286">
        <v>28507</v>
      </c>
      <c r="C18" s="289">
        <v>0</v>
      </c>
      <c r="D18" s="286">
        <v>3840</v>
      </c>
      <c r="E18" s="286">
        <v>56693</v>
      </c>
      <c r="F18" s="257">
        <v>42300</v>
      </c>
      <c r="G18" s="257">
        <v>42300</v>
      </c>
      <c r="H18" s="257">
        <v>42300</v>
      </c>
      <c r="I18" s="257">
        <v>42300</v>
      </c>
      <c r="J18" s="257">
        <v>42300</v>
      </c>
      <c r="K18" s="257">
        <v>42300</v>
      </c>
    </row>
    <row r="19" spans="1:11" ht="15" hidden="1">
      <c r="A19" t="s">
        <v>370</v>
      </c>
      <c r="B19" s="286"/>
      <c r="C19" s="286"/>
      <c r="D19" s="286"/>
      <c r="E19" s="286"/>
      <c r="F19" s="257"/>
      <c r="G19" s="257"/>
      <c r="H19" s="257"/>
      <c r="I19" s="257"/>
      <c r="J19" s="257"/>
      <c r="K19" s="257"/>
    </row>
    <row r="20" spans="1:11" ht="15">
      <c r="A20" t="s">
        <v>271</v>
      </c>
      <c r="B20" s="286">
        <v>145533</v>
      </c>
      <c r="C20" s="286">
        <v>127037</v>
      </c>
      <c r="D20" s="286">
        <v>131196</v>
      </c>
      <c r="E20" s="286">
        <v>132823</v>
      </c>
      <c r="F20" s="257">
        <v>168000</v>
      </c>
      <c r="G20" s="257">
        <v>199700</v>
      </c>
      <c r="H20" s="257">
        <f>G20*1.05</f>
        <v>209685</v>
      </c>
      <c r="I20" s="257">
        <f>H20*1.05</f>
        <v>220169.25</v>
      </c>
      <c r="J20" s="257">
        <f>I20*1.05</f>
        <v>231177.71250000002</v>
      </c>
      <c r="K20" s="257">
        <f>J20*1.05</f>
        <v>242736.59812500005</v>
      </c>
    </row>
    <row r="21" spans="1:11" ht="15">
      <c r="A21" t="s">
        <v>276</v>
      </c>
      <c r="B21" s="286">
        <v>497374</v>
      </c>
      <c r="C21" s="286">
        <v>562873</v>
      </c>
      <c r="D21" s="286">
        <v>648314</v>
      </c>
      <c r="E21" s="286">
        <v>756062</v>
      </c>
      <c r="F21" s="257">
        <v>798666</v>
      </c>
      <c r="G21" s="257">
        <f>F21*1.12</f>
        <v>894505.92</v>
      </c>
      <c r="H21" s="257">
        <f>G21*1.12</f>
        <v>1001846.6304000001</v>
      </c>
      <c r="I21" s="257">
        <f>H21*1.12</f>
        <v>1122068.2260480002</v>
      </c>
      <c r="J21" s="257">
        <f>I21*1.12</f>
        <v>1256716.4131737603</v>
      </c>
      <c r="K21" s="257">
        <f>J21*1.12</f>
        <v>1407522.3827546115</v>
      </c>
    </row>
    <row r="22" spans="1:11" ht="15">
      <c r="A22" t="s">
        <v>363</v>
      </c>
      <c r="B22" s="286">
        <v>1507339</v>
      </c>
      <c r="C22" s="286">
        <v>1881003</v>
      </c>
      <c r="D22" s="286">
        <v>2133190</v>
      </c>
      <c r="E22" s="286">
        <v>2099216</v>
      </c>
      <c r="F22" s="257">
        <v>2065089</v>
      </c>
      <c r="G22" s="257">
        <v>1363111</v>
      </c>
      <c r="H22" s="257">
        <f>1326794</f>
        <v>1326794</v>
      </c>
      <c r="I22" s="257">
        <f>1286771</f>
        <v>1286771</v>
      </c>
      <c r="J22" s="257">
        <f>1243656</f>
        <v>1243656</v>
      </c>
      <c r="K22" s="33">
        <v>1200173.76</v>
      </c>
    </row>
    <row r="23" spans="1:11" ht="15">
      <c r="A23" t="s">
        <v>392</v>
      </c>
      <c r="B23" s="286"/>
      <c r="C23" s="286"/>
      <c r="D23" s="286"/>
      <c r="E23" s="286"/>
      <c r="F23" s="257"/>
      <c r="G23" s="257"/>
      <c r="H23" s="257">
        <f>'E Bldg Estimates'!$I$6</f>
        <v>399106.5576</v>
      </c>
      <c r="I23" s="257">
        <f>H23*1.06</f>
        <v>423052.951056</v>
      </c>
      <c r="J23" s="257">
        <f>I23*1.06</f>
        <v>448436.12811936</v>
      </c>
      <c r="K23" s="257">
        <f>J23*1.06</f>
        <v>475342.29580652167</v>
      </c>
    </row>
    <row r="24" spans="1:11" ht="15">
      <c r="A24" t="s">
        <v>364</v>
      </c>
      <c r="B24" s="286">
        <f>SUM(B15:B23)</f>
        <v>3761122</v>
      </c>
      <c r="C24" s="286">
        <f aca="true" t="shared" si="2" ref="C24:K24">SUM(C15:C23)</f>
        <v>4604508</v>
      </c>
      <c r="D24" s="286">
        <f t="shared" si="2"/>
        <v>5114510</v>
      </c>
      <c r="E24" s="286">
        <f t="shared" si="2"/>
        <v>5586215</v>
      </c>
      <c r="F24" s="286">
        <f t="shared" si="2"/>
        <v>5776322</v>
      </c>
      <c r="G24" s="286">
        <f t="shared" si="2"/>
        <v>5304682.13</v>
      </c>
      <c r="H24" s="286">
        <f t="shared" si="2"/>
        <v>5891766.0643</v>
      </c>
      <c r="I24" s="286">
        <f t="shared" si="2"/>
        <v>6117713.865193</v>
      </c>
      <c r="J24" s="286">
        <f t="shared" si="2"/>
        <v>6361494.68779979</v>
      </c>
      <c r="K24" s="286">
        <f t="shared" si="2"/>
        <v>6627872.917626753</v>
      </c>
    </row>
    <row r="25" spans="2:11" ht="8.25" customHeight="1">
      <c r="B25" s="286"/>
      <c r="C25" s="286"/>
      <c r="D25" s="286"/>
      <c r="E25" s="286"/>
      <c r="F25" s="257"/>
      <c r="G25" s="257"/>
      <c r="H25" s="257"/>
      <c r="I25" s="257"/>
      <c r="J25" s="257"/>
      <c r="K25" s="257"/>
    </row>
    <row r="26" spans="1:11" ht="15">
      <c r="A26" t="s">
        <v>365</v>
      </c>
      <c r="B26" s="286">
        <f aca="true" t="shared" si="3" ref="B26:J26">B12-B24</f>
        <v>2138223</v>
      </c>
      <c r="C26" s="286">
        <f t="shared" si="3"/>
        <v>2024822</v>
      </c>
      <c r="D26" s="286">
        <f t="shared" si="3"/>
        <v>2177234</v>
      </c>
      <c r="E26" s="286">
        <f t="shared" si="3"/>
        <v>2031421</v>
      </c>
      <c r="F26" s="257">
        <f t="shared" si="3"/>
        <v>2019382</v>
      </c>
      <c r="G26" s="257">
        <f t="shared" si="3"/>
        <v>2339233.87</v>
      </c>
      <c r="H26" s="257">
        <f>H12-H24</f>
        <v>3303155.8856999995</v>
      </c>
      <c r="I26" s="257">
        <f t="shared" si="3"/>
        <v>3511458.532307001</v>
      </c>
      <c r="J26" s="257">
        <f t="shared" si="3"/>
        <v>3745570.279575213</v>
      </c>
      <c r="K26" s="257">
        <f>K12-K24</f>
        <v>3984545.2981169987</v>
      </c>
    </row>
    <row r="27" spans="2:11" ht="9" customHeight="1">
      <c r="B27" s="286"/>
      <c r="C27" s="286"/>
      <c r="D27" s="286"/>
      <c r="E27" s="286"/>
      <c r="F27" s="257"/>
      <c r="G27" s="257"/>
      <c r="H27" s="257"/>
      <c r="I27" s="257"/>
      <c r="J27" s="257"/>
      <c r="K27" s="257"/>
    </row>
    <row r="28" spans="1:11" ht="15">
      <c r="A28" t="s">
        <v>366</v>
      </c>
      <c r="B28" s="286">
        <f aca="true" t="shared" si="4" ref="B28:J28">B24-B22</f>
        <v>2253783</v>
      </c>
      <c r="C28" s="286">
        <f t="shared" si="4"/>
        <v>2723505</v>
      </c>
      <c r="D28" s="286">
        <f t="shared" si="4"/>
        <v>2981320</v>
      </c>
      <c r="E28" s="286">
        <f t="shared" si="4"/>
        <v>3486999</v>
      </c>
      <c r="F28" s="257">
        <f t="shared" si="4"/>
        <v>3711233</v>
      </c>
      <c r="G28" s="257">
        <f t="shared" si="4"/>
        <v>3941571.13</v>
      </c>
      <c r="H28" s="257">
        <f t="shared" si="4"/>
        <v>4564972.0643</v>
      </c>
      <c r="I28" s="257">
        <f t="shared" si="4"/>
        <v>4830942.865193</v>
      </c>
      <c r="J28" s="257">
        <f t="shared" si="4"/>
        <v>5117838.68779979</v>
      </c>
      <c r="K28" s="257">
        <f>K24-K22</f>
        <v>5427699.157626754</v>
      </c>
    </row>
    <row r="29" spans="1:11" ht="15">
      <c r="A29" t="s">
        <v>367</v>
      </c>
      <c r="B29" s="286">
        <f aca="true" t="shared" si="5" ref="B29:J29">B12-B28</f>
        <v>3645562</v>
      </c>
      <c r="C29" s="286">
        <f t="shared" si="5"/>
        <v>3905825</v>
      </c>
      <c r="D29" s="286">
        <f t="shared" si="5"/>
        <v>4310424</v>
      </c>
      <c r="E29" s="286">
        <f t="shared" si="5"/>
        <v>4130637</v>
      </c>
      <c r="F29" s="257">
        <f t="shared" si="5"/>
        <v>4084471</v>
      </c>
      <c r="G29" s="257">
        <f t="shared" si="5"/>
        <v>3702344.87</v>
      </c>
      <c r="H29" s="257">
        <f t="shared" si="5"/>
        <v>4629949.8856999995</v>
      </c>
      <c r="I29" s="257">
        <f t="shared" si="5"/>
        <v>4798229.532307001</v>
      </c>
      <c r="J29" s="257">
        <f t="shared" si="5"/>
        <v>4989226.279575213</v>
      </c>
      <c r="K29" s="257">
        <f>K12-K28</f>
        <v>5184719.0581169985</v>
      </c>
    </row>
    <row r="30" spans="1:11" ht="15">
      <c r="A30" t="s">
        <v>381</v>
      </c>
      <c r="B30" s="286">
        <v>675000</v>
      </c>
      <c r="C30" s="286">
        <v>620000</v>
      </c>
      <c r="D30" s="286">
        <v>795000</v>
      </c>
      <c r="E30" s="286">
        <v>830000</v>
      </c>
      <c r="F30" s="257">
        <v>865000</v>
      </c>
      <c r="G30" s="257">
        <v>900000</v>
      </c>
      <c r="H30" s="257">
        <f>940000</f>
        <v>940000</v>
      </c>
      <c r="I30" s="257">
        <f>980000</f>
        <v>980000</v>
      </c>
      <c r="J30" s="257">
        <f>1020000</f>
        <v>1020000</v>
      </c>
      <c r="K30" s="33">
        <v>1065000</v>
      </c>
    </row>
    <row r="31" spans="1:11" ht="15">
      <c r="A31" t="s">
        <v>400</v>
      </c>
      <c r="B31" s="286"/>
      <c r="C31" s="286"/>
      <c r="D31" s="286"/>
      <c r="E31" s="286"/>
      <c r="F31" s="257"/>
      <c r="H31" s="257">
        <v>485000</v>
      </c>
      <c r="I31" s="257">
        <v>510000</v>
      </c>
      <c r="J31" s="257">
        <v>535000</v>
      </c>
      <c r="K31" s="257">
        <v>565000</v>
      </c>
    </row>
    <row r="32" spans="1:11" ht="15">
      <c r="A32" t="s">
        <v>382</v>
      </c>
      <c r="B32" s="286">
        <f aca="true" t="shared" si="6" ref="B32:J32">B22</f>
        <v>1507339</v>
      </c>
      <c r="C32" s="286">
        <f t="shared" si="6"/>
        <v>1881003</v>
      </c>
      <c r="D32" s="286">
        <f t="shared" si="6"/>
        <v>2133190</v>
      </c>
      <c r="E32" s="286">
        <f t="shared" si="6"/>
        <v>2099216</v>
      </c>
      <c r="F32" s="257">
        <f t="shared" si="6"/>
        <v>2065089</v>
      </c>
      <c r="G32" s="257">
        <f t="shared" si="6"/>
        <v>1363111</v>
      </c>
      <c r="H32" s="257">
        <f t="shared" si="6"/>
        <v>1326794</v>
      </c>
      <c r="I32" s="257">
        <f t="shared" si="6"/>
        <v>1286771</v>
      </c>
      <c r="J32" s="257">
        <f t="shared" si="6"/>
        <v>1243656</v>
      </c>
      <c r="K32" s="33">
        <v>1200173.76</v>
      </c>
    </row>
    <row r="33" spans="1:11" ht="15">
      <c r="A33" t="s">
        <v>401</v>
      </c>
      <c r="B33" s="286"/>
      <c r="C33" s="286"/>
      <c r="D33" s="286"/>
      <c r="E33" s="286"/>
      <c r="G33" s="257">
        <v>765000</v>
      </c>
      <c r="H33" s="257">
        <v>765000</v>
      </c>
      <c r="I33" s="257">
        <v>740265</v>
      </c>
      <c r="J33" s="257">
        <v>714255</v>
      </c>
      <c r="K33" s="257">
        <v>686970</v>
      </c>
    </row>
    <row r="34" spans="1:10" ht="15">
      <c r="A34" t="s">
        <v>379</v>
      </c>
      <c r="B34" s="286"/>
      <c r="C34" s="286"/>
      <c r="D34" s="286"/>
      <c r="E34" s="286"/>
      <c r="G34" s="257">
        <v>-769781</v>
      </c>
      <c r="H34" s="257">
        <v>-170669</v>
      </c>
      <c r="I34" s="257"/>
      <c r="J34" s="257"/>
    </row>
    <row r="35" spans="1:11" ht="15">
      <c r="A35" t="s">
        <v>380</v>
      </c>
      <c r="B35" s="286">
        <f>SUM(B30:B34)</f>
        <v>2182339</v>
      </c>
      <c r="C35" s="286">
        <f aca="true" t="shared" si="7" ref="C35:J35">SUM(C30:C34)</f>
        <v>2501003</v>
      </c>
      <c r="D35" s="286">
        <f t="shared" si="7"/>
        <v>2928190</v>
      </c>
      <c r="E35" s="286">
        <f t="shared" si="7"/>
        <v>2929216</v>
      </c>
      <c r="F35" s="257">
        <f>SUM(F30:F34)</f>
        <v>2930089</v>
      </c>
      <c r="G35" s="257">
        <f>SUM(G30:G34)</f>
        <v>2258330</v>
      </c>
      <c r="H35" s="257">
        <f>SUM(H30:H34)</f>
        <v>3346125</v>
      </c>
      <c r="I35" s="257">
        <f t="shared" si="7"/>
        <v>3517036</v>
      </c>
      <c r="J35" s="257">
        <f t="shared" si="7"/>
        <v>3512911</v>
      </c>
      <c r="K35" s="257">
        <f>SUM(K30:K34)</f>
        <v>3517143.76</v>
      </c>
    </row>
    <row r="36" ht="9.75" customHeight="1"/>
    <row r="37" spans="1:11" ht="15">
      <c r="A37" t="s">
        <v>368</v>
      </c>
      <c r="B37" s="287">
        <f aca="true" t="shared" si="8" ref="B37:J37">B29/B35</f>
        <v>1.6704838249236256</v>
      </c>
      <c r="C37" s="287">
        <f t="shared" si="8"/>
        <v>1.5617034445780353</v>
      </c>
      <c r="D37" s="287">
        <f t="shared" si="8"/>
        <v>1.4720438222929524</v>
      </c>
      <c r="E37" s="287">
        <f t="shared" si="8"/>
        <v>1.4101510438287923</v>
      </c>
      <c r="F37" s="258">
        <f t="shared" si="8"/>
        <v>1.39397506355609</v>
      </c>
      <c r="G37" s="258">
        <f t="shared" si="8"/>
        <v>1.6394171223868965</v>
      </c>
      <c r="H37" s="258">
        <f t="shared" si="8"/>
        <v>1.383675112465912</v>
      </c>
      <c r="I37" s="258">
        <f t="shared" si="8"/>
        <v>1.3642821774661962</v>
      </c>
      <c r="J37" s="258">
        <f t="shared" si="8"/>
        <v>1.4202541082239808</v>
      </c>
      <c r="K37" s="258">
        <f>K29/K35</f>
        <v>1.4741277047250974</v>
      </c>
    </row>
    <row r="38" ht="11.25" customHeight="1"/>
    <row r="39" ht="15">
      <c r="A39" s="256" t="s">
        <v>369</v>
      </c>
    </row>
    <row r="40" ht="15">
      <c r="A40" t="s">
        <v>371</v>
      </c>
    </row>
    <row r="41" ht="15">
      <c r="A41" t="s">
        <v>372</v>
      </c>
    </row>
    <row r="42" ht="15">
      <c r="A42" t="s">
        <v>393</v>
      </c>
    </row>
    <row r="43" spans="1:10" ht="27.75" customHeight="1">
      <c r="A43" s="296" t="s">
        <v>394</v>
      </c>
      <c r="B43" s="296"/>
      <c r="C43" s="296"/>
      <c r="D43" s="296"/>
      <c r="E43" s="296"/>
      <c r="F43" s="296"/>
      <c r="G43" s="296"/>
      <c r="H43" s="296"/>
      <c r="I43" s="296"/>
      <c r="J43" s="296"/>
    </row>
    <row r="44" ht="15">
      <c r="A44" s="231" t="s">
        <v>402</v>
      </c>
    </row>
    <row r="46" ht="15">
      <c r="E46" s="288"/>
    </row>
    <row r="47" ht="15">
      <c r="A47" s="290" t="s">
        <v>396</v>
      </c>
    </row>
  </sheetData>
  <sheetProtection/>
  <mergeCells count="2">
    <mergeCell ref="A1:G1"/>
    <mergeCell ref="A43:J43"/>
  </mergeCells>
  <printOptions/>
  <pageMargins left="0.7" right="0.7" top="0.75" bottom="0.75" header="0.3" footer="0.3"/>
  <pageSetup horizontalDpi="600" verticalDpi="600" orientation="landscape" scale="76" r:id="rId1"/>
  <rowBreaks count="1" manualBreakCount="1">
    <brk id="4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41"/>
  <sheetViews>
    <sheetView zoomScale="75" zoomScaleNormal="75" zoomScalePageLayoutView="0" workbookViewId="0" topLeftCell="A1">
      <selection activeCell="I9" sqref="I9"/>
    </sheetView>
  </sheetViews>
  <sheetFormatPr defaultColWidth="9.140625" defaultRowHeight="15"/>
  <cols>
    <col min="1" max="1" width="36.28125" style="0" customWidth="1"/>
    <col min="2" max="6" width="11.00390625" style="0" bestFit="1" customWidth="1"/>
    <col min="7" max="8" width="11.57421875" style="0" bestFit="1" customWidth="1"/>
    <col min="9" max="9" width="12.57421875" style="0" customWidth="1"/>
    <col min="10" max="10" width="11.00390625" style="0" bestFit="1" customWidth="1"/>
    <col min="11" max="11" width="12.140625" style="0" bestFit="1" customWidth="1"/>
  </cols>
  <sheetData>
    <row r="1" spans="1:8" ht="23.25">
      <c r="A1" s="295" t="s">
        <v>353</v>
      </c>
      <c r="B1" s="295"/>
      <c r="C1" s="295"/>
      <c r="D1" s="295"/>
      <c r="E1" s="295"/>
      <c r="F1" s="295"/>
      <c r="G1" s="295"/>
      <c r="H1" s="295"/>
    </row>
    <row r="2" spans="1:8" ht="15" customHeight="1">
      <c r="A2" s="279"/>
      <c r="B2" s="279"/>
      <c r="C2" s="279"/>
      <c r="D2" s="279"/>
      <c r="E2" s="279"/>
      <c r="F2" s="279"/>
      <c r="G2" s="279"/>
      <c r="H2" s="279"/>
    </row>
    <row r="3" spans="2:11" ht="15">
      <c r="B3" s="1" t="s">
        <v>388</v>
      </c>
      <c r="C3" s="1" t="s">
        <v>388</v>
      </c>
      <c r="D3" s="1" t="s">
        <v>388</v>
      </c>
      <c r="E3" s="1" t="s">
        <v>388</v>
      </c>
      <c r="F3" s="1" t="s">
        <v>388</v>
      </c>
      <c r="G3" s="1" t="s">
        <v>388</v>
      </c>
      <c r="H3" s="1" t="s">
        <v>388</v>
      </c>
      <c r="I3" s="1" t="s">
        <v>388</v>
      </c>
      <c r="J3" s="1" t="s">
        <v>388</v>
      </c>
      <c r="K3" s="1" t="s">
        <v>388</v>
      </c>
    </row>
    <row r="4" spans="2:11" ht="15">
      <c r="B4" s="280">
        <v>38533</v>
      </c>
      <c r="C4" s="280">
        <v>38898</v>
      </c>
      <c r="D4" s="280">
        <v>39263</v>
      </c>
      <c r="E4" s="280">
        <v>39629</v>
      </c>
      <c r="F4" s="280">
        <v>39994</v>
      </c>
      <c r="G4" s="280">
        <v>40359</v>
      </c>
      <c r="H4" s="280">
        <v>40724</v>
      </c>
      <c r="I4" s="280">
        <v>41090</v>
      </c>
      <c r="J4" s="280">
        <v>41455</v>
      </c>
      <c r="K4" s="280">
        <v>41820</v>
      </c>
    </row>
    <row r="5" ht="15">
      <c r="A5" s="255" t="s">
        <v>354</v>
      </c>
    </row>
    <row r="6" spans="1:12" ht="15">
      <c r="A6" t="s">
        <v>355</v>
      </c>
      <c r="B6" s="257">
        <v>4411651</v>
      </c>
      <c r="C6" s="257">
        <v>5570798</v>
      </c>
      <c r="D6" s="257">
        <v>5946632</v>
      </c>
      <c r="E6" s="257">
        <v>6101043</v>
      </c>
      <c r="F6" s="257">
        <v>6531841</v>
      </c>
      <c r="G6" s="257">
        <v>7194599</v>
      </c>
      <c r="H6" s="135">
        <v>8211852</v>
      </c>
      <c r="I6" s="135">
        <v>8680741</v>
      </c>
      <c r="J6" s="135">
        <v>9275511</v>
      </c>
      <c r="K6" s="135">
        <v>9739287</v>
      </c>
      <c r="L6" s="33"/>
    </row>
    <row r="7" spans="1:11" ht="15">
      <c r="A7" t="s">
        <v>196</v>
      </c>
      <c r="B7" s="257">
        <v>153991</v>
      </c>
      <c r="C7" s="257">
        <v>200472</v>
      </c>
      <c r="D7" s="257">
        <v>591567</v>
      </c>
      <c r="E7" s="257">
        <v>922283</v>
      </c>
      <c r="F7" s="257">
        <v>950911</v>
      </c>
      <c r="G7" s="257">
        <v>168047</v>
      </c>
      <c r="H7" s="257">
        <v>158400</v>
      </c>
      <c r="I7" s="257">
        <v>178281</v>
      </c>
      <c r="J7" s="257">
        <v>183629</v>
      </c>
      <c r="K7" s="257">
        <f>J7*1.05</f>
        <v>192810.45</v>
      </c>
    </row>
    <row r="8" spans="1:11" ht="30">
      <c r="A8" s="79" t="s">
        <v>383</v>
      </c>
      <c r="B8" s="257"/>
      <c r="C8" s="257"/>
      <c r="D8" s="257"/>
      <c r="E8" s="257"/>
      <c r="F8" s="257"/>
      <c r="G8" s="257">
        <f>29050+36000</f>
        <v>65050</v>
      </c>
      <c r="H8" s="257">
        <f>29050+6623</f>
        <v>35673</v>
      </c>
      <c r="J8" s="257"/>
      <c r="K8" s="257"/>
    </row>
    <row r="9" spans="1:11" ht="15">
      <c r="A9" t="s">
        <v>356</v>
      </c>
      <c r="B9" s="257">
        <v>143953</v>
      </c>
      <c r="C9" s="257">
        <v>128075</v>
      </c>
      <c r="D9" s="257">
        <v>91131</v>
      </c>
      <c r="E9" s="257">
        <v>268418</v>
      </c>
      <c r="F9" s="257">
        <v>220933</v>
      </c>
      <c r="G9" s="257">
        <v>205000</v>
      </c>
      <c r="H9" s="257">
        <v>218720</v>
      </c>
      <c r="I9" s="257">
        <f>H9*1.05</f>
        <v>229656</v>
      </c>
      <c r="J9" s="257">
        <f>I9*1.05</f>
        <v>241138.80000000002</v>
      </c>
      <c r="K9" s="257">
        <f>J9*1.05</f>
        <v>253195.74000000002</v>
      </c>
    </row>
    <row r="10" spans="1:11" ht="15">
      <c r="A10" t="s">
        <v>357</v>
      </c>
      <c r="B10" s="257">
        <f>SUM(B6:B9)</f>
        <v>4709595</v>
      </c>
      <c r="C10" s="257">
        <f aca="true" t="shared" si="0" ref="C10:K10">SUM(C6:C9)</f>
        <v>5899345</v>
      </c>
      <c r="D10" s="257">
        <f t="shared" si="0"/>
        <v>6629330</v>
      </c>
      <c r="E10" s="257">
        <f t="shared" si="0"/>
        <v>7291744</v>
      </c>
      <c r="F10" s="257">
        <f t="shared" si="0"/>
        <v>7703685</v>
      </c>
      <c r="G10" s="257">
        <f t="shared" si="0"/>
        <v>7632696</v>
      </c>
      <c r="H10" s="257">
        <f>SUM(H6:H9)</f>
        <v>8624645</v>
      </c>
      <c r="I10" s="257">
        <f t="shared" si="0"/>
        <v>9088678</v>
      </c>
      <c r="J10" s="257">
        <f t="shared" si="0"/>
        <v>9700278.8</v>
      </c>
      <c r="K10" s="257">
        <f t="shared" si="0"/>
        <v>10185293.19</v>
      </c>
    </row>
    <row r="11" spans="2:11" ht="15">
      <c r="B11" s="257"/>
      <c r="C11" s="257"/>
      <c r="D11" s="257"/>
      <c r="E11" s="257"/>
      <c r="F11" s="257"/>
      <c r="G11" s="257"/>
      <c r="H11" s="257"/>
      <c r="I11" s="257"/>
      <c r="J11" s="257"/>
      <c r="K11" s="257"/>
    </row>
    <row r="12" spans="1:11" ht="15">
      <c r="A12" s="255" t="s">
        <v>358</v>
      </c>
      <c r="B12" s="257"/>
      <c r="C12" s="257"/>
      <c r="D12" s="257"/>
      <c r="E12" s="257"/>
      <c r="F12" s="257"/>
      <c r="G12" s="257"/>
      <c r="H12" s="257"/>
      <c r="I12" s="257"/>
      <c r="J12" s="257"/>
      <c r="K12" s="257"/>
    </row>
    <row r="13" spans="1:11" ht="15">
      <c r="A13" t="s">
        <v>359</v>
      </c>
      <c r="B13" s="257">
        <v>811051</v>
      </c>
      <c r="C13" s="257">
        <v>931847</v>
      </c>
      <c r="D13" s="257">
        <v>1095360</v>
      </c>
      <c r="E13" s="257">
        <v>1148153</v>
      </c>
      <c r="F13" s="257">
        <v>1380717</v>
      </c>
      <c r="G13" s="257">
        <v>1212324</v>
      </c>
      <c r="H13" s="257">
        <v>1277358.32</v>
      </c>
      <c r="I13" s="257">
        <f>H13*1.03</f>
        <v>1315679.0696</v>
      </c>
      <c r="J13" s="257">
        <f>I13*1.03</f>
        <v>1355149.441688</v>
      </c>
      <c r="K13" s="257">
        <f>J13*1.03</f>
        <v>1395803.92493864</v>
      </c>
    </row>
    <row r="14" spans="1:11" ht="15">
      <c r="A14" t="s">
        <v>360</v>
      </c>
      <c r="B14" s="257">
        <v>463328</v>
      </c>
      <c r="C14" s="257">
        <v>417291</v>
      </c>
      <c r="D14" s="257">
        <v>627380</v>
      </c>
      <c r="E14" s="257">
        <v>490784</v>
      </c>
      <c r="F14" s="257">
        <v>492456</v>
      </c>
      <c r="G14" s="257">
        <v>649079</v>
      </c>
      <c r="H14" s="257">
        <v>805332</v>
      </c>
      <c r="I14" s="257">
        <f>H14*1.2</f>
        <v>966398.3999999999</v>
      </c>
      <c r="J14" s="257">
        <f>I14*1.05</f>
        <v>1014718.32</v>
      </c>
      <c r="K14" s="257">
        <f>J14*1.05</f>
        <v>1065454.236</v>
      </c>
    </row>
    <row r="15" spans="1:11" ht="15">
      <c r="A15" t="s">
        <v>361</v>
      </c>
      <c r="B15" s="257">
        <v>182963</v>
      </c>
      <c r="C15" s="257">
        <v>233231</v>
      </c>
      <c r="D15" s="257">
        <v>310855</v>
      </c>
      <c r="E15" s="257">
        <v>559033</v>
      </c>
      <c r="F15" s="257">
        <v>668248</v>
      </c>
      <c r="G15" s="257">
        <v>569359</v>
      </c>
      <c r="H15" s="257">
        <f>G15*1.05</f>
        <v>597826.9500000001</v>
      </c>
      <c r="I15" s="257">
        <f>H15*1.3</f>
        <v>777175.0350000001</v>
      </c>
      <c r="J15" s="257">
        <f>I15*1.05</f>
        <v>816033.7867500002</v>
      </c>
      <c r="K15" s="257">
        <f>J15*1.05</f>
        <v>856835.4760875002</v>
      </c>
    </row>
    <row r="16" spans="1:11" ht="15">
      <c r="A16" t="s">
        <v>362</v>
      </c>
      <c r="B16" s="257">
        <v>122433</v>
      </c>
      <c r="C16" s="257">
        <v>28507</v>
      </c>
      <c r="D16" s="257"/>
      <c r="E16" s="257">
        <v>3840</v>
      </c>
      <c r="F16" s="257">
        <v>56693</v>
      </c>
      <c r="G16" s="257">
        <v>42300</v>
      </c>
      <c r="H16" s="257">
        <v>42300</v>
      </c>
      <c r="I16" s="257">
        <v>42300</v>
      </c>
      <c r="J16" s="257">
        <v>42300</v>
      </c>
      <c r="K16" s="257">
        <v>42300</v>
      </c>
    </row>
    <row r="17" spans="1:11" ht="15" hidden="1">
      <c r="A17" t="s">
        <v>370</v>
      </c>
      <c r="B17" s="257">
        <v>3985</v>
      </c>
      <c r="C17" s="257"/>
      <c r="D17" s="257"/>
      <c r="E17" s="257"/>
      <c r="F17" s="257"/>
      <c r="G17" s="257"/>
      <c r="H17" s="257"/>
      <c r="I17" s="257"/>
      <c r="J17" s="257"/>
      <c r="K17" s="257"/>
    </row>
    <row r="18" spans="1:11" ht="15">
      <c r="A18" t="s">
        <v>271</v>
      </c>
      <c r="B18" s="257">
        <v>134524</v>
      </c>
      <c r="C18" s="257">
        <v>145533</v>
      </c>
      <c r="D18" s="257">
        <v>127037</v>
      </c>
      <c r="E18" s="257">
        <v>131196</v>
      </c>
      <c r="F18" s="257">
        <v>132823</v>
      </c>
      <c r="G18" s="257">
        <v>168000</v>
      </c>
      <c r="H18" s="257">
        <v>199700</v>
      </c>
      <c r="I18" s="257">
        <f>H18*1.2</f>
        <v>239640</v>
      </c>
      <c r="J18" s="257">
        <f>I18*1.05</f>
        <v>251622</v>
      </c>
      <c r="K18" s="257">
        <f>J18*1.05</f>
        <v>264203.10000000003</v>
      </c>
    </row>
    <row r="19" spans="1:11" ht="15">
      <c r="A19" t="s">
        <v>276</v>
      </c>
      <c r="B19" s="257">
        <v>411902</v>
      </c>
      <c r="C19" s="257">
        <v>497374</v>
      </c>
      <c r="D19" s="257">
        <v>562873</v>
      </c>
      <c r="E19" s="257">
        <v>648314</v>
      </c>
      <c r="F19" s="257">
        <v>756062</v>
      </c>
      <c r="G19" s="257">
        <v>831780</v>
      </c>
      <c r="H19" s="257">
        <f>G19*1.15</f>
        <v>956546.9999999999</v>
      </c>
      <c r="I19" s="257">
        <f>H19*1.15</f>
        <v>1100029.0499999998</v>
      </c>
      <c r="J19" s="257">
        <f>I19*1.15</f>
        <v>1265033.4074999997</v>
      </c>
      <c r="K19" s="257">
        <f>J19*1.15</f>
        <v>1454788.4186249997</v>
      </c>
    </row>
    <row r="20" spans="1:11" ht="15">
      <c r="A20" t="s">
        <v>363</v>
      </c>
      <c r="B20" s="257">
        <v>1474991</v>
      </c>
      <c r="C20" s="257">
        <v>1507339</v>
      </c>
      <c r="D20" s="257">
        <v>1881003</v>
      </c>
      <c r="E20" s="257">
        <v>2133190</v>
      </c>
      <c r="F20" s="257">
        <v>2099216</v>
      </c>
      <c r="G20" s="257">
        <v>1920772</v>
      </c>
      <c r="H20" s="257">
        <v>1363111</v>
      </c>
      <c r="I20" s="257">
        <f>1326794</f>
        <v>1326794</v>
      </c>
      <c r="J20" s="257">
        <f>1286771</f>
        <v>1286771</v>
      </c>
      <c r="K20" s="257">
        <f>1243656</f>
        <v>1243656</v>
      </c>
    </row>
    <row r="21" spans="1:11" ht="15">
      <c r="A21" t="s">
        <v>364</v>
      </c>
      <c r="B21" s="257">
        <f aca="true" t="shared" si="1" ref="B21:K21">SUM(B13:B20)</f>
        <v>3605177</v>
      </c>
      <c r="C21" s="257">
        <f t="shared" si="1"/>
        <v>3761122</v>
      </c>
      <c r="D21" s="257">
        <f t="shared" si="1"/>
        <v>4604508</v>
      </c>
      <c r="E21" s="257">
        <f t="shared" si="1"/>
        <v>5114510</v>
      </c>
      <c r="F21" s="257">
        <f t="shared" si="1"/>
        <v>5586215</v>
      </c>
      <c r="G21" s="257">
        <f t="shared" si="1"/>
        <v>5393614</v>
      </c>
      <c r="H21" s="257">
        <f t="shared" si="1"/>
        <v>5242175.27</v>
      </c>
      <c r="I21" s="257">
        <f t="shared" si="1"/>
        <v>5768015.5546</v>
      </c>
      <c r="J21" s="257">
        <f t="shared" si="1"/>
        <v>6031627.955938</v>
      </c>
      <c r="K21" s="257">
        <f t="shared" si="1"/>
        <v>6323041.15565114</v>
      </c>
    </row>
    <row r="22" spans="2:11" ht="15">
      <c r="B22" s="257"/>
      <c r="C22" s="257"/>
      <c r="D22" s="257"/>
      <c r="E22" s="257"/>
      <c r="F22" s="257"/>
      <c r="G22" s="257"/>
      <c r="H22" s="257"/>
      <c r="I22" s="257"/>
      <c r="J22" s="257"/>
      <c r="K22" s="257"/>
    </row>
    <row r="23" spans="1:11" ht="15">
      <c r="A23" t="s">
        <v>365</v>
      </c>
      <c r="B23" s="257">
        <f aca="true" t="shared" si="2" ref="B23:K23">B10-B21</f>
        <v>1104418</v>
      </c>
      <c r="C23" s="257">
        <f t="shared" si="2"/>
        <v>2138223</v>
      </c>
      <c r="D23" s="257">
        <f t="shared" si="2"/>
        <v>2024822</v>
      </c>
      <c r="E23" s="257">
        <f t="shared" si="2"/>
        <v>2177234</v>
      </c>
      <c r="F23" s="257">
        <f t="shared" si="2"/>
        <v>2117470</v>
      </c>
      <c r="G23" s="257">
        <f t="shared" si="2"/>
        <v>2239082</v>
      </c>
      <c r="H23" s="257">
        <f t="shared" si="2"/>
        <v>3382469.7300000004</v>
      </c>
      <c r="I23" s="257">
        <f t="shared" si="2"/>
        <v>3320662.4453999996</v>
      </c>
      <c r="J23" s="257">
        <f t="shared" si="2"/>
        <v>3668650.8440620005</v>
      </c>
      <c r="K23" s="257">
        <f t="shared" si="2"/>
        <v>3862252.0343488595</v>
      </c>
    </row>
    <row r="24" spans="2:11" ht="15">
      <c r="B24" s="257"/>
      <c r="C24" s="257"/>
      <c r="D24" s="257"/>
      <c r="E24" s="257"/>
      <c r="F24" s="257"/>
      <c r="G24" s="257"/>
      <c r="H24" s="257"/>
      <c r="I24" s="257"/>
      <c r="J24" s="257"/>
      <c r="K24" s="257"/>
    </row>
    <row r="25" spans="1:11" ht="15">
      <c r="A25" t="s">
        <v>366</v>
      </c>
      <c r="B25" s="257">
        <f aca="true" t="shared" si="3" ref="B25:K25">B21-B20</f>
        <v>2130186</v>
      </c>
      <c r="C25" s="257">
        <f t="shared" si="3"/>
        <v>2253783</v>
      </c>
      <c r="D25" s="257">
        <f t="shared" si="3"/>
        <v>2723505</v>
      </c>
      <c r="E25" s="257">
        <f t="shared" si="3"/>
        <v>2981320</v>
      </c>
      <c r="F25" s="257">
        <f t="shared" si="3"/>
        <v>3486999</v>
      </c>
      <c r="G25" s="257">
        <f t="shared" si="3"/>
        <v>3472842</v>
      </c>
      <c r="H25" s="257">
        <f t="shared" si="3"/>
        <v>3879064.2699999996</v>
      </c>
      <c r="I25" s="257">
        <f t="shared" si="3"/>
        <v>4441221.5546</v>
      </c>
      <c r="J25" s="257">
        <f t="shared" si="3"/>
        <v>4744856.955938</v>
      </c>
      <c r="K25" s="257">
        <f t="shared" si="3"/>
        <v>5079385.15565114</v>
      </c>
    </row>
    <row r="26" spans="1:11" ht="15">
      <c r="A26" t="s">
        <v>367</v>
      </c>
      <c r="B26" s="257">
        <f aca="true" t="shared" si="4" ref="B26:K26">B10-B25</f>
        <v>2579409</v>
      </c>
      <c r="C26" s="257">
        <f t="shared" si="4"/>
        <v>3645562</v>
      </c>
      <c r="D26" s="257">
        <f t="shared" si="4"/>
        <v>3905825</v>
      </c>
      <c r="E26" s="257">
        <f t="shared" si="4"/>
        <v>4310424</v>
      </c>
      <c r="F26" s="257">
        <f t="shared" si="4"/>
        <v>4216686</v>
      </c>
      <c r="G26" s="257">
        <f t="shared" si="4"/>
        <v>4159854</v>
      </c>
      <c r="H26" s="257">
        <f t="shared" si="4"/>
        <v>4745580.73</v>
      </c>
      <c r="I26" s="257">
        <f t="shared" si="4"/>
        <v>4647456.4454</v>
      </c>
      <c r="J26" s="257">
        <f t="shared" si="4"/>
        <v>4955421.8440620005</v>
      </c>
      <c r="K26" s="257">
        <f t="shared" si="4"/>
        <v>5105908.034348859</v>
      </c>
    </row>
    <row r="27" spans="1:11" ht="15">
      <c r="A27" t="s">
        <v>381</v>
      </c>
      <c r="B27" s="257">
        <v>675000</v>
      </c>
      <c r="C27" s="257">
        <v>620000</v>
      </c>
      <c r="D27" s="257">
        <v>795000</v>
      </c>
      <c r="E27" s="257">
        <v>830000</v>
      </c>
      <c r="F27" s="257">
        <v>865000</v>
      </c>
      <c r="G27" s="257">
        <v>900000</v>
      </c>
      <c r="H27" s="257">
        <f>940000</f>
        <v>940000</v>
      </c>
      <c r="I27" s="257">
        <f>980000</f>
        <v>980000</v>
      </c>
      <c r="J27" s="257">
        <f>1020000</f>
        <v>1020000</v>
      </c>
      <c r="K27">
        <v>1065000</v>
      </c>
    </row>
    <row r="28" spans="1:12" ht="15">
      <c r="A28" t="s">
        <v>384</v>
      </c>
      <c r="B28" s="257"/>
      <c r="C28" s="257"/>
      <c r="D28" s="257"/>
      <c r="E28" s="257"/>
      <c r="F28" s="257"/>
      <c r="H28" s="257">
        <v>230000</v>
      </c>
      <c r="I28" s="257">
        <v>235000</v>
      </c>
      <c r="J28" s="257">
        <v>240000</v>
      </c>
      <c r="K28" s="257">
        <v>260000</v>
      </c>
      <c r="L28" s="257"/>
    </row>
    <row r="29" spans="1:11" ht="15">
      <c r="A29" t="s">
        <v>382</v>
      </c>
      <c r="B29" s="257">
        <f>B20</f>
        <v>1474991</v>
      </c>
      <c r="C29" s="257">
        <f>C20</f>
        <v>1507339</v>
      </c>
      <c r="D29" s="257">
        <f>D20</f>
        <v>1881003</v>
      </c>
      <c r="E29" s="257">
        <f>E20</f>
        <v>2133190</v>
      </c>
      <c r="F29" s="257">
        <v>2065089</v>
      </c>
      <c r="G29" s="257">
        <f>H20</f>
        <v>1363111</v>
      </c>
      <c r="H29" s="257">
        <f>I20</f>
        <v>1326794</v>
      </c>
      <c r="I29" s="257">
        <f>J20</f>
        <v>1286771</v>
      </c>
      <c r="J29" s="257">
        <f>K20</f>
        <v>1243656</v>
      </c>
      <c r="K29" s="33">
        <v>1200173.76</v>
      </c>
    </row>
    <row r="30" spans="1:11" ht="15">
      <c r="A30" t="s">
        <v>385</v>
      </c>
      <c r="B30" s="257"/>
      <c r="C30" s="257"/>
      <c r="D30" s="257"/>
      <c r="E30" s="257"/>
      <c r="F30" s="257"/>
      <c r="G30" s="257">
        <v>948925</v>
      </c>
      <c r="H30" s="257">
        <v>948925</v>
      </c>
      <c r="I30" s="257">
        <v>942025</v>
      </c>
      <c r="J30" s="257">
        <v>934975</v>
      </c>
      <c r="K30" s="257">
        <v>925375</v>
      </c>
    </row>
    <row r="31" spans="1:11" ht="15">
      <c r="A31" t="s">
        <v>379</v>
      </c>
      <c r="B31" s="257"/>
      <c r="C31" s="257"/>
      <c r="D31" s="257"/>
      <c r="E31" s="257"/>
      <c r="F31" s="257"/>
      <c r="G31" s="257">
        <v>-919437</v>
      </c>
      <c r="H31" s="257">
        <v>-192386</v>
      </c>
      <c r="I31" s="257"/>
      <c r="J31" s="257"/>
      <c r="K31" s="257"/>
    </row>
    <row r="32" spans="1:11" ht="15">
      <c r="A32" t="s">
        <v>380</v>
      </c>
      <c r="B32" s="257">
        <f>SUM(B27:B31)</f>
        <v>2149991</v>
      </c>
      <c r="C32" s="257">
        <f>SUM(C27:C31)</f>
        <v>2127339</v>
      </c>
      <c r="D32" s="257">
        <f aca="true" t="shared" si="5" ref="D32:K32">SUM(D27:D31)</f>
        <v>2676003</v>
      </c>
      <c r="E32" s="257">
        <f t="shared" si="5"/>
        <v>2963190</v>
      </c>
      <c r="F32" s="257">
        <f t="shared" si="5"/>
        <v>2930089</v>
      </c>
      <c r="G32" s="257">
        <f t="shared" si="5"/>
        <v>2292599</v>
      </c>
      <c r="H32" s="257">
        <f t="shared" si="5"/>
        <v>3253333</v>
      </c>
      <c r="I32" s="257">
        <f t="shared" si="5"/>
        <v>3443796</v>
      </c>
      <c r="J32" s="257">
        <f t="shared" si="5"/>
        <v>3438631</v>
      </c>
      <c r="K32" s="257">
        <f t="shared" si="5"/>
        <v>3450548.76</v>
      </c>
    </row>
    <row r="34" spans="1:11" ht="15">
      <c r="A34" t="s">
        <v>368</v>
      </c>
      <c r="B34" s="258">
        <f>B26/B32</f>
        <v>1.1997301384052306</v>
      </c>
      <c r="C34" s="258">
        <f aca="true" t="shared" si="6" ref="C34:K34">C26/C32</f>
        <v>1.7136723390113189</v>
      </c>
      <c r="D34" s="258">
        <f t="shared" si="6"/>
        <v>1.4595742231978066</v>
      </c>
      <c r="E34" s="258">
        <f t="shared" si="6"/>
        <v>1.4546566369351948</v>
      </c>
      <c r="F34" s="258">
        <f t="shared" si="6"/>
        <v>1.4390982662983958</v>
      </c>
      <c r="G34" s="258">
        <f t="shared" si="6"/>
        <v>1.81447082546926</v>
      </c>
      <c r="H34" s="258">
        <f t="shared" si="6"/>
        <v>1.4586827508896263</v>
      </c>
      <c r="I34" s="258">
        <f t="shared" si="6"/>
        <v>1.3495156058605096</v>
      </c>
      <c r="J34" s="258">
        <f t="shared" si="6"/>
        <v>1.441103114600549</v>
      </c>
      <c r="K34" s="258">
        <f t="shared" si="6"/>
        <v>1.4797379748805115</v>
      </c>
    </row>
    <row r="36" ht="15">
      <c r="A36" s="256" t="s">
        <v>369</v>
      </c>
    </row>
    <row r="37" ht="15">
      <c r="A37" t="s">
        <v>371</v>
      </c>
    </row>
    <row r="38" ht="15">
      <c r="A38" t="s">
        <v>372</v>
      </c>
    </row>
    <row r="39" ht="15">
      <c r="A39" t="s">
        <v>373</v>
      </c>
    </row>
    <row r="40" ht="15">
      <c r="A40" t="s">
        <v>386</v>
      </c>
    </row>
    <row r="41" ht="15">
      <c r="A41" s="231" t="s">
        <v>387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West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Motherway</dc:creator>
  <cp:keywords/>
  <dc:description/>
  <cp:lastModifiedBy>Chris.Kinsley</cp:lastModifiedBy>
  <cp:lastPrinted>2009-03-03T17:11:56Z</cp:lastPrinted>
  <dcterms:created xsi:type="dcterms:W3CDTF">2008-09-18T20:06:20Z</dcterms:created>
  <dcterms:modified xsi:type="dcterms:W3CDTF">2009-03-03T20:38:44Z</dcterms:modified>
  <cp:category/>
  <cp:version/>
  <cp:contentType/>
  <cp:contentStatus/>
</cp:coreProperties>
</file>