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25" activeTab="0"/>
  </bookViews>
  <sheets>
    <sheet name="2009-10 March Cut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enchmark" localSheetId="0">#REF!</definedName>
    <definedName name="Benchmark">#REF!</definedName>
    <definedName name="Build_Space" localSheetId="0">#REF!</definedName>
    <definedName name="Build_Space">#REF!</definedName>
    <definedName name="CIP">'[3]CIP2005'!$A$2:$T$58</definedName>
    <definedName name="cip5">'[4]CIP2005'!$A$2:$T$58</definedName>
    <definedName name="Const_Cost" localSheetId="0">#REF!</definedName>
    <definedName name="Const_Cost">#REF!</definedName>
    <definedName name="newprint">#REF!</definedName>
    <definedName name="oldprint">#REF!</definedName>
    <definedName name="_xlnm.Print_Area" localSheetId="0">'2009-10 March Cuts'!$A$1:$O$174</definedName>
    <definedName name="Print_Area_MI" localSheetId="0">#REF!</definedName>
    <definedName name="Print_Area_MI">#REF!</definedName>
    <definedName name="_xlnm.Print_Titles" localSheetId="0">'2009-10 March Cuts'!$1:$11</definedName>
    <definedName name="Print_Titles_MI" localSheetId="0">#REF!</definedName>
    <definedName name="Print_Titles_MI">#REF!</definedName>
    <definedName name="print1">#REF!</definedName>
    <definedName name="print111">#REF!</definedName>
    <definedName name="print1a" localSheetId="0">#REF!</definedName>
    <definedName name="print1a">#REF!</definedName>
    <definedName name="print2">#REF!</definedName>
    <definedName name="print2a" localSheetId="0">#REF!</definedName>
    <definedName name="print2a">#REF!</definedName>
    <definedName name="print3">#REF!</definedName>
    <definedName name="print3a" localSheetId="0">#REF!</definedName>
    <definedName name="print3a">#REF!</definedName>
    <definedName name="printaa">#REF!</definedName>
    <definedName name="Prof_FE" localSheetId="0">#REF!</definedName>
    <definedName name="Prof_FE">#REF!</definedName>
    <definedName name="sls">#REF!</definedName>
    <definedName name="sls1">#REF!</definedName>
    <definedName name="Yr_Fund" localSheetId="0">#REF!</definedName>
    <definedName name="Yr_Fund">#REF!</definedName>
  </definedNames>
  <calcPr fullCalcOnLoad="1"/>
</workbook>
</file>

<file path=xl/sharedStrings.xml><?xml version="1.0" encoding="utf-8"?>
<sst xmlns="http://schemas.openxmlformats.org/spreadsheetml/2006/main" count="166" uniqueCount="140">
  <si>
    <t xml:space="preserve">         </t>
  </si>
  <si>
    <t>Board of Governors</t>
  </si>
  <si>
    <t>STATE UNIVERSITY SYSTEM OF FLORIDA</t>
  </si>
  <si>
    <t xml:space="preserve"> 2009-2010/2011-2012 Three Year PECO Project List</t>
  </si>
  <si>
    <t>by University and Project</t>
  </si>
  <si>
    <t>Prior Years</t>
  </si>
  <si>
    <t>Univ</t>
  </si>
  <si>
    <t>Project</t>
  </si>
  <si>
    <t>2006-2007</t>
  </si>
  <si>
    <t>2007-2008</t>
  </si>
  <si>
    <t>2008-2009</t>
  </si>
  <si>
    <t>2009-2010</t>
  </si>
  <si>
    <t>2010-2011</t>
  </si>
  <si>
    <t>2011-2012</t>
  </si>
  <si>
    <t>3-Year Total</t>
  </si>
  <si>
    <t>UF</t>
  </si>
  <si>
    <t>Utilities/Infrastructure/Capital Renewal/Roofs (P,C,E)(P,C,E)(P,C,E)</t>
  </si>
  <si>
    <t>Chemistry/Chemical Biology  Building (C)(C,E)</t>
  </si>
  <si>
    <t>Biomedical Sciences Building (C,E)</t>
  </si>
  <si>
    <t>Veterinary Education and Clinical Research Center (C,E)</t>
  </si>
  <si>
    <t>Research &amp; Conference Facility at Lake Nona (P,C)</t>
  </si>
  <si>
    <t>Multidisciplinary Nanosystems Facility (C,E)</t>
  </si>
  <si>
    <t>Pathogen Research Facility (P,C)</t>
  </si>
  <si>
    <t>IFAS Statewide Rep., Ren. and Infrastructure Imp. (P,C,E)</t>
  </si>
  <si>
    <t>TOTAL</t>
  </si>
  <si>
    <t>FSU</t>
  </si>
  <si>
    <t>Academic Support Building (P,C) (E)</t>
  </si>
  <si>
    <t>Library Information Commons (P,C)(C,E)</t>
  </si>
  <si>
    <t>FAMU-FSU College of Engineering III - Joint Use (P),(C ),(E)</t>
  </si>
  <si>
    <t>College of Law Remodeling &amp; Expansion (P,C,E)</t>
  </si>
  <si>
    <t>Dittmer Building Remodeling (P)</t>
  </si>
  <si>
    <t>College of Education Building Expansion (C,E)</t>
  </si>
  <si>
    <t>Ruby Diamond Renovation (C,E)</t>
  </si>
  <si>
    <t>Johnston Building Remodeling (C,E)</t>
  </si>
  <si>
    <t>Nursing / Health Facility (P,C)</t>
  </si>
  <si>
    <t>Neuroscience and Reading Institute (C,E)</t>
  </si>
  <si>
    <t>College of Education Building Expansion (P)</t>
  </si>
  <si>
    <t>Life Sciences Teaching &amp; Research Center (C,E)</t>
  </si>
  <si>
    <t>Administrative Services Center Panama City (C,E)</t>
  </si>
  <si>
    <t>Panama City Campus - Academic Center (C,E)</t>
  </si>
  <si>
    <t>Land Acquisition (S)</t>
  </si>
  <si>
    <t>FAMU</t>
  </si>
  <si>
    <t>Pharmacy Phase II (C,E) (C,E)</t>
  </si>
  <si>
    <t>Dyson Building Remodeling (P)</t>
  </si>
  <si>
    <t>University Commons Renovation (C,E)</t>
  </si>
  <si>
    <t>Multi-Purpose Center Teaching Gymnasium (C,E)</t>
  </si>
  <si>
    <t xml:space="preserve">Tucker Hall Remodeling (C,E) </t>
  </si>
  <si>
    <t>Rural Diversity Healthcare-Crestview</t>
  </si>
  <si>
    <t>University Commons Renovation (C)</t>
  </si>
  <si>
    <t xml:space="preserve">Developmental Research School (C,E) </t>
  </si>
  <si>
    <t>Jones Hall Remodeling (P,C,E)</t>
  </si>
  <si>
    <t>Gore Education Complex Remodeling (P,C)</t>
  </si>
  <si>
    <t>USF</t>
  </si>
  <si>
    <t>Sarasota/Manatee Utilities/Infrastructure/Capital Renewal/Roofs (P,C,E)(P,C,E)(P,C,E)</t>
  </si>
  <si>
    <t>USF St. Pete. Utilities/Infrastructure/Capital Renewal/Roofs (P,C,E)(P,C,E)(P,C,E)</t>
  </si>
  <si>
    <t>Interdisciplinary Science Teaching &amp; Research Facility (C,E) (C,E)</t>
  </si>
  <si>
    <t>USF Polytechnic New Campus Phase I (C )(C,E)</t>
  </si>
  <si>
    <t>Undergraduate Classroom and Support Building Phase I (P) (C )</t>
  </si>
  <si>
    <t>Visual &amp; Performing Arts Teaching Facility (C,E)</t>
  </si>
  <si>
    <t>USF St. Pete Science &amp; Tech. Gen. Acad. Fac (C,E)</t>
  </si>
  <si>
    <t>FAU</t>
  </si>
  <si>
    <t>FAU/UF Joint Use Facility - Davie (E)</t>
  </si>
  <si>
    <t>General Classroom/Engineering Building (E )</t>
  </si>
  <si>
    <t>General Classroom Facility-Phase I (E)</t>
  </si>
  <si>
    <t>FAU/SCRIPPS Joint Use Facility Expansion - Jupiter (P,C,E) (P,C,E) (P,C,E)</t>
  </si>
  <si>
    <t>Florida Atlantic Blvd.  4 Lane - Lee St. to R&amp;D Park (P,C)</t>
  </si>
  <si>
    <t>FAU/Scripps Joint Use Facility - Jupiter (P.C.E)</t>
  </si>
  <si>
    <t xml:space="preserve">Expansion/Remodel Computer Center #22 (C,E) </t>
  </si>
  <si>
    <t>Port St. Lucie - Partner Campus Phase II (P,C,E)</t>
  </si>
  <si>
    <t>FAU/UF Davie Facility (P,C)</t>
  </si>
  <si>
    <t>Remodel &amp; Renovation Harbor Branch Campus</t>
  </si>
  <si>
    <t>Harbor Branch/FAU Transition (P,C,E)</t>
  </si>
  <si>
    <t>College of Arts &amp; Letters - Arts &amp; Humanities Addition (P,C,E)</t>
  </si>
  <si>
    <t>UWF</t>
  </si>
  <si>
    <t>College of Business Education Ctr.Ph.II of III (P,C,E)(P,C,E)</t>
  </si>
  <si>
    <t>Natatorium Renovation (P,C,E)</t>
  </si>
  <si>
    <t>Science and Technology, Phase I (C,E)</t>
  </si>
  <si>
    <t>UCF</t>
  </si>
  <si>
    <t>Physical Sciences Building Phase II (E)</t>
  </si>
  <si>
    <t>Partnership III Building (C,E)</t>
  </si>
  <si>
    <t>Classroom Building II (P)(C )(E)</t>
  </si>
  <si>
    <t>VCC-UCF Joint Use Facility (C,E)</t>
  </si>
  <si>
    <t>Arts Complex II-Performance (P,C,E)</t>
  </si>
  <si>
    <t>Bio-Medical Science Center (C,E)</t>
  </si>
  <si>
    <t>SCC-UCF Joint Use Facility (P,C,E)</t>
  </si>
  <si>
    <t>Physical Sciences Building (P,C)</t>
  </si>
  <si>
    <t>Hazardous Waste Expansion (P,C,E)</t>
  </si>
  <si>
    <t>Public Safety Building (P,C,E)</t>
  </si>
  <si>
    <t>FIU</t>
  </si>
  <si>
    <t>Student Academic Support Center - UP (C,E) (C,E)</t>
  </si>
  <si>
    <t>Remodel./Renov. of Exist. Educ. Space - UP (P,C,E)(P,C,E)</t>
  </si>
  <si>
    <t>Public Safety Building Supplement - UP ( P,C,E )</t>
  </si>
  <si>
    <t>Social Sciences - Phase I Completion - UP ( P,C,E )</t>
  </si>
  <si>
    <t>Satellite Chiller Plant Expansion -- UP (P,C,E)</t>
  </si>
  <si>
    <t>Science/Classroom Complex - UP (C,E)</t>
  </si>
  <si>
    <t>Health Science Laboratory Clinic - UP (C,E )</t>
  </si>
  <si>
    <t>Molecular Biology, UP (C,E)</t>
  </si>
  <si>
    <t>Graduate Classroom Building - UP (P,C)</t>
  </si>
  <si>
    <t>Satellite Chiller Plant - UP (P)</t>
  </si>
  <si>
    <t>International Hurricane Center UP (P,C)</t>
  </si>
  <si>
    <t>UNF</t>
  </si>
  <si>
    <t xml:space="preserve">Science &amp; Humanities Building Ph. II (P,C,E) </t>
  </si>
  <si>
    <t>Land Acquisition</t>
  </si>
  <si>
    <t>Disability Resource Center (P,C,E)</t>
  </si>
  <si>
    <t>Education Building (C.E)</t>
  </si>
  <si>
    <t>Founders Hall (Bldg. 2) (P,C,E)</t>
  </si>
  <si>
    <t>AOL Building - Classroom/Lab/Office Building (S,P,C,E)</t>
  </si>
  <si>
    <t>FGCU</t>
  </si>
  <si>
    <t>Classrooms/Offices/Labs Academic 8 (P,C)(C,E)</t>
  </si>
  <si>
    <t>Classrooms/Offices/Labs Academic 9 (P,C) (C,E)</t>
  </si>
  <si>
    <t>Hospitality Management Building - Phase 2 (P,C,E)</t>
  </si>
  <si>
    <t>Classrooms/Offices/Labs Academic 6 (C)</t>
  </si>
  <si>
    <t>Classrooms/Offices/Labs Academic 7 (P,C)</t>
  </si>
  <si>
    <t>Fine Arts Phase 2 Auditorium (P,C,E)</t>
  </si>
  <si>
    <t>Central Energy Plant Expansion Phase 2 (P,C,E)</t>
  </si>
  <si>
    <t>Engineering Addition (P,C,E)</t>
  </si>
  <si>
    <t>NEWC</t>
  </si>
  <si>
    <t>Land Purchase (58th Street Properties)</t>
  </si>
  <si>
    <t>Robertson Hall Mechanical Renovation, Remodeling (P,C,E)</t>
  </si>
  <si>
    <t>Caples Fine Arts Mechanical Renovation (P,C) (C,E)</t>
  </si>
  <si>
    <t>Social Sciences Mechanical Renovation, Remodeling (P,C,E)</t>
  </si>
  <si>
    <t>Cook Library Mechanical Renovation, Remodeling (P,C) (P,C,E)</t>
  </si>
  <si>
    <t>Academic Facility (E)</t>
  </si>
  <si>
    <t>Hamilton Center/Hamilton Classroom Remodeling (P,C,E)</t>
  </si>
  <si>
    <t>Sea Wall Infrastructure Replacement (P,C)</t>
  </si>
  <si>
    <t>Remodel Parkview House/Westside Student Ctr. (P,C,E)</t>
  </si>
  <si>
    <t xml:space="preserve">GRAND TOTAL </t>
  </si>
  <si>
    <t>SUS Joint Use Library Storage Facility @ UF</t>
  </si>
  <si>
    <t>FAMU/FSU College of Engineering</t>
  </si>
  <si>
    <t>SUS FIO Research Vessel @ USF</t>
  </si>
  <si>
    <t xml:space="preserve">ESTIMATED REVENUE LIMITS** </t>
  </si>
  <si>
    <t xml:space="preserve">Year One </t>
  </si>
  <si>
    <t xml:space="preserve">Year Two </t>
  </si>
  <si>
    <t>Year 3</t>
  </si>
  <si>
    <t>**Estimated Revenue Limits are based on March 16, 2009 PECO Estimates</t>
  </si>
  <si>
    <t>Current Proposed PECO Funding w/cuts</t>
  </si>
  <si>
    <t>% Cut</t>
  </si>
  <si>
    <t>Applied Sciences Building (P)</t>
  </si>
  <si>
    <t xml:space="preserve">3/26/2009-Adjustments within Allocation </t>
  </si>
  <si>
    <t>2009 Jan Approved PECO Funding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</si>
</sst>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0_);\(0\)"/>
    <numFmt numFmtId="169" formatCode="mmmm\ d\,\ yyyy"/>
    <numFmt numFmtId="170" formatCode="&quot;$&quot;#,##0"/>
    <numFmt numFmtId="171" formatCode="mm/dd/yy;@"/>
    <numFmt numFmtId="172" formatCode="0.0000%"/>
    <numFmt numFmtId="173" formatCode="0.0%"/>
    <numFmt numFmtId="174" formatCode="0.00_)"/>
    <numFmt numFmtId="175" formatCode="[$-409]mmmm\ d\,\ yyyy;@"/>
    <numFmt numFmtId="176" formatCode="0.000000%"/>
    <numFmt numFmtId="177" formatCode="0.0"/>
    <numFmt numFmtId="178" formatCode="m/d"/>
    <numFmt numFmtId="179" formatCode="m/yy"/>
    <numFmt numFmtId="180" formatCode="mmmm\-yy"/>
    <numFmt numFmtId="181" formatCode="[$-409]mmmm\-yy;@"/>
    <numFmt numFmtId="182" formatCode="#,##0.0_);[Red]\(#,##0.0\)"/>
    <numFmt numFmtId="183" formatCode="_(* #,##0.0000_);_(* \(#,##0.0000\);_(* &quot;-&quot;????_);_(@_)"/>
    <numFmt numFmtId="184" formatCode="[$-409]dddd\,\ mmmm\ dd\,\ yyyy"/>
    <numFmt numFmtId="185" formatCode="#,##0;[Red]#,##0"/>
    <numFmt numFmtId="186" formatCode="#,##0.0"/>
    <numFmt numFmtId="187" formatCode="#,##0.000"/>
    <numFmt numFmtId="188" formatCode="&quot;$&quot;#,##0.0"/>
    <numFmt numFmtId="189" formatCode="_(* #,##0.0_);_(* \(#,##0.0\);_(* &quot;-&quot;??_);_(@_)"/>
    <numFmt numFmtId="190" formatCode="#,##0.0000"/>
    <numFmt numFmtId="191" formatCode="&quot;$&quot;#,##0.00"/>
    <numFmt numFmtId="192" formatCode="[$$-409]#,##0"/>
    <numFmt numFmtId="193" formatCode="[$$-409]#,##0.0"/>
    <numFmt numFmtId="194" formatCode="[$$-409]#,##0_);\([$$-409]#,##0\)"/>
    <numFmt numFmtId="195" formatCode="0.00000000000"/>
    <numFmt numFmtId="196" formatCode="#,##0.00000000000"/>
    <numFmt numFmtId="197" formatCode="m/d/yy;@"/>
    <numFmt numFmtId="198" formatCode="&quot;$&quot;#,##0;[Red]&quot;$&quot;#,##0"/>
    <numFmt numFmtId="199" formatCode="0.00_);\(0.00\)"/>
    <numFmt numFmtId="200" formatCode="#,##0.0_);\(#,##0.0\)"/>
    <numFmt numFmtId="201" formatCode="0_);[Red]\(0\)"/>
    <numFmt numFmtId="202" formatCode="0.000000"/>
    <numFmt numFmtId="203" formatCode="0.00000000"/>
    <numFmt numFmtId="204" formatCode="#,##0.00;[Red]#,##0.00"/>
    <numFmt numFmtId="205" formatCode="#,##0.000000_);\(#,##0.000000\)"/>
    <numFmt numFmtId="206" formatCode="#,##0.00000000_);\(#,##0.00000000\)"/>
    <numFmt numFmtId="207" formatCode="0.00000000%"/>
    <numFmt numFmtId="208" formatCode="00000"/>
    <numFmt numFmtId="209" formatCode="_(&quot;$&quot;* #,##0.0_);_(&quot;$&quot;* \(#,##0.0\);_(&quot;$&quot;* &quot;-&quot;??_);_(@_)"/>
    <numFmt numFmtId="210" formatCode="&quot;$&quot;#,##0.000_);[Red]\(&quot;$&quot;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#,##0.00000000"/>
    <numFmt numFmtId="217" formatCode="#,##0.0000000"/>
    <numFmt numFmtId="218" formatCode="m/d/yy"/>
    <numFmt numFmtId="219" formatCode="mm/dd/yy"/>
    <numFmt numFmtId="220" formatCode="0.00_);[Red]\(0.00\)"/>
    <numFmt numFmtId="221" formatCode="#,##0.0000000_);[Red]\(#,##0.0000000\)"/>
    <numFmt numFmtId="222" formatCode="mmmm\-yyyy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2"/>
      <name val="Arial"/>
      <family val="0"/>
    </font>
    <font>
      <i/>
      <sz val="11"/>
      <color indexed="23"/>
      <name val="Calibri"/>
      <family val="2"/>
    </font>
    <font>
      <u val="single"/>
      <sz val="7"/>
      <color indexed="36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6"/>
      <name val="Helv"/>
      <family val="0"/>
    </font>
    <font>
      <sz val="10"/>
      <name val="Arial"/>
      <family val="0"/>
    </font>
    <font>
      <sz val="7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MS Sans Serif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1"/>
      <color indexed="8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i/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u val="single"/>
      <sz val="11"/>
      <name val="Book Antiqua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0">
    <xf numFmtId="0" fontId="0" fillId="0" borderId="0" applyBorder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0" fillId="18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5" fontId="0" fillId="18" borderId="0">
      <alignment/>
      <protection/>
    </xf>
    <xf numFmtId="0" fontId="10" fillId="18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167" fontId="21" fillId="0" borderId="0">
      <alignment/>
      <protection/>
    </xf>
    <xf numFmtId="0" fontId="22" fillId="0" borderId="0">
      <alignment/>
      <protection/>
    </xf>
    <xf numFmtId="37" fontId="23" fillId="0" borderId="0">
      <alignment/>
      <protection/>
    </xf>
    <xf numFmtId="0" fontId="0" fillId="0" borderId="0">
      <alignment/>
      <protection/>
    </xf>
    <xf numFmtId="0" fontId="21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7" fontId="28" fillId="0" borderId="0" xfId="62" applyFont="1" applyFill="1" applyAlignment="1" applyProtection="1">
      <alignment horizontal="centerContinuous"/>
      <protection/>
    </xf>
    <xf numFmtId="0" fontId="29" fillId="0" borderId="0" xfId="63" applyFont="1" applyFill="1">
      <alignment/>
      <protection/>
    </xf>
    <xf numFmtId="37" fontId="29" fillId="0" borderId="0" xfId="62" applyFont="1" applyFill="1">
      <alignment/>
      <protection/>
    </xf>
    <xf numFmtId="37" fontId="28" fillId="0" borderId="0" xfId="62" applyFont="1" applyFill="1" applyAlignment="1" applyProtection="1">
      <alignment horizontal="center"/>
      <protection/>
    </xf>
    <xf numFmtId="49" fontId="30" fillId="0" borderId="0" xfId="62" applyNumberFormat="1" applyFont="1" applyFill="1" applyAlignment="1" applyProtection="1">
      <alignment horizontal="center"/>
      <protection/>
    </xf>
    <xf numFmtId="0" fontId="31" fillId="0" borderId="0" xfId="63" applyFont="1" applyFill="1" applyAlignment="1">
      <alignment horizontal="center"/>
      <protection/>
    </xf>
    <xf numFmtId="37" fontId="28" fillId="0" borderId="10" xfId="62" applyFont="1" applyFill="1" applyBorder="1" applyAlignment="1" applyProtection="1">
      <alignment horizontal="center"/>
      <protection/>
    </xf>
    <xf numFmtId="37" fontId="28" fillId="0" borderId="10" xfId="62" applyFont="1" applyFill="1" applyBorder="1" applyAlignment="1">
      <alignment horizontal="center" wrapText="1"/>
      <protection/>
    </xf>
    <xf numFmtId="37" fontId="29" fillId="0" borderId="0" xfId="62" applyFont="1" applyFill="1" applyAlignment="1">
      <alignment horizontal="center"/>
      <protection/>
    </xf>
    <xf numFmtId="37" fontId="29" fillId="0" borderId="0" xfId="62" applyFont="1" applyFill="1" applyBorder="1">
      <alignment/>
      <protection/>
    </xf>
    <xf numFmtId="3" fontId="29" fillId="0" borderId="0" xfId="62" applyNumberFormat="1" applyFont="1" applyFill="1" applyBorder="1" applyAlignment="1">
      <alignment horizontal="right"/>
      <protection/>
    </xf>
    <xf numFmtId="38" fontId="29" fillId="0" borderId="0" xfId="42" applyNumberFormat="1" applyFont="1" applyFill="1" applyBorder="1" applyAlignment="1">
      <alignment horizontal="right"/>
    </xf>
    <xf numFmtId="38" fontId="29" fillId="0" borderId="0" xfId="42" applyNumberFormat="1" applyFont="1" applyFill="1" applyAlignment="1">
      <alignment horizontal="left"/>
    </xf>
    <xf numFmtId="0" fontId="29" fillId="0" borderId="0" xfId="63" applyFont="1" applyFill="1" applyBorder="1">
      <alignment/>
      <protection/>
    </xf>
    <xf numFmtId="6" fontId="29" fillId="0" borderId="0" xfId="66" applyNumberFormat="1" applyFont="1" applyFill="1" applyAlignment="1">
      <alignment/>
    </xf>
    <xf numFmtId="37" fontId="29" fillId="0" borderId="0" xfId="62" applyFont="1" applyFill="1" applyAlignment="1" applyProtection="1">
      <alignment horizontal="left"/>
      <protection/>
    </xf>
    <xf numFmtId="38" fontId="29" fillId="0" borderId="0" xfId="42" applyNumberFormat="1" applyFont="1" applyFill="1" applyAlignment="1">
      <alignment/>
    </xf>
    <xf numFmtId="38" fontId="29" fillId="0" borderId="0" xfId="42" applyNumberFormat="1" applyFont="1" applyFill="1" applyAlignment="1" applyProtection="1">
      <alignment/>
      <protection/>
    </xf>
    <xf numFmtId="38" fontId="29" fillId="0" borderId="0" xfId="42" applyNumberFormat="1" applyFont="1" applyFill="1" applyBorder="1" applyAlignment="1" applyProtection="1">
      <alignment horizontal="right"/>
      <protection locked="0"/>
    </xf>
    <xf numFmtId="38" fontId="29" fillId="0" borderId="0" xfId="42" applyNumberFormat="1" applyFont="1" applyFill="1" applyBorder="1" applyAlignment="1" applyProtection="1">
      <alignment horizontal="right"/>
      <protection/>
    </xf>
    <xf numFmtId="37" fontId="32" fillId="0" borderId="0" xfId="62" applyFont="1" applyFill="1">
      <alignment/>
      <protection/>
    </xf>
    <xf numFmtId="167" fontId="29" fillId="0" borderId="0" xfId="0" applyNumberFormat="1" applyFont="1" applyFill="1" applyBorder="1" applyAlignment="1" applyProtection="1">
      <alignment/>
      <protection locked="0"/>
    </xf>
    <xf numFmtId="38" fontId="29" fillId="0" borderId="0" xfId="42" applyNumberFormat="1" applyFont="1" applyFill="1" applyBorder="1" applyAlignment="1" applyProtection="1">
      <alignment/>
      <protection locked="0"/>
    </xf>
    <xf numFmtId="38" fontId="29" fillId="0" borderId="0" xfId="42" applyNumberFormat="1" applyFont="1" applyFill="1" applyAlignment="1">
      <alignment/>
    </xf>
    <xf numFmtId="37" fontId="29" fillId="0" borderId="0" xfId="62" applyFont="1" applyFill="1" applyProtection="1">
      <alignment/>
      <protection/>
    </xf>
    <xf numFmtId="0" fontId="29" fillId="0" borderId="0" xfId="63" applyFont="1" applyFill="1" applyBorder="1" applyAlignment="1" applyProtection="1">
      <alignment horizontal="left"/>
      <protection/>
    </xf>
    <xf numFmtId="0" fontId="29" fillId="0" borderId="0" xfId="61" applyFont="1" applyFill="1" applyBorder="1" applyAlignment="1" applyProtection="1">
      <alignment horizontal="left"/>
      <protection/>
    </xf>
    <xf numFmtId="38" fontId="29" fillId="0" borderId="0" xfId="42" applyNumberFormat="1" applyFont="1" applyFill="1" applyBorder="1" applyAlignment="1" applyProtection="1">
      <alignment wrapText="1"/>
      <protection locked="0"/>
    </xf>
    <xf numFmtId="0" fontId="29" fillId="0" borderId="0" xfId="0" applyFont="1" applyFill="1" applyAlignment="1" applyProtection="1">
      <alignment horizontal="left"/>
      <protection/>
    </xf>
    <xf numFmtId="38" fontId="29" fillId="0" borderId="0" xfId="42" applyNumberFormat="1" applyFont="1" applyFill="1" applyBorder="1" applyAlignment="1">
      <alignment horizontal="left"/>
    </xf>
    <xf numFmtId="0" fontId="29" fillId="0" borderId="0" xfId="0" applyFont="1" applyFill="1" applyAlignment="1">
      <alignment/>
    </xf>
    <xf numFmtId="37" fontId="29" fillId="0" borderId="0" xfId="62" applyFont="1" applyFill="1" applyBorder="1" applyAlignment="1" applyProtection="1">
      <alignment vertical="top"/>
      <protection/>
    </xf>
    <xf numFmtId="3" fontId="28" fillId="0" borderId="0" xfId="62" applyNumberFormat="1" applyFont="1" applyFill="1" applyBorder="1" applyAlignment="1" applyProtection="1">
      <alignment horizontal="left"/>
      <protection/>
    </xf>
    <xf numFmtId="38" fontId="28" fillId="0" borderId="11" xfId="42" applyNumberFormat="1" applyFont="1" applyFill="1" applyBorder="1" applyAlignment="1">
      <alignment horizontal="right"/>
    </xf>
    <xf numFmtId="3" fontId="33" fillId="0" borderId="0" xfId="62" applyNumberFormat="1" applyFont="1" applyFill="1" applyBorder="1" applyAlignment="1">
      <alignment horizontal="left"/>
      <protection/>
    </xf>
    <xf numFmtId="38" fontId="33" fillId="0" borderId="0" xfId="42" applyNumberFormat="1" applyFont="1" applyFill="1" applyBorder="1" applyAlignment="1">
      <alignment horizontal="left"/>
    </xf>
    <xf numFmtId="38" fontId="33" fillId="0" borderId="0" xfId="42" applyNumberFormat="1" applyFont="1" applyFill="1" applyAlignment="1">
      <alignment horizontal="right"/>
    </xf>
    <xf numFmtId="0" fontId="32" fillId="0" borderId="0" xfId="0" applyFont="1" applyFill="1" applyBorder="1" applyAlignment="1">
      <alignment vertical="center"/>
    </xf>
    <xf numFmtId="38" fontId="32" fillId="0" borderId="0" xfId="42" applyNumberFormat="1" applyFont="1" applyFill="1" applyBorder="1" applyAlignment="1">
      <alignment vertical="center"/>
    </xf>
    <xf numFmtId="38" fontId="29" fillId="0" borderId="0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vertical="center"/>
    </xf>
    <xf numFmtId="38" fontId="29" fillId="0" borderId="0" xfId="42" applyNumberFormat="1" applyFont="1" applyFill="1" applyBorder="1" applyAlignment="1">
      <alignment vertical="center"/>
    </xf>
    <xf numFmtId="38" fontId="29" fillId="0" borderId="0" xfId="42" applyNumberFormat="1" applyFont="1" applyFill="1" applyAlignment="1" applyProtection="1">
      <alignment horizontal="right"/>
      <protection/>
    </xf>
    <xf numFmtId="37" fontId="28" fillId="0" borderId="0" xfId="62" applyFont="1" applyFill="1" applyBorder="1" applyAlignment="1" applyProtection="1">
      <alignment horizontal="center" vertical="top"/>
      <protection/>
    </xf>
    <xf numFmtId="0" fontId="29" fillId="0" borderId="0" xfId="61" applyFont="1" applyFill="1" applyBorder="1" applyAlignment="1">
      <alignment vertical="center"/>
      <protection/>
    </xf>
    <xf numFmtId="38" fontId="28" fillId="0" borderId="0" xfId="42" applyNumberFormat="1" applyFont="1" applyFill="1" applyBorder="1" applyAlignment="1" applyProtection="1">
      <alignment horizontal="right"/>
      <protection/>
    </xf>
    <xf numFmtId="0" fontId="29" fillId="0" borderId="0" xfId="63" applyFont="1" applyFill="1" applyBorder="1" applyAlignment="1">
      <alignment vertical="center"/>
      <protection/>
    </xf>
    <xf numFmtId="37" fontId="28" fillId="0" borderId="0" xfId="62" applyFont="1" applyFill="1" applyBorder="1" applyAlignment="1" applyProtection="1">
      <alignment vertical="top"/>
      <protection/>
    </xf>
    <xf numFmtId="38" fontId="28" fillId="0" borderId="12" xfId="42" applyNumberFormat="1" applyFont="1" applyFill="1" applyBorder="1" applyAlignment="1" applyProtection="1">
      <alignment horizontal="right"/>
      <protection/>
    </xf>
    <xf numFmtId="38" fontId="28" fillId="0" borderId="0" xfId="42" applyNumberFormat="1" applyFont="1" applyFill="1" applyBorder="1" applyAlignment="1" applyProtection="1">
      <alignment horizontal="left"/>
      <protection/>
    </xf>
    <xf numFmtId="38" fontId="29" fillId="0" borderId="0" xfId="42" applyNumberFormat="1" applyFont="1" applyFill="1" applyAlignment="1" applyProtection="1">
      <alignment horizontal="left"/>
      <protection/>
    </xf>
    <xf numFmtId="38" fontId="29" fillId="0" borderId="0" xfId="42" applyNumberFormat="1" applyFont="1" applyFill="1" applyAlignment="1">
      <alignment horizontal="right"/>
    </xf>
    <xf numFmtId="37" fontId="29" fillId="0" borderId="0" xfId="62" applyFont="1" applyFill="1" applyBorder="1" applyAlignment="1">
      <alignment vertical="top"/>
      <protection/>
    </xf>
    <xf numFmtId="38" fontId="29" fillId="0" borderId="0" xfId="42" applyNumberFormat="1" applyFont="1" applyFill="1" applyBorder="1" applyAlignment="1" applyProtection="1">
      <alignment horizontal="right"/>
      <protection hidden="1"/>
    </xf>
    <xf numFmtId="37" fontId="29" fillId="0" borderId="0" xfId="62" applyFont="1" applyFill="1" applyAlignment="1">
      <alignment horizontal="left"/>
      <protection/>
    </xf>
    <xf numFmtId="167" fontId="29" fillId="0" borderId="0" xfId="60" applyFont="1" applyFill="1" applyAlignment="1">
      <alignment horizontal="left"/>
      <protection/>
    </xf>
    <xf numFmtId="38" fontId="29" fillId="0" borderId="0" xfId="42" applyNumberFormat="1" applyFont="1" applyFill="1" applyBorder="1" applyAlignment="1">
      <alignment/>
    </xf>
    <xf numFmtId="167" fontId="29" fillId="0" borderId="0" xfId="60" applyFont="1" applyFill="1">
      <alignment/>
      <protection/>
    </xf>
    <xf numFmtId="38" fontId="29" fillId="0" borderId="0" xfId="42" applyNumberFormat="1" applyFont="1" applyFill="1" applyBorder="1" applyAlignment="1" applyProtection="1">
      <alignment horizontal="right" vertical="top"/>
      <protection hidden="1"/>
    </xf>
    <xf numFmtId="38" fontId="29" fillId="0" borderId="0" xfId="42" applyNumberFormat="1" applyFont="1" applyFill="1" applyBorder="1" applyAlignment="1" applyProtection="1">
      <alignment vertical="top"/>
      <protection hidden="1"/>
    </xf>
    <xf numFmtId="38" fontId="29" fillId="0" borderId="0" xfId="60" applyNumberFormat="1" applyFont="1" applyFill="1" applyBorder="1" applyAlignment="1" applyProtection="1">
      <alignment vertical="top"/>
      <protection hidden="1"/>
    </xf>
    <xf numFmtId="0" fontId="29" fillId="0" borderId="0" xfId="0" applyFont="1" applyFill="1" applyAlignment="1" applyProtection="1">
      <alignment vertical="top"/>
      <protection hidden="1"/>
    </xf>
    <xf numFmtId="38" fontId="29" fillId="0" borderId="0" xfId="42" applyNumberFormat="1" applyFont="1" applyFill="1" applyAlignment="1" applyProtection="1">
      <alignment vertical="top"/>
      <protection hidden="1"/>
    </xf>
    <xf numFmtId="38" fontId="28" fillId="0" borderId="11" xfId="42" applyNumberFormat="1" applyFont="1" applyFill="1" applyBorder="1" applyAlignment="1" applyProtection="1">
      <alignment horizontal="right"/>
      <protection/>
    </xf>
    <xf numFmtId="38" fontId="33" fillId="0" borderId="0" xfId="42" applyNumberFormat="1" applyFont="1" applyFill="1" applyBorder="1" applyAlignment="1" applyProtection="1">
      <alignment horizontal="right"/>
      <protection/>
    </xf>
    <xf numFmtId="0" fontId="29" fillId="0" borderId="0" xfId="61" applyFont="1" applyFill="1" applyAlignment="1" applyProtection="1">
      <alignment horizontal="left"/>
      <protection/>
    </xf>
    <xf numFmtId="37" fontId="32" fillId="0" borderId="0" xfId="62" applyFont="1" applyFill="1" applyAlignment="1">
      <alignment/>
      <protection/>
    </xf>
    <xf numFmtId="37" fontId="29" fillId="0" borderId="0" xfId="62" applyFont="1" applyFill="1" applyAlignment="1">
      <alignment/>
      <protection/>
    </xf>
    <xf numFmtId="0" fontId="29" fillId="0" borderId="0" xfId="63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vertical="center"/>
      <protection/>
    </xf>
    <xf numFmtId="38" fontId="29" fillId="0" borderId="0" xfId="42" applyNumberFormat="1" applyFont="1" applyFill="1" applyAlignment="1" applyProtection="1">
      <alignment vertical="center"/>
      <protection/>
    </xf>
    <xf numFmtId="37" fontId="28" fillId="0" borderId="0" xfId="62" applyFont="1" applyFill="1" applyAlignment="1" applyProtection="1">
      <alignment/>
      <protection/>
    </xf>
    <xf numFmtId="3" fontId="29" fillId="0" borderId="0" xfId="62" applyNumberFormat="1" applyFont="1" applyFill="1" applyBorder="1" applyAlignment="1">
      <alignment horizontal="left"/>
      <protection/>
    </xf>
    <xf numFmtId="0" fontId="29" fillId="0" borderId="0" xfId="0" applyFont="1" applyFill="1" applyBorder="1" applyAlignment="1">
      <alignment/>
    </xf>
    <xf numFmtId="38" fontId="29" fillId="0" borderId="0" xfId="42" applyNumberFormat="1" applyFont="1" applyFill="1" applyBorder="1" applyAlignment="1">
      <alignment/>
    </xf>
    <xf numFmtId="38" fontId="28" fillId="0" borderId="0" xfId="42" applyNumberFormat="1" applyFont="1" applyFill="1" applyAlignment="1">
      <alignment/>
    </xf>
    <xf numFmtId="38" fontId="28" fillId="0" borderId="0" xfId="42" applyNumberFormat="1" applyFont="1" applyFill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61" applyFont="1" applyFill="1">
      <alignment/>
      <protection/>
    </xf>
    <xf numFmtId="38" fontId="28" fillId="0" borderId="0" xfId="42" applyNumberFormat="1" applyFont="1" applyFill="1" applyAlignment="1">
      <alignment/>
    </xf>
    <xf numFmtId="0" fontId="29" fillId="0" borderId="0" xfId="61" applyFont="1" applyFill="1" applyAlignment="1">
      <alignment horizontal="left"/>
      <protection/>
    </xf>
    <xf numFmtId="0" fontId="29" fillId="0" borderId="0" xfId="61" applyFont="1" applyFill="1" applyAlignment="1">
      <alignment horizontal="left" wrapText="1"/>
      <protection/>
    </xf>
    <xf numFmtId="38" fontId="29" fillId="0" borderId="0" xfId="42" applyNumberFormat="1" applyFont="1" applyFill="1" applyAlignment="1">
      <alignment wrapText="1"/>
    </xf>
    <xf numFmtId="38" fontId="28" fillId="0" borderId="0" xfId="42" applyNumberFormat="1" applyFont="1" applyFill="1" applyAlignment="1">
      <alignment horizontal="left" wrapText="1"/>
    </xf>
    <xf numFmtId="38" fontId="28" fillId="0" borderId="0" xfId="42" applyNumberFormat="1" applyFont="1" applyFill="1" applyAlignment="1">
      <alignment wrapText="1"/>
    </xf>
    <xf numFmtId="37" fontId="28" fillId="0" borderId="0" xfId="62" applyFont="1" applyFill="1" applyAlignment="1" applyProtection="1">
      <alignment horizontal="center" vertical="top"/>
      <protection/>
    </xf>
    <xf numFmtId="185" fontId="29" fillId="0" borderId="0" xfId="62" applyNumberFormat="1" applyFont="1" applyFill="1" applyAlignment="1" applyProtection="1">
      <alignment horizontal="left"/>
      <protection/>
    </xf>
    <xf numFmtId="38" fontId="29" fillId="0" borderId="0" xfId="42" applyNumberFormat="1" applyFont="1" applyFill="1" applyAlignment="1" applyProtection="1">
      <alignment/>
      <protection/>
    </xf>
    <xf numFmtId="0" fontId="29" fillId="0" borderId="0" xfId="63" applyFont="1" applyFill="1" applyAlignment="1">
      <alignment horizontal="left" wrapText="1"/>
      <protection/>
    </xf>
    <xf numFmtId="3" fontId="29" fillId="0" borderId="0" xfId="62" applyNumberFormat="1" applyFont="1" applyFill="1" applyBorder="1" applyAlignment="1" applyProtection="1">
      <alignment horizontal="left"/>
      <protection/>
    </xf>
    <xf numFmtId="38" fontId="29" fillId="0" borderId="0" xfId="42" applyNumberFormat="1" applyFont="1" applyFill="1" applyBorder="1" applyAlignment="1" applyProtection="1">
      <alignment horizontal="left"/>
      <protection/>
    </xf>
    <xf numFmtId="38" fontId="28" fillId="0" borderId="10" xfId="42" applyNumberFormat="1" applyFont="1" applyFill="1" applyBorder="1" applyAlignment="1" applyProtection="1">
      <alignment horizontal="right"/>
      <protection/>
    </xf>
    <xf numFmtId="3" fontId="28" fillId="0" borderId="0" xfId="62" applyNumberFormat="1" applyFont="1" applyFill="1" applyBorder="1" applyAlignment="1" applyProtection="1">
      <alignment horizontal="right"/>
      <protection/>
    </xf>
    <xf numFmtId="38" fontId="28" fillId="0" borderId="13" xfId="42" applyNumberFormat="1" applyFont="1" applyFill="1" applyBorder="1" applyAlignment="1" applyProtection="1">
      <alignment horizontal="right"/>
      <protection/>
    </xf>
    <xf numFmtId="38" fontId="28" fillId="0" borderId="14" xfId="42" applyNumberFormat="1" applyFont="1" applyFill="1" applyBorder="1" applyAlignment="1" applyProtection="1">
      <alignment horizontal="right"/>
      <protection/>
    </xf>
    <xf numFmtId="3" fontId="28" fillId="0" borderId="0" xfId="62" applyNumberFormat="1" applyFont="1" applyFill="1" applyBorder="1" applyAlignment="1">
      <alignment horizontal="right"/>
      <protection/>
    </xf>
    <xf numFmtId="38" fontId="28" fillId="0" borderId="0" xfId="42" applyNumberFormat="1" applyFont="1" applyFill="1" applyBorder="1" applyAlignment="1">
      <alignment horizontal="right"/>
    </xf>
    <xf numFmtId="38" fontId="28" fillId="0" borderId="0" xfId="42" applyNumberFormat="1" applyFont="1" applyFill="1" applyBorder="1" applyAlignment="1" applyProtection="1">
      <alignment horizontal="right" vertical="center"/>
      <protection/>
    </xf>
    <xf numFmtId="38" fontId="28" fillId="0" borderId="0" xfId="42" applyNumberFormat="1" applyFont="1" applyFill="1" applyBorder="1" applyAlignment="1">
      <alignment/>
    </xf>
    <xf numFmtId="37" fontId="33" fillId="0" borderId="0" xfId="62" applyFont="1" applyFill="1" applyBorder="1" applyAlignment="1" applyProtection="1">
      <alignment vertical="top"/>
      <protection/>
    </xf>
    <xf numFmtId="3" fontId="34" fillId="0" borderId="0" xfId="62" applyNumberFormat="1" applyFont="1" applyFill="1" applyBorder="1" applyAlignment="1">
      <alignment horizontal="right"/>
      <protection/>
    </xf>
    <xf numFmtId="38" fontId="34" fillId="0" borderId="0" xfId="42" applyNumberFormat="1" applyFont="1" applyFill="1" applyBorder="1" applyAlignment="1">
      <alignment horizontal="right"/>
    </xf>
    <xf numFmtId="37" fontId="35" fillId="0" borderId="0" xfId="62" applyFont="1" applyFill="1">
      <alignment/>
      <protection/>
    </xf>
    <xf numFmtId="37" fontId="33" fillId="0" borderId="0" xfId="62" applyFont="1" applyFill="1">
      <alignment/>
      <protection/>
    </xf>
    <xf numFmtId="3" fontId="28" fillId="0" borderId="0" xfId="62" applyNumberFormat="1" applyFont="1" applyFill="1" applyAlignment="1" applyProtection="1">
      <alignment horizontal="right"/>
      <protection/>
    </xf>
    <xf numFmtId="3" fontId="36" fillId="0" borderId="0" xfId="62" applyNumberFormat="1" applyFont="1" applyFill="1" applyAlignment="1">
      <alignment horizontal="left"/>
      <protection/>
    </xf>
    <xf numFmtId="3" fontId="36" fillId="0" borderId="0" xfId="62" applyNumberFormat="1" applyFont="1" applyFill="1" applyBorder="1" applyAlignment="1">
      <alignment horizontal="right"/>
      <protection/>
    </xf>
    <xf numFmtId="3" fontId="30" fillId="0" borderId="0" xfId="62" applyNumberFormat="1" applyFont="1" applyFill="1" applyAlignment="1">
      <alignment horizontal="right"/>
      <protection/>
    </xf>
    <xf numFmtId="3" fontId="32" fillId="0" borderId="0" xfId="62" applyNumberFormat="1" applyFont="1" applyFill="1" applyAlignment="1">
      <alignment horizontal="right"/>
      <protection/>
    </xf>
    <xf numFmtId="37" fontId="32" fillId="0" borderId="0" xfId="62" applyFont="1" applyFill="1" applyBorder="1" applyAlignment="1" applyProtection="1">
      <alignment vertical="top"/>
      <protection/>
    </xf>
    <xf numFmtId="37" fontId="36" fillId="0" borderId="0" xfId="62" applyFont="1" applyFill="1" applyBorder="1" applyAlignment="1">
      <alignment vertical="top"/>
      <protection/>
    </xf>
    <xf numFmtId="3" fontId="32" fillId="0" borderId="0" xfId="62" applyNumberFormat="1" applyFont="1" applyFill="1" applyBorder="1" applyAlignment="1">
      <alignment horizontal="right"/>
      <protection/>
    </xf>
    <xf numFmtId="37" fontId="36" fillId="0" borderId="0" xfId="62" applyFont="1" applyFill="1" applyBorder="1" applyAlignment="1" applyProtection="1">
      <alignment vertical="top"/>
      <protection/>
    </xf>
    <xf numFmtId="37" fontId="28" fillId="0" borderId="0" xfId="62" applyFont="1" applyFill="1" applyBorder="1" applyAlignment="1">
      <alignment vertical="top"/>
      <protection/>
    </xf>
    <xf numFmtId="10" fontId="29" fillId="0" borderId="0" xfId="66" applyNumberFormat="1" applyFont="1" applyFill="1" applyAlignment="1">
      <alignment horizontal="right"/>
    </xf>
    <xf numFmtId="38" fontId="28" fillId="0" borderId="0" xfId="66" applyNumberFormat="1" applyFont="1" applyFill="1" applyAlignment="1">
      <alignment horizontal="right"/>
    </xf>
    <xf numFmtId="3" fontId="29" fillId="0" borderId="0" xfId="62" applyNumberFormat="1" applyFont="1" applyFill="1" applyAlignment="1">
      <alignment horizontal="right"/>
      <protection/>
    </xf>
    <xf numFmtId="176" fontId="29" fillId="0" borderId="0" xfId="62" applyNumberFormat="1" applyFont="1" applyFill="1" applyAlignment="1">
      <alignment horizontal="right"/>
      <protection/>
    </xf>
    <xf numFmtId="3" fontId="29" fillId="0" borderId="0" xfId="62" applyNumberFormat="1" applyFont="1" applyFill="1" applyAlignment="1">
      <alignment vertical="top"/>
      <protection/>
    </xf>
    <xf numFmtId="176" fontId="29" fillId="0" borderId="0" xfId="62" applyNumberFormat="1" applyFont="1" applyFill="1" applyAlignment="1">
      <alignment vertical="top"/>
      <protection/>
    </xf>
    <xf numFmtId="9" fontId="28" fillId="0" borderId="0" xfId="66" applyFont="1" applyFill="1" applyAlignment="1">
      <alignment vertical="top"/>
    </xf>
    <xf numFmtId="37" fontId="29" fillId="0" borderId="0" xfId="62" applyFont="1" applyFill="1" applyAlignment="1">
      <alignment vertical="top"/>
      <protection/>
    </xf>
    <xf numFmtId="37" fontId="29" fillId="0" borderId="0" xfId="62" applyFont="1" applyFill="1" applyBorder="1" applyAlignment="1" applyProtection="1">
      <alignment horizontal="left" vertical="top"/>
      <protection/>
    </xf>
    <xf numFmtId="37" fontId="33" fillId="0" borderId="0" xfId="62" applyFont="1" applyFill="1" applyBorder="1" applyAlignment="1">
      <alignment vertical="top"/>
      <protection/>
    </xf>
    <xf numFmtId="37" fontId="28" fillId="0" borderId="0" xfId="62" applyFont="1" applyFill="1" applyBorder="1" applyAlignment="1">
      <alignment horizontal="left" vertical="top"/>
      <protection/>
    </xf>
    <xf numFmtId="10" fontId="29" fillId="0" borderId="0" xfId="66" applyNumberFormat="1" applyFont="1" applyFill="1" applyAlignment="1">
      <alignment horizontal="center"/>
    </xf>
    <xf numFmtId="41" fontId="35" fillId="0" borderId="0" xfId="62" applyNumberFormat="1" applyFont="1" applyFill="1">
      <alignment/>
      <protection/>
    </xf>
    <xf numFmtId="41" fontId="29" fillId="0" borderId="0" xfId="62" applyNumberFormat="1" applyFont="1" applyFill="1">
      <alignment/>
      <protection/>
    </xf>
    <xf numFmtId="0" fontId="32" fillId="0" borderId="0" xfId="63" applyFont="1" applyFill="1" applyBorder="1">
      <alignment/>
      <protection/>
    </xf>
    <xf numFmtId="6" fontId="37" fillId="0" borderId="0" xfId="66" applyNumberFormat="1" applyFont="1" applyFill="1" applyAlignment="1">
      <alignment horizontal="center"/>
    </xf>
    <xf numFmtId="37" fontId="37" fillId="0" borderId="0" xfId="62" applyFont="1" applyFill="1" applyAlignment="1">
      <alignment horizontal="center"/>
      <protection/>
    </xf>
    <xf numFmtId="41" fontId="29" fillId="0" borderId="0" xfId="66" applyNumberFormat="1" applyFont="1" applyFill="1" applyBorder="1" applyAlignment="1">
      <alignment/>
    </xf>
    <xf numFmtId="41" fontId="29" fillId="0" borderId="0" xfId="62" applyNumberFormat="1" applyFont="1" applyFill="1" applyBorder="1">
      <alignment/>
      <protection/>
    </xf>
    <xf numFmtId="41" fontId="32" fillId="0" borderId="0" xfId="45" applyNumberFormat="1" applyFont="1" applyFill="1" applyAlignment="1">
      <alignment/>
    </xf>
    <xf numFmtId="41" fontId="32" fillId="0" borderId="0" xfId="62" applyNumberFormat="1" applyFont="1" applyFill="1">
      <alignment/>
      <protection/>
    </xf>
    <xf numFmtId="41" fontId="32" fillId="0" borderId="0" xfId="66" applyNumberFormat="1" applyFont="1" applyFill="1" applyAlignment="1">
      <alignment/>
    </xf>
    <xf numFmtId="41" fontId="28" fillId="0" borderId="11" xfId="42" applyNumberFormat="1" applyFont="1" applyFill="1" applyBorder="1" applyAlignment="1">
      <alignment horizontal="right"/>
    </xf>
    <xf numFmtId="41" fontId="28" fillId="0" borderId="12" xfId="42" applyNumberFormat="1" applyFont="1" applyFill="1" applyBorder="1" applyAlignment="1" applyProtection="1">
      <alignment horizontal="right"/>
      <protection/>
    </xf>
    <xf numFmtId="41" fontId="29" fillId="0" borderId="0" xfId="42" applyNumberFormat="1" applyFont="1" applyFill="1" applyAlignment="1">
      <alignment horizontal="right"/>
    </xf>
    <xf numFmtId="41" fontId="29" fillId="0" borderId="0" xfId="42" applyNumberFormat="1" applyFont="1" applyFill="1" applyBorder="1" applyAlignment="1" applyProtection="1">
      <alignment horizontal="right"/>
      <protection/>
    </xf>
    <xf numFmtId="41" fontId="28" fillId="0" borderId="11" xfId="42" applyNumberFormat="1" applyFont="1" applyFill="1" applyBorder="1" applyAlignment="1" applyProtection="1">
      <alignment horizontal="right"/>
      <protection/>
    </xf>
    <xf numFmtId="41" fontId="32" fillId="0" borderId="0" xfId="66" applyNumberFormat="1" applyFont="1" applyFill="1" applyAlignment="1">
      <alignment/>
    </xf>
    <xf numFmtId="41" fontId="32" fillId="0" borderId="0" xfId="62" applyNumberFormat="1" applyFont="1" applyFill="1" applyAlignment="1">
      <alignment/>
      <protection/>
    </xf>
    <xf numFmtId="41" fontId="29" fillId="0" borderId="0" xfId="66" applyNumberFormat="1" applyFont="1" applyFill="1" applyAlignment="1">
      <alignment/>
    </xf>
    <xf numFmtId="41" fontId="29" fillId="0" borderId="0" xfId="0" applyNumberFormat="1" applyFont="1" applyFill="1" applyAlignment="1">
      <alignment/>
    </xf>
    <xf numFmtId="41" fontId="28" fillId="0" borderId="14" xfId="42" applyNumberFormat="1" applyFont="1" applyFill="1" applyBorder="1" applyAlignment="1" applyProtection="1">
      <alignment horizontal="right"/>
      <protection/>
    </xf>
    <xf numFmtId="37" fontId="29" fillId="0" borderId="0" xfId="62" applyFont="1" applyFill="1" applyBorder="1" applyAlignment="1">
      <alignment horizontal="center" vertical="top"/>
      <protection/>
    </xf>
    <xf numFmtId="49" fontId="30" fillId="0" borderId="0" xfId="62" applyNumberFormat="1" applyFont="1" applyFill="1" applyAlignment="1" applyProtection="1">
      <alignment horizontal="center"/>
      <protection/>
    </xf>
    <xf numFmtId="0" fontId="31" fillId="0" borderId="0" xfId="63" applyFont="1" applyFill="1" applyAlignment="1">
      <alignment horizontal="center"/>
      <protection/>
    </xf>
    <xf numFmtId="41" fontId="35" fillId="0" borderId="0" xfId="66" applyNumberFormat="1" applyFont="1" applyFill="1" applyAlignment="1">
      <alignment/>
    </xf>
    <xf numFmtId="0" fontId="31" fillId="19" borderId="0" xfId="63" applyFont="1" applyFill="1" applyAlignment="1">
      <alignment horizontal="center"/>
      <protection/>
    </xf>
    <xf numFmtId="37" fontId="28" fillId="19" borderId="0" xfId="62" applyFont="1" applyFill="1" applyBorder="1" applyAlignment="1" applyProtection="1">
      <alignment horizontal="center"/>
      <protection/>
    </xf>
    <xf numFmtId="38" fontId="29" fillId="19" borderId="0" xfId="42" applyNumberFormat="1" applyFont="1" applyFill="1" applyBorder="1" applyAlignment="1">
      <alignment horizontal="right"/>
    </xf>
    <xf numFmtId="38" fontId="29" fillId="19" borderId="0" xfId="42" applyNumberFormat="1" applyFont="1" applyFill="1" applyBorder="1" applyAlignment="1" applyProtection="1">
      <alignment/>
      <protection/>
    </xf>
    <xf numFmtId="38" fontId="29" fillId="19" borderId="0" xfId="42" applyNumberFormat="1" applyFont="1" applyFill="1" applyBorder="1" applyAlignment="1">
      <alignment/>
    </xf>
    <xf numFmtId="38" fontId="29" fillId="19" borderId="0" xfId="42" applyNumberFormat="1" applyFont="1" applyFill="1" applyBorder="1" applyAlignment="1" applyProtection="1">
      <alignment wrapText="1"/>
      <protection locked="0"/>
    </xf>
    <xf numFmtId="38" fontId="29" fillId="19" borderId="0" xfId="42" applyNumberFormat="1" applyFont="1" applyFill="1" applyBorder="1" applyAlignment="1">
      <alignment horizontal="left"/>
    </xf>
    <xf numFmtId="38" fontId="28" fillId="19" borderId="0" xfId="42" applyNumberFormat="1" applyFont="1" applyFill="1" applyBorder="1" applyAlignment="1">
      <alignment horizontal="right"/>
    </xf>
    <xf numFmtId="38" fontId="33" fillId="19" borderId="0" xfId="42" applyNumberFormat="1" applyFont="1" applyFill="1" applyBorder="1" applyAlignment="1">
      <alignment horizontal="left"/>
    </xf>
    <xf numFmtId="38" fontId="29" fillId="19" borderId="0" xfId="42" applyNumberFormat="1" applyFont="1" applyFill="1" applyBorder="1" applyAlignment="1">
      <alignment/>
    </xf>
    <xf numFmtId="38" fontId="32" fillId="19" borderId="0" xfId="42" applyNumberFormat="1" applyFont="1" applyFill="1" applyBorder="1" applyAlignment="1">
      <alignment vertical="center"/>
    </xf>
    <xf numFmtId="38" fontId="29" fillId="19" borderId="0" xfId="42" applyNumberFormat="1" applyFont="1" applyFill="1" applyBorder="1" applyAlignment="1">
      <alignment vertical="center"/>
    </xf>
    <xf numFmtId="38" fontId="28" fillId="19" borderId="0" xfId="42" applyNumberFormat="1" applyFont="1" applyFill="1" applyBorder="1" applyAlignment="1" applyProtection="1">
      <alignment horizontal="right"/>
      <protection/>
    </xf>
    <xf numFmtId="38" fontId="28" fillId="19" borderId="0" xfId="42" applyNumberFormat="1" applyFont="1" applyFill="1" applyBorder="1" applyAlignment="1" applyProtection="1">
      <alignment horizontal="left"/>
      <protection/>
    </xf>
    <xf numFmtId="38" fontId="29" fillId="19" borderId="0" xfId="42" applyNumberFormat="1" applyFont="1" applyFill="1" applyBorder="1" applyAlignment="1" applyProtection="1">
      <alignment horizontal="left"/>
      <protection/>
    </xf>
    <xf numFmtId="38" fontId="29" fillId="19" borderId="0" xfId="42" applyNumberFormat="1" applyFont="1" applyFill="1" applyBorder="1" applyAlignment="1" applyProtection="1">
      <alignment vertical="top"/>
      <protection hidden="1"/>
    </xf>
    <xf numFmtId="38" fontId="29" fillId="19" borderId="0" xfId="42" applyNumberFormat="1" applyFont="1" applyFill="1" applyBorder="1" applyAlignment="1" applyProtection="1">
      <alignment vertical="center"/>
      <protection/>
    </xf>
    <xf numFmtId="38" fontId="28" fillId="19" borderId="0" xfId="42" applyNumberFormat="1" applyFont="1" applyFill="1" applyBorder="1" applyAlignment="1">
      <alignment horizontal="left" wrapText="1"/>
    </xf>
    <xf numFmtId="38" fontId="34" fillId="19" borderId="0" xfId="42" applyNumberFormat="1" applyFont="1" applyFill="1" applyBorder="1" applyAlignment="1">
      <alignment horizontal="right"/>
    </xf>
    <xf numFmtId="0" fontId="29" fillId="19" borderId="0" xfId="61" applyFont="1" applyFill="1" applyBorder="1">
      <alignment/>
      <protection/>
    </xf>
    <xf numFmtId="3" fontId="36" fillId="19" borderId="0" xfId="62" applyNumberFormat="1" applyFont="1" applyFill="1" applyBorder="1" applyAlignment="1">
      <alignment horizontal="right"/>
      <protection/>
    </xf>
    <xf numFmtId="0" fontId="29" fillId="19" borderId="0" xfId="63" applyFont="1" applyFill="1" applyBorder="1">
      <alignment/>
      <protection/>
    </xf>
    <xf numFmtId="0" fontId="29" fillId="19" borderId="0" xfId="63" applyFont="1" applyFill="1" applyBorder="1" applyAlignment="1">
      <alignment horizontal="center"/>
      <protection/>
    </xf>
    <xf numFmtId="0" fontId="32" fillId="19" borderId="0" xfId="63" applyFont="1" applyFill="1" applyBorder="1">
      <alignment/>
      <protection/>
    </xf>
    <xf numFmtId="0" fontId="32" fillId="19" borderId="0" xfId="63" applyFont="1" applyFill="1" applyBorder="1" applyAlignment="1">
      <alignment/>
      <protection/>
    </xf>
    <xf numFmtId="0" fontId="29" fillId="19" borderId="0" xfId="0" applyFont="1" applyFill="1" applyBorder="1" applyAlignment="1">
      <alignment/>
    </xf>
    <xf numFmtId="0" fontId="35" fillId="19" borderId="0" xfId="63" applyFont="1" applyFill="1" applyBorder="1">
      <alignment/>
      <protection/>
    </xf>
    <xf numFmtId="0" fontId="29" fillId="0" borderId="0" xfId="63" applyFont="1" applyFill="1" applyBorder="1" applyAlignment="1">
      <alignment horizontal="left"/>
      <protection/>
    </xf>
    <xf numFmtId="175" fontId="28" fillId="0" borderId="0" xfId="62" applyNumberFormat="1" applyFont="1" applyFill="1" applyAlignment="1" applyProtection="1">
      <alignment horizontal="center"/>
      <protection/>
    </xf>
    <xf numFmtId="6" fontId="28" fillId="0" borderId="10" xfId="66" applyNumberFormat="1" applyFont="1" applyFill="1" applyBorder="1" applyAlignment="1">
      <alignment horizontal="center"/>
    </xf>
    <xf numFmtId="37" fontId="28" fillId="0" borderId="0" xfId="62" applyFont="1" applyFill="1" applyBorder="1" applyAlignment="1" applyProtection="1">
      <alignment horizontal="center" vertical="top"/>
      <protection/>
    </xf>
    <xf numFmtId="0" fontId="28" fillId="0" borderId="10" xfId="63" applyFont="1" applyFill="1" applyBorder="1" applyAlignment="1">
      <alignment horizontal="center"/>
      <protection/>
    </xf>
    <xf numFmtId="37" fontId="28" fillId="0" borderId="0" xfId="62" applyFont="1" applyFill="1" applyAlignment="1" applyProtection="1">
      <alignment horizontal="center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CIP_2002" xfId="60"/>
    <cellStyle name="Normal_PECO staff recommendations ver P4 DRAFT" xfId="61"/>
    <cellStyle name="Normal_PECO.080105" xfId="62"/>
    <cellStyle name="Normal_PECO.080405.work.0316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ley.goldstein\Local%20Settings\Temporary%20Internet%20Files\OLK20\Match%20Monies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%20YR%20PLAN%202007-2013\Match%20Monies%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ECASGFCL01\BOG%20Drive$\Facilities\Working\BOG%20Agenda%20Items\012408%20FAMU\2008_2009_2010_2011%20SUS%20Three%20Year%20PECO%20Project%20List%20Attachment%20I%20012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-09 VER G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8"/>
  <sheetViews>
    <sheetView tabSelected="1" workbookViewId="0" topLeftCell="A1">
      <selection activeCell="A1" sqref="A1"/>
    </sheetView>
  </sheetViews>
  <sheetFormatPr defaultColWidth="5.8515625" defaultRowHeight="12.75"/>
  <cols>
    <col min="1" max="1" width="7.140625" style="3" customWidth="1"/>
    <col min="2" max="2" width="64.57421875" style="3" customWidth="1"/>
    <col min="3" max="3" width="20.28125" style="3" customWidth="1"/>
    <col min="4" max="4" width="15.28125" style="3" customWidth="1"/>
    <col min="5" max="5" width="19.140625" style="3" customWidth="1"/>
    <col min="6" max="6" width="3.7109375" style="3" customWidth="1"/>
    <col min="7" max="7" width="14.28125" style="3" customWidth="1"/>
    <col min="8" max="8" width="13.57421875" style="3" customWidth="1"/>
    <col min="9" max="9" width="15.8515625" style="3" customWidth="1"/>
    <col min="10" max="10" width="13.421875" style="3" customWidth="1"/>
    <col min="11" max="11" width="3.7109375" style="14" customWidth="1"/>
    <col min="12" max="12" width="15.7109375" style="15" bestFit="1" customWidth="1"/>
    <col min="13" max="13" width="15.00390625" style="3" bestFit="1" customWidth="1"/>
    <col min="14" max="14" width="15.421875" style="3" bestFit="1" customWidth="1"/>
    <col min="15" max="15" width="15.57421875" style="3" bestFit="1" customWidth="1"/>
    <col min="16" max="16" width="5.8515625" style="3" customWidth="1"/>
    <col min="17" max="17" width="10.8515625" style="3" bestFit="1" customWidth="1"/>
    <col min="18" max="18" width="11.57421875" style="3" bestFit="1" customWidth="1"/>
    <col min="19" max="16384" width="5.8515625" style="3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3.5" customHeight="1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3.5" customHeight="1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3.5" customHeight="1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3.5" customHeight="1">
      <c r="A5" s="183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13.5" customHeight="1">
      <c r="A6" s="179" t="s">
        <v>138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2:14" ht="13.5" customHeight="1">
      <c r="L7" s="130" t="s">
        <v>131</v>
      </c>
      <c r="M7" s="131" t="s">
        <v>132</v>
      </c>
      <c r="N7" s="131" t="s">
        <v>133</v>
      </c>
    </row>
    <row r="8" spans="1:15" ht="16.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3"/>
      <c r="L8" s="126">
        <v>-0.34289</v>
      </c>
      <c r="M8" s="126">
        <v>-0.56259</v>
      </c>
      <c r="N8" s="126">
        <v>-0.4109</v>
      </c>
      <c r="O8" s="178" t="s">
        <v>136</v>
      </c>
    </row>
    <row r="9" spans="1:10" ht="16.5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5" ht="16.5">
      <c r="A10" s="5"/>
      <c r="B10" s="6"/>
      <c r="C10" s="182" t="s">
        <v>5</v>
      </c>
      <c r="D10" s="182"/>
      <c r="E10" s="182"/>
      <c r="F10" s="151"/>
      <c r="G10" s="182" t="s">
        <v>139</v>
      </c>
      <c r="H10" s="182"/>
      <c r="I10" s="182"/>
      <c r="J10" s="182"/>
      <c r="K10" s="172"/>
      <c r="L10" s="180" t="s">
        <v>135</v>
      </c>
      <c r="M10" s="180"/>
      <c r="N10" s="180"/>
      <c r="O10" s="180"/>
    </row>
    <row r="11" spans="1:15" s="9" customFormat="1" ht="16.5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152"/>
      <c r="G11" s="8" t="s">
        <v>11</v>
      </c>
      <c r="H11" s="8" t="s">
        <v>12</v>
      </c>
      <c r="I11" s="8" t="s">
        <v>13</v>
      </c>
      <c r="J11" s="8" t="s">
        <v>14</v>
      </c>
      <c r="K11" s="173"/>
      <c r="L11" s="8" t="s">
        <v>11</v>
      </c>
      <c r="M11" s="8" t="s">
        <v>12</v>
      </c>
      <c r="N11" s="8" t="s">
        <v>13</v>
      </c>
      <c r="O11" s="8" t="s">
        <v>14</v>
      </c>
    </row>
    <row r="12" spans="2:15" s="10" customFormat="1" ht="16.5">
      <c r="B12" s="11"/>
      <c r="C12" s="12"/>
      <c r="D12" s="12"/>
      <c r="E12" s="12"/>
      <c r="F12" s="153"/>
      <c r="G12" s="13"/>
      <c r="H12" s="13"/>
      <c r="I12" s="13"/>
      <c r="J12" s="13"/>
      <c r="K12" s="172"/>
      <c r="L12" s="132"/>
      <c r="M12" s="133"/>
      <c r="N12" s="133"/>
      <c r="O12" s="133"/>
    </row>
    <row r="13" spans="1:16" ht="16.5">
      <c r="A13" s="4" t="s">
        <v>15</v>
      </c>
      <c r="B13" s="16" t="s">
        <v>16</v>
      </c>
      <c r="C13" s="17">
        <v>13634000</v>
      </c>
      <c r="D13" s="17">
        <v>14025000</v>
      </c>
      <c r="E13" s="18">
        <v>15000000</v>
      </c>
      <c r="F13" s="154"/>
      <c r="G13" s="19">
        <v>17938751</v>
      </c>
      <c r="H13" s="19">
        <v>12750000</v>
      </c>
      <c r="I13" s="19">
        <v>17000000</v>
      </c>
      <c r="J13" s="20">
        <f>SUM(G13:I13)</f>
        <v>47688751</v>
      </c>
      <c r="K13" s="174"/>
      <c r="L13" s="134">
        <f>G13*$L$8+G13+50000</f>
        <v>11837732.669610001</v>
      </c>
      <c r="M13" s="134">
        <f>H13*$M$8+H13+5509438</f>
        <v>11086415.5</v>
      </c>
      <c r="N13" s="134">
        <f>I13*$N$8+I13</f>
        <v>10014700</v>
      </c>
      <c r="O13" s="135">
        <f>SUM(L13:N13)</f>
        <v>32938848.16961</v>
      </c>
      <c r="P13" s="21"/>
    </row>
    <row r="14" spans="1:16" ht="16.5">
      <c r="A14" s="4"/>
      <c r="B14" s="22" t="s">
        <v>17</v>
      </c>
      <c r="C14" s="23"/>
      <c r="D14" s="23"/>
      <c r="E14" s="24">
        <v>7608204</v>
      </c>
      <c r="F14" s="155"/>
      <c r="H14" s="19">
        <v>12595593</v>
      </c>
      <c r="I14" s="19">
        <v>32257452</v>
      </c>
      <c r="J14" s="20">
        <f>SUM(G14:I14)</f>
        <v>44853045</v>
      </c>
      <c r="K14" s="174"/>
      <c r="L14" s="134"/>
      <c r="M14" s="134"/>
      <c r="N14" s="134">
        <f>I14*$N$8+I14</f>
        <v>19002864.9732</v>
      </c>
      <c r="O14" s="135">
        <f>SUM(L14:N14)</f>
        <v>19002864.9732</v>
      </c>
      <c r="P14" s="21"/>
    </row>
    <row r="15" spans="1:16" ht="16.5">
      <c r="A15" s="25"/>
      <c r="B15" s="26" t="s">
        <v>18</v>
      </c>
      <c r="C15" s="17">
        <v>33941300</v>
      </c>
      <c r="D15" s="17">
        <v>19429198</v>
      </c>
      <c r="E15" s="24">
        <v>14443490</v>
      </c>
      <c r="F15" s="155"/>
      <c r="G15" s="20"/>
      <c r="H15" s="20"/>
      <c r="I15" s="20"/>
      <c r="J15" s="20"/>
      <c r="K15" s="174"/>
      <c r="L15" s="136"/>
      <c r="M15" s="135"/>
      <c r="N15" s="135"/>
      <c r="O15" s="135"/>
      <c r="P15" s="21"/>
    </row>
    <row r="16" spans="1:16" ht="16.5">
      <c r="A16" s="25"/>
      <c r="B16" s="27" t="s">
        <v>19</v>
      </c>
      <c r="C16" s="28"/>
      <c r="D16" s="17">
        <v>26972951</v>
      </c>
      <c r="E16" s="24">
        <v>22382149</v>
      </c>
      <c r="F16" s="155"/>
      <c r="G16" s="20"/>
      <c r="H16" s="20"/>
      <c r="I16" s="20"/>
      <c r="J16" s="20"/>
      <c r="K16" s="174"/>
      <c r="L16" s="136"/>
      <c r="M16" s="135"/>
      <c r="N16" s="135"/>
      <c r="O16" s="135"/>
      <c r="P16" s="21"/>
    </row>
    <row r="17" spans="1:16" ht="16.5">
      <c r="A17" s="25"/>
      <c r="B17" s="22" t="s">
        <v>20</v>
      </c>
      <c r="C17" s="28"/>
      <c r="D17" s="28"/>
      <c r="E17" s="28">
        <v>6000000</v>
      </c>
      <c r="F17" s="156"/>
      <c r="G17" s="20"/>
      <c r="H17" s="20"/>
      <c r="I17" s="20"/>
      <c r="J17" s="20"/>
      <c r="K17" s="174"/>
      <c r="L17" s="136"/>
      <c r="M17" s="135"/>
      <c r="N17" s="135"/>
      <c r="O17" s="135"/>
      <c r="P17" s="21"/>
    </row>
    <row r="18" spans="1:16" ht="16.5">
      <c r="A18" s="25"/>
      <c r="B18" s="29" t="s">
        <v>21</v>
      </c>
      <c r="C18" s="17">
        <v>5922300</v>
      </c>
      <c r="D18" s="28"/>
      <c r="E18" s="28"/>
      <c r="F18" s="156"/>
      <c r="G18" s="20"/>
      <c r="H18" s="20"/>
      <c r="I18" s="20"/>
      <c r="J18" s="20"/>
      <c r="K18" s="174"/>
      <c r="L18" s="136"/>
      <c r="M18" s="135"/>
      <c r="N18" s="135"/>
      <c r="O18" s="135"/>
      <c r="P18" s="21"/>
    </row>
    <row r="19" spans="1:16" ht="16.5">
      <c r="A19" s="25"/>
      <c r="B19" s="29" t="s">
        <v>22</v>
      </c>
      <c r="C19" s="17">
        <v>20750000</v>
      </c>
      <c r="D19" s="17">
        <v>34750000</v>
      </c>
      <c r="E19" s="30"/>
      <c r="F19" s="157"/>
      <c r="G19" s="20"/>
      <c r="H19" s="20"/>
      <c r="I19" s="20"/>
      <c r="J19" s="20"/>
      <c r="K19" s="174"/>
      <c r="L19" s="136"/>
      <c r="M19" s="135"/>
      <c r="N19" s="135"/>
      <c r="O19" s="135"/>
      <c r="P19" s="21"/>
    </row>
    <row r="20" spans="1:16" ht="16.5">
      <c r="A20" s="25"/>
      <c r="B20" s="31" t="s">
        <v>23</v>
      </c>
      <c r="C20" s="17">
        <v>15165018</v>
      </c>
      <c r="D20" s="30"/>
      <c r="E20" s="30"/>
      <c r="F20" s="157"/>
      <c r="G20" s="20"/>
      <c r="H20" s="20"/>
      <c r="I20" s="20"/>
      <c r="J20" s="20"/>
      <c r="K20" s="174"/>
      <c r="L20" s="136"/>
      <c r="M20" s="135"/>
      <c r="N20" s="135"/>
      <c r="O20" s="135"/>
      <c r="P20" s="21"/>
    </row>
    <row r="21" spans="1:16" ht="16.5">
      <c r="A21" s="32"/>
      <c r="B21" s="33" t="s">
        <v>24</v>
      </c>
      <c r="C21" s="34">
        <f>SUM(C13:C20)</f>
        <v>89412618</v>
      </c>
      <c r="D21" s="34">
        <f>SUM(D13:D19)</f>
        <v>95177149</v>
      </c>
      <c r="E21" s="34">
        <f>SUM(E13:E19)</f>
        <v>65433843</v>
      </c>
      <c r="F21" s="158"/>
      <c r="G21" s="34">
        <f>SUM(G13:G20)</f>
        <v>17938751</v>
      </c>
      <c r="H21" s="34">
        <f>SUM(H13:H20)</f>
        <v>25345593</v>
      </c>
      <c r="I21" s="34">
        <f>SUM(I13:I20)</f>
        <v>49257452</v>
      </c>
      <c r="J21" s="34">
        <f>SUM(J13:J20)</f>
        <v>92541796</v>
      </c>
      <c r="K21" s="174"/>
      <c r="L21" s="137">
        <f>SUM(L13:L20)</f>
        <v>11837732.669610001</v>
      </c>
      <c r="M21" s="137">
        <f>SUM(M13:M20)</f>
        <v>11086415.5</v>
      </c>
      <c r="N21" s="137">
        <f>SUM(N13:N20)</f>
        <v>29017564.9732</v>
      </c>
      <c r="O21" s="137">
        <f>SUM(O13:O20)</f>
        <v>51941713.14281</v>
      </c>
      <c r="P21" s="21"/>
    </row>
    <row r="22" spans="1:16" ht="16.5">
      <c r="A22" s="32"/>
      <c r="B22" s="35"/>
      <c r="C22" s="36"/>
      <c r="D22" s="36"/>
      <c r="E22" s="36"/>
      <c r="F22" s="159"/>
      <c r="G22" s="37"/>
      <c r="H22" s="37"/>
      <c r="I22" s="37"/>
      <c r="J22" s="37"/>
      <c r="K22" s="174"/>
      <c r="L22" s="136"/>
      <c r="M22" s="135"/>
      <c r="N22" s="135"/>
      <c r="O22" s="135"/>
      <c r="P22" s="21"/>
    </row>
    <row r="23" spans="1:16" ht="16.5">
      <c r="A23" s="32"/>
      <c r="B23" s="35"/>
      <c r="C23" s="36"/>
      <c r="D23" s="36"/>
      <c r="E23" s="36"/>
      <c r="F23" s="159"/>
      <c r="G23" s="37"/>
      <c r="H23" s="37"/>
      <c r="I23" s="37"/>
      <c r="J23" s="37"/>
      <c r="K23" s="174"/>
      <c r="L23" s="136"/>
      <c r="M23" s="135"/>
      <c r="N23" s="135"/>
      <c r="O23" s="135"/>
      <c r="P23" s="21"/>
    </row>
    <row r="24" spans="1:16" ht="16.5">
      <c r="A24" s="4" t="s">
        <v>25</v>
      </c>
      <c r="B24" s="16" t="s">
        <v>16</v>
      </c>
      <c r="C24" s="18">
        <v>6400000</v>
      </c>
      <c r="D24" s="18">
        <v>8500000</v>
      </c>
      <c r="E24" s="17">
        <v>8500000</v>
      </c>
      <c r="F24" s="160"/>
      <c r="G24" s="20">
        <v>4250000</v>
      </c>
      <c r="H24" s="20">
        <f>8500000*0.85</f>
        <v>7225000</v>
      </c>
      <c r="I24" s="20">
        <v>8500000</v>
      </c>
      <c r="J24" s="20">
        <f aca="true" t="shared" si="0" ref="J24:J30">SUM(G24:I24)</f>
        <v>19975000</v>
      </c>
      <c r="K24" s="174"/>
      <c r="L24" s="134">
        <f>G24*$L$8+G24+1642775+50000+168233</f>
        <v>4653725.5</v>
      </c>
      <c r="M24" s="134">
        <f>H24*$M$8+H24-51368</f>
        <v>3108919.2499999995</v>
      </c>
      <c r="N24" s="134">
        <f>I24*$N$8+I24-1002010</f>
        <v>4005340</v>
      </c>
      <c r="O24" s="135">
        <f aca="true" t="shared" si="1" ref="O24:O30">SUM(L24:N24)</f>
        <v>11767984.75</v>
      </c>
      <c r="P24" s="21"/>
    </row>
    <row r="25" spans="1:16" ht="16.5">
      <c r="A25" s="4"/>
      <c r="B25" s="38" t="s">
        <v>26</v>
      </c>
      <c r="C25" s="39"/>
      <c r="D25" s="39"/>
      <c r="E25" s="39"/>
      <c r="F25" s="161"/>
      <c r="G25" s="40">
        <v>6700000</v>
      </c>
      <c r="H25" s="40">
        <v>15200000</v>
      </c>
      <c r="I25" s="40">
        <v>4500000</v>
      </c>
      <c r="J25" s="20">
        <f t="shared" si="0"/>
        <v>26400000</v>
      </c>
      <c r="K25" s="174"/>
      <c r="L25" s="134">
        <f>G25*$L$8+G25-2402637</f>
        <v>2000000</v>
      </c>
      <c r="M25" s="134">
        <f>H25*$M$8+H25-2948632</f>
        <v>3700000</v>
      </c>
      <c r="N25" s="134">
        <f>I25*$N$8+I25+19797781-7448731</f>
        <v>15000000</v>
      </c>
      <c r="O25" s="135">
        <f t="shared" si="1"/>
        <v>20700000</v>
      </c>
      <c r="P25" s="21"/>
    </row>
    <row r="26" spans="1:16" ht="16.5">
      <c r="A26" s="4"/>
      <c r="B26" s="38" t="s">
        <v>27</v>
      </c>
      <c r="C26" s="39"/>
      <c r="D26" s="39"/>
      <c r="E26" s="39"/>
      <c r="F26" s="161"/>
      <c r="H26" s="40"/>
      <c r="I26" s="40">
        <v>46400000</v>
      </c>
      <c r="J26" s="20">
        <f t="shared" si="0"/>
        <v>46400000</v>
      </c>
      <c r="K26" s="174"/>
      <c r="L26" s="134">
        <f>G26*$L$8+G26+1000000</f>
        <v>1000000</v>
      </c>
      <c r="M26" s="134"/>
      <c r="N26" s="134">
        <f>I26*$N$8+I26-19797781-3536459</f>
        <v>4000000</v>
      </c>
      <c r="O26" s="135">
        <f t="shared" si="1"/>
        <v>5000000</v>
      </c>
      <c r="P26" s="21"/>
    </row>
    <row r="27" spans="1:16" ht="16.5">
      <c r="A27" s="4"/>
      <c r="B27" s="39" t="s">
        <v>28</v>
      </c>
      <c r="C27" s="39"/>
      <c r="D27" s="39"/>
      <c r="E27" s="39"/>
      <c r="F27" s="161"/>
      <c r="G27" s="3">
        <v>1500000</v>
      </c>
      <c r="H27" s="40">
        <v>9600000</v>
      </c>
      <c r="I27" s="40">
        <v>960000</v>
      </c>
      <c r="J27" s="20">
        <f t="shared" si="0"/>
        <v>12060000</v>
      </c>
      <c r="K27" s="174"/>
      <c r="L27" s="134">
        <f>G27*$L$8+G27</f>
        <v>985665</v>
      </c>
      <c r="M27" s="134">
        <f>H27*$M$8+H27</f>
        <v>4199136</v>
      </c>
      <c r="N27" s="134">
        <f>I27*$N$8+I27</f>
        <v>565536</v>
      </c>
      <c r="O27" s="135">
        <f t="shared" si="1"/>
        <v>5750337</v>
      </c>
      <c r="P27" s="21"/>
    </row>
    <row r="28" spans="1:16" ht="16.5">
      <c r="A28" s="4"/>
      <c r="B28" s="41" t="s">
        <v>29</v>
      </c>
      <c r="C28" s="42"/>
      <c r="D28" s="17">
        <v>250000</v>
      </c>
      <c r="E28" s="42"/>
      <c r="F28" s="162"/>
      <c r="G28" s="40">
        <v>600000</v>
      </c>
      <c r="H28" s="40"/>
      <c r="I28" s="43">
        <v>5000000</v>
      </c>
      <c r="J28" s="20">
        <f t="shared" si="0"/>
        <v>5600000</v>
      </c>
      <c r="K28" s="174"/>
      <c r="L28" s="134">
        <f>G28*$L$8+G28+205734</f>
        <v>600000</v>
      </c>
      <c r="M28" s="134">
        <f>H28*$M$8+H28+3000000</f>
        <v>3000000</v>
      </c>
      <c r="N28" s="134">
        <f>I28*$N$8+I28+54500</f>
        <v>3000000</v>
      </c>
      <c r="O28" s="135">
        <f t="shared" si="1"/>
        <v>6600000</v>
      </c>
      <c r="P28" s="21"/>
    </row>
    <row r="29" spans="1:16" ht="16.5">
      <c r="A29" s="4"/>
      <c r="B29" s="41" t="s">
        <v>137</v>
      </c>
      <c r="C29" s="42"/>
      <c r="D29" s="17"/>
      <c r="E29" s="42"/>
      <c r="F29" s="162"/>
      <c r="G29" s="40">
        <v>2500000</v>
      </c>
      <c r="H29" s="40"/>
      <c r="I29" s="43"/>
      <c r="J29" s="20">
        <f t="shared" si="0"/>
        <v>2500000</v>
      </c>
      <c r="K29" s="174"/>
      <c r="L29" s="134">
        <v>1000000</v>
      </c>
      <c r="M29" s="134"/>
      <c r="N29" s="134"/>
      <c r="O29" s="135">
        <f t="shared" si="1"/>
        <v>1000000</v>
      </c>
      <c r="P29" s="21"/>
    </row>
    <row r="30" spans="1:16" ht="16.5">
      <c r="A30" s="44"/>
      <c r="B30" s="45" t="s">
        <v>30</v>
      </c>
      <c r="C30" s="42"/>
      <c r="D30" s="42"/>
      <c r="E30" s="42"/>
      <c r="F30" s="162"/>
      <c r="G30" s="20">
        <v>3000000</v>
      </c>
      <c r="H30" s="46"/>
      <c r="I30" s="20">
        <v>3000000</v>
      </c>
      <c r="J30" s="20">
        <f t="shared" si="0"/>
        <v>6000000</v>
      </c>
      <c r="K30" s="174"/>
      <c r="L30" s="134">
        <f>G30*$L$8+G30+28670</f>
        <v>2000000</v>
      </c>
      <c r="M30" s="134"/>
      <c r="N30" s="134">
        <f>I30*$N$8+I30+11932700</f>
        <v>13700000</v>
      </c>
      <c r="O30" s="135">
        <f t="shared" si="1"/>
        <v>15700000</v>
      </c>
      <c r="P30" s="21"/>
    </row>
    <row r="31" spans="1:16" ht="16.5">
      <c r="A31" s="44"/>
      <c r="B31" s="47" t="s">
        <v>31</v>
      </c>
      <c r="C31" s="42"/>
      <c r="D31" s="42"/>
      <c r="E31" s="17">
        <v>3000000</v>
      </c>
      <c r="F31" s="160"/>
      <c r="H31" s="46"/>
      <c r="I31" s="20"/>
      <c r="J31" s="20"/>
      <c r="K31" s="174"/>
      <c r="L31" s="136"/>
      <c r="M31" s="134"/>
      <c r="N31" s="134"/>
      <c r="O31" s="135"/>
      <c r="P31" s="21"/>
    </row>
    <row r="32" spans="1:16" ht="16.5">
      <c r="A32" s="44"/>
      <c r="B32" s="45" t="s">
        <v>32</v>
      </c>
      <c r="C32" s="42"/>
      <c r="D32" s="17">
        <v>12430000</v>
      </c>
      <c r="E32" s="17">
        <v>10000000</v>
      </c>
      <c r="F32" s="160"/>
      <c r="G32" s="46"/>
      <c r="H32" s="46"/>
      <c r="I32" s="20"/>
      <c r="J32" s="20"/>
      <c r="K32" s="174"/>
      <c r="L32" s="136"/>
      <c r="M32" s="135"/>
      <c r="N32" s="135"/>
      <c r="O32" s="135"/>
      <c r="P32" s="21"/>
    </row>
    <row r="33" spans="1:16" ht="16.5">
      <c r="A33" s="44"/>
      <c r="B33" s="45" t="s">
        <v>33</v>
      </c>
      <c r="C33" s="42"/>
      <c r="D33" s="17">
        <v>20000000</v>
      </c>
      <c r="E33" s="17">
        <v>29200000</v>
      </c>
      <c r="F33" s="160"/>
      <c r="G33" s="46"/>
      <c r="H33" s="46"/>
      <c r="I33" s="20"/>
      <c r="J33" s="20"/>
      <c r="K33" s="174"/>
      <c r="L33" s="136"/>
      <c r="M33" s="135"/>
      <c r="N33" s="135"/>
      <c r="O33" s="135"/>
      <c r="P33" s="21"/>
    </row>
    <row r="34" spans="1:16" ht="16.5">
      <c r="A34" s="44"/>
      <c r="B34" s="41" t="s">
        <v>34</v>
      </c>
      <c r="C34" s="42"/>
      <c r="D34" s="42">
        <v>7500000</v>
      </c>
      <c r="E34" s="17">
        <v>10000000</v>
      </c>
      <c r="F34" s="160"/>
      <c r="G34" s="46"/>
      <c r="H34" s="46"/>
      <c r="I34" s="20"/>
      <c r="J34" s="20"/>
      <c r="K34" s="174"/>
      <c r="L34" s="136"/>
      <c r="M34" s="135"/>
      <c r="N34" s="135"/>
      <c r="O34" s="135"/>
      <c r="P34" s="21"/>
    </row>
    <row r="35" spans="1:16" ht="16.5">
      <c r="A35" s="44"/>
      <c r="B35" s="29" t="s">
        <v>35</v>
      </c>
      <c r="C35" s="17">
        <v>11869540</v>
      </c>
      <c r="D35" s="17">
        <v>21250000</v>
      </c>
      <c r="E35" s="17"/>
      <c r="F35" s="160"/>
      <c r="G35" s="46"/>
      <c r="H35" s="46"/>
      <c r="I35" s="20"/>
      <c r="J35" s="20"/>
      <c r="K35" s="174"/>
      <c r="L35" s="136"/>
      <c r="M35" s="135"/>
      <c r="N35" s="135"/>
      <c r="O35" s="135"/>
      <c r="P35" s="21"/>
    </row>
    <row r="36" spans="1:16" ht="16.5">
      <c r="A36" s="44"/>
      <c r="B36" s="29" t="s">
        <v>36</v>
      </c>
      <c r="C36" s="17">
        <v>600000</v>
      </c>
      <c r="D36" s="42">
        <v>8900000</v>
      </c>
      <c r="E36" s="17"/>
      <c r="F36" s="160"/>
      <c r="G36" s="46"/>
      <c r="H36" s="46"/>
      <c r="I36" s="20"/>
      <c r="J36" s="20"/>
      <c r="K36" s="174"/>
      <c r="L36" s="136"/>
      <c r="M36" s="135"/>
      <c r="N36" s="135"/>
      <c r="O36" s="135"/>
      <c r="P36" s="21"/>
    </row>
    <row r="37" spans="1:16" ht="16.5">
      <c r="A37" s="44"/>
      <c r="B37" s="29" t="s">
        <v>37</v>
      </c>
      <c r="C37" s="17">
        <v>3500000</v>
      </c>
      <c r="D37" s="17">
        <v>11500000</v>
      </c>
      <c r="E37" s="17"/>
      <c r="F37" s="160"/>
      <c r="G37" s="46"/>
      <c r="H37" s="46"/>
      <c r="I37" s="20"/>
      <c r="J37" s="20"/>
      <c r="K37" s="174"/>
      <c r="L37" s="136"/>
      <c r="M37" s="135"/>
      <c r="N37" s="135"/>
      <c r="O37" s="135"/>
      <c r="P37" s="21"/>
    </row>
    <row r="38" spans="1:16" ht="16.5">
      <c r="A38" s="44"/>
      <c r="B38" s="29" t="s">
        <v>38</v>
      </c>
      <c r="C38" s="17">
        <v>3878728</v>
      </c>
      <c r="D38" s="42"/>
      <c r="E38" s="17"/>
      <c r="F38" s="160"/>
      <c r="G38" s="46"/>
      <c r="H38" s="46"/>
      <c r="I38" s="20"/>
      <c r="J38" s="20"/>
      <c r="K38" s="174"/>
      <c r="L38" s="136"/>
      <c r="M38" s="135"/>
      <c r="N38" s="135"/>
      <c r="O38" s="135"/>
      <c r="P38" s="21"/>
    </row>
    <row r="39" spans="1:16" ht="16.5">
      <c r="A39" s="44"/>
      <c r="B39" s="29" t="s">
        <v>39</v>
      </c>
      <c r="C39" s="17">
        <v>7992000</v>
      </c>
      <c r="D39" s="42"/>
      <c r="E39" s="17"/>
      <c r="F39" s="160"/>
      <c r="G39" s="46"/>
      <c r="H39" s="46"/>
      <c r="I39" s="20"/>
      <c r="J39" s="20"/>
      <c r="K39" s="174"/>
      <c r="L39" s="136"/>
      <c r="M39" s="135"/>
      <c r="N39" s="135"/>
      <c r="O39" s="135"/>
      <c r="P39" s="21"/>
    </row>
    <row r="40" spans="1:16" ht="16.5">
      <c r="A40" s="44"/>
      <c r="B40" s="29" t="s">
        <v>40</v>
      </c>
      <c r="C40" s="17"/>
      <c r="D40" s="17">
        <v>3000000</v>
      </c>
      <c r="E40" s="17"/>
      <c r="F40" s="160"/>
      <c r="G40" s="46"/>
      <c r="H40" s="46"/>
      <c r="I40" s="20"/>
      <c r="J40" s="20"/>
      <c r="K40" s="174"/>
      <c r="L40" s="136"/>
      <c r="M40" s="135"/>
      <c r="N40" s="135"/>
      <c r="O40" s="135"/>
      <c r="P40" s="21"/>
    </row>
    <row r="41" spans="1:16" ht="16.5">
      <c r="A41" s="48"/>
      <c r="B41" s="33" t="s">
        <v>24</v>
      </c>
      <c r="C41" s="49">
        <f>SUM(C24:C40)</f>
        <v>34240268</v>
      </c>
      <c r="D41" s="49">
        <f>SUM(D24:D40)</f>
        <v>93330000</v>
      </c>
      <c r="E41" s="49">
        <f>SUM(E24:E39)</f>
        <v>60700000</v>
      </c>
      <c r="F41" s="163"/>
      <c r="G41" s="49">
        <f>SUM(G24:G30)</f>
        <v>18550000</v>
      </c>
      <c r="H41" s="49">
        <f>SUM(H24:H31)</f>
        <v>32025000</v>
      </c>
      <c r="I41" s="49">
        <f>SUM(I24:I31)</f>
        <v>68360000</v>
      </c>
      <c r="J41" s="49">
        <f>SUM(J24:J31)</f>
        <v>118935000</v>
      </c>
      <c r="K41" s="174"/>
      <c r="L41" s="138">
        <f>SUM(L24:L30)</f>
        <v>12239390.5</v>
      </c>
      <c r="M41" s="138">
        <f>SUM(M24:M31)</f>
        <v>14008055.25</v>
      </c>
      <c r="N41" s="138">
        <f>SUM(N24:N31)</f>
        <v>40270876</v>
      </c>
      <c r="O41" s="138">
        <f>SUM(O24:O31)</f>
        <v>66518321.75</v>
      </c>
      <c r="P41" s="21"/>
    </row>
    <row r="42" spans="1:16" ht="16.5">
      <c r="A42" s="48"/>
      <c r="B42" s="33"/>
      <c r="C42" s="50"/>
      <c r="D42" s="50"/>
      <c r="E42" s="50"/>
      <c r="F42" s="164"/>
      <c r="G42" s="46"/>
      <c r="H42" s="46"/>
      <c r="I42" s="46"/>
      <c r="J42" s="46"/>
      <c r="K42" s="174"/>
      <c r="L42" s="136"/>
      <c r="M42" s="135"/>
      <c r="N42" s="135"/>
      <c r="O42" s="135"/>
      <c r="P42" s="21"/>
    </row>
    <row r="43" spans="1:16" ht="16.5">
      <c r="A43" s="48"/>
      <c r="B43" s="35"/>
      <c r="C43" s="36"/>
      <c r="D43" s="36"/>
      <c r="E43" s="36"/>
      <c r="F43" s="159"/>
      <c r="G43" s="37"/>
      <c r="H43" s="37"/>
      <c r="I43" s="37"/>
      <c r="J43" s="37"/>
      <c r="K43" s="174"/>
      <c r="L43" s="136"/>
      <c r="M43" s="135"/>
      <c r="N43" s="135"/>
      <c r="O43" s="135"/>
      <c r="P43" s="21"/>
    </row>
    <row r="44" spans="1:16" ht="16.5">
      <c r="A44" s="4" t="s">
        <v>41</v>
      </c>
      <c r="B44" s="51" t="s">
        <v>16</v>
      </c>
      <c r="C44" s="17">
        <v>3851140</v>
      </c>
      <c r="D44" s="17">
        <v>5000000</v>
      </c>
      <c r="E44" s="18">
        <v>5000000</v>
      </c>
      <c r="F44" s="154"/>
      <c r="G44" s="20">
        <v>2500000</v>
      </c>
      <c r="H44" s="52">
        <f>5000000*0.85</f>
        <v>4250000</v>
      </c>
      <c r="I44" s="52">
        <v>5000000</v>
      </c>
      <c r="J44" s="20">
        <f>SUM(G44:I44)</f>
        <v>11750000</v>
      </c>
      <c r="K44" s="174"/>
      <c r="L44" s="134">
        <f>G44*$L$8+G44+50000</f>
        <v>1692775</v>
      </c>
      <c r="M44" s="134">
        <f>H44*$M$8+H44</f>
        <v>1858992.5</v>
      </c>
      <c r="N44" s="134">
        <f>I44*$N$8+I44</f>
        <v>2945500</v>
      </c>
      <c r="O44" s="135">
        <f>SUM(L44:N44)</f>
        <v>6497267.5</v>
      </c>
      <c r="P44" s="21"/>
    </row>
    <row r="45" spans="1:16" ht="16.5">
      <c r="A45" s="4"/>
      <c r="B45" s="17" t="s">
        <v>42</v>
      </c>
      <c r="C45" s="17"/>
      <c r="D45" s="17"/>
      <c r="E45" s="24">
        <v>2000000</v>
      </c>
      <c r="F45" s="155"/>
      <c r="G45" s="53">
        <v>5543621</v>
      </c>
      <c r="H45" s="53">
        <v>23500000</v>
      </c>
      <c r="I45" s="53">
        <v>1011500</v>
      </c>
      <c r="J45" s="20">
        <f>SUM(G45:I45)</f>
        <v>30055121</v>
      </c>
      <c r="K45" s="174"/>
      <c r="L45" s="134"/>
      <c r="M45" s="134">
        <f>H45*$M$8+H45</f>
        <v>10279135</v>
      </c>
      <c r="N45" s="134">
        <f>I45*$N$8+I45+1031809</f>
        <v>1627683.65</v>
      </c>
      <c r="O45" s="135">
        <f>SUM(L45:N45)</f>
        <v>11906818.65</v>
      </c>
      <c r="P45" s="21"/>
    </row>
    <row r="46" spans="1:16" ht="16.5">
      <c r="A46" s="4"/>
      <c r="B46" s="39" t="s">
        <v>28</v>
      </c>
      <c r="C46" s="39"/>
      <c r="D46" s="39"/>
      <c r="E46" s="39">
        <v>0</v>
      </c>
      <c r="F46" s="161"/>
      <c r="G46" s="52">
        <v>1500000</v>
      </c>
      <c r="H46" s="52">
        <v>9600000</v>
      </c>
      <c r="I46" s="52">
        <v>960000</v>
      </c>
      <c r="J46" s="20">
        <f>SUM(G46:I46)</f>
        <v>12060000</v>
      </c>
      <c r="K46" s="174"/>
      <c r="L46" s="134">
        <f>G46*$L$8+G46</f>
        <v>985665</v>
      </c>
      <c r="M46" s="134">
        <f>H46*$M$8+H46</f>
        <v>4199136</v>
      </c>
      <c r="N46" s="134">
        <f>I46*$N$8+I46</f>
        <v>565536</v>
      </c>
      <c r="O46" s="135">
        <f>SUM(L46:N46)</f>
        <v>5750337</v>
      </c>
      <c r="P46" s="21"/>
    </row>
    <row r="47" spans="1:16" ht="16.5">
      <c r="A47" s="4"/>
      <c r="B47" s="39" t="s">
        <v>43</v>
      </c>
      <c r="C47" s="39"/>
      <c r="D47" s="39"/>
      <c r="E47" s="39">
        <v>0</v>
      </c>
      <c r="F47" s="161"/>
      <c r="G47" s="52"/>
      <c r="H47" s="52"/>
      <c r="I47" s="52">
        <v>1751500</v>
      </c>
      <c r="J47" s="20">
        <f>SUM(G47:I47)</f>
        <v>1751500</v>
      </c>
      <c r="K47" s="174"/>
      <c r="L47" s="134"/>
      <c r="M47" s="134"/>
      <c r="N47" s="134"/>
      <c r="O47" s="135"/>
      <c r="P47" s="21"/>
    </row>
    <row r="48" spans="1:16" ht="16.5">
      <c r="A48" s="4"/>
      <c r="B48" s="13" t="s">
        <v>44</v>
      </c>
      <c r="C48" s="39"/>
      <c r="D48" s="39"/>
      <c r="E48" s="24">
        <v>2960430</v>
      </c>
      <c r="F48" s="155"/>
      <c r="G48" s="52"/>
      <c r="H48" s="52"/>
      <c r="I48" s="52"/>
      <c r="J48" s="20"/>
      <c r="K48" s="174"/>
      <c r="L48" s="134"/>
      <c r="M48" s="134"/>
      <c r="N48" s="134"/>
      <c r="O48" s="135"/>
      <c r="P48" s="21"/>
    </row>
    <row r="49" spans="1:16" ht="16.5">
      <c r="A49" s="4"/>
      <c r="B49" s="13" t="s">
        <v>45</v>
      </c>
      <c r="C49" s="17">
        <v>2850000</v>
      </c>
      <c r="D49" s="17">
        <v>8500000</v>
      </c>
      <c r="E49" s="24">
        <v>2950000</v>
      </c>
      <c r="F49" s="155"/>
      <c r="G49" s="52"/>
      <c r="H49" s="52"/>
      <c r="I49" s="52"/>
      <c r="J49" s="20"/>
      <c r="K49" s="174"/>
      <c r="L49" s="136"/>
      <c r="M49" s="135"/>
      <c r="N49" s="135"/>
      <c r="O49" s="135"/>
      <c r="P49" s="21"/>
    </row>
    <row r="50" spans="1:16" ht="16.5">
      <c r="A50" s="4"/>
      <c r="B50" s="17" t="s">
        <v>46</v>
      </c>
      <c r="C50" s="39"/>
      <c r="D50" s="17">
        <v>14474914</v>
      </c>
      <c r="E50" s="24">
        <v>7000000</v>
      </c>
      <c r="F50" s="155"/>
      <c r="G50" s="52"/>
      <c r="H50" s="52"/>
      <c r="I50" s="52"/>
      <c r="J50" s="20"/>
      <c r="K50" s="174"/>
      <c r="L50" s="136"/>
      <c r="M50" s="135"/>
      <c r="N50" s="135"/>
      <c r="O50" s="135"/>
      <c r="P50" s="21"/>
    </row>
    <row r="51" spans="1:16" ht="16.5">
      <c r="A51" s="4"/>
      <c r="B51" s="17" t="s">
        <v>47</v>
      </c>
      <c r="C51" s="39"/>
      <c r="D51" s="39"/>
      <c r="E51" s="24">
        <v>2500000</v>
      </c>
      <c r="F51" s="155"/>
      <c r="G51" s="52"/>
      <c r="H51" s="52"/>
      <c r="I51" s="52"/>
      <c r="J51" s="20"/>
      <c r="K51" s="174"/>
      <c r="L51" s="136"/>
      <c r="M51" s="135"/>
      <c r="N51" s="135"/>
      <c r="O51" s="135"/>
      <c r="P51" s="21"/>
    </row>
    <row r="52" spans="1:16" ht="16.5">
      <c r="A52" s="4"/>
      <c r="B52" s="51" t="s">
        <v>48</v>
      </c>
      <c r="C52" s="17">
        <v>9364200</v>
      </c>
      <c r="D52" s="17">
        <v>1212500</v>
      </c>
      <c r="E52" s="24"/>
      <c r="F52" s="155"/>
      <c r="G52" s="52"/>
      <c r="H52" s="52"/>
      <c r="I52" s="52"/>
      <c r="J52" s="20"/>
      <c r="K52" s="174"/>
      <c r="L52" s="136"/>
      <c r="M52" s="135"/>
      <c r="N52" s="135"/>
      <c r="O52" s="135"/>
      <c r="P52" s="21"/>
    </row>
    <row r="53" spans="1:16" ht="16.5">
      <c r="A53" s="4"/>
      <c r="B53" s="51" t="s">
        <v>49</v>
      </c>
      <c r="C53" s="17">
        <v>2500000</v>
      </c>
      <c r="D53" s="17">
        <v>2500000</v>
      </c>
      <c r="E53" s="24"/>
      <c r="F53" s="155"/>
      <c r="G53" s="52"/>
      <c r="H53" s="52"/>
      <c r="I53" s="52"/>
      <c r="J53" s="20"/>
      <c r="K53" s="174"/>
      <c r="L53" s="136"/>
      <c r="M53" s="135"/>
      <c r="N53" s="135"/>
      <c r="O53" s="135"/>
      <c r="P53" s="21"/>
    </row>
    <row r="54" spans="1:16" ht="16.5">
      <c r="A54" s="4"/>
      <c r="B54" s="51" t="s">
        <v>50</v>
      </c>
      <c r="C54" s="17">
        <v>12623450</v>
      </c>
      <c r="D54" s="39"/>
      <c r="E54" s="39"/>
      <c r="F54" s="161"/>
      <c r="G54" s="52"/>
      <c r="H54" s="52"/>
      <c r="I54" s="52"/>
      <c r="J54" s="20"/>
      <c r="K54" s="174"/>
      <c r="L54" s="136"/>
      <c r="M54" s="135"/>
      <c r="N54" s="135"/>
      <c r="O54" s="135"/>
      <c r="P54" s="21"/>
    </row>
    <row r="55" spans="1:16" ht="16.5">
      <c r="A55" s="44"/>
      <c r="B55" s="29" t="s">
        <v>51</v>
      </c>
      <c r="C55" s="17"/>
      <c r="D55" s="17">
        <v>8301606</v>
      </c>
      <c r="E55" s="51"/>
      <c r="F55" s="165"/>
      <c r="G55" s="52">
        <v>3000000</v>
      </c>
      <c r="H55" s="52"/>
      <c r="I55" s="52"/>
      <c r="J55" s="20">
        <f>SUM(G55:I55)</f>
        <v>3000000</v>
      </c>
      <c r="K55" s="174"/>
      <c r="L55" s="134">
        <f>G55*$L$8+G55+3642769</f>
        <v>5614099</v>
      </c>
      <c r="M55" s="139"/>
      <c r="N55" s="139"/>
      <c r="O55" s="140">
        <f>SUM(L55:N55)</f>
        <v>5614099</v>
      </c>
      <c r="P55" s="21"/>
    </row>
    <row r="56" spans="1:16" ht="16.5">
      <c r="A56" s="48"/>
      <c r="B56" s="33" t="s">
        <v>24</v>
      </c>
      <c r="C56" s="49">
        <f>SUM(C44:C55)</f>
        <v>31188790</v>
      </c>
      <c r="D56" s="49">
        <f>SUM(D44:D55)</f>
        <v>39989020</v>
      </c>
      <c r="E56" s="49">
        <f>SUM(E44:E55)</f>
        <v>22410430</v>
      </c>
      <c r="F56" s="163"/>
      <c r="G56" s="49">
        <f>SUM(G44:G55)</f>
        <v>12543621</v>
      </c>
      <c r="H56" s="49">
        <f>SUM(H44:H55)</f>
        <v>37350000</v>
      </c>
      <c r="I56" s="49">
        <f>SUM(I44:I55)</f>
        <v>8723000</v>
      </c>
      <c r="J56" s="49">
        <f>SUM(J44:J55)</f>
        <v>58616621</v>
      </c>
      <c r="K56" s="174"/>
      <c r="L56" s="138">
        <f>SUM(L44:L55)</f>
        <v>8292539</v>
      </c>
      <c r="M56" s="138">
        <f>SUM(M44:M55)</f>
        <v>16337263.5</v>
      </c>
      <c r="N56" s="138">
        <f>SUM(N44:N55)</f>
        <v>5138719.65</v>
      </c>
      <c r="O56" s="138">
        <f>SUM(O44:O55)</f>
        <v>29768522.15</v>
      </c>
      <c r="P56" s="21"/>
    </row>
    <row r="57" spans="1:16" ht="16.5">
      <c r="A57" s="48"/>
      <c r="B57" s="33"/>
      <c r="C57" s="50"/>
      <c r="D57" s="50"/>
      <c r="E57" s="50"/>
      <c r="F57" s="164"/>
      <c r="G57" s="46"/>
      <c r="H57" s="46"/>
      <c r="I57" s="46"/>
      <c r="J57" s="46"/>
      <c r="K57" s="174"/>
      <c r="L57" s="136"/>
      <c r="M57" s="135"/>
      <c r="N57" s="135"/>
      <c r="O57" s="135"/>
      <c r="P57" s="21"/>
    </row>
    <row r="58" spans="1:16" ht="16.5">
      <c r="A58" s="4" t="s">
        <v>52</v>
      </c>
      <c r="B58" s="16" t="s">
        <v>16</v>
      </c>
      <c r="C58" s="18">
        <v>8300000</v>
      </c>
      <c r="D58" s="18">
        <v>10000000</v>
      </c>
      <c r="E58" s="18">
        <v>10000000</v>
      </c>
      <c r="F58" s="154"/>
      <c r="G58" s="54">
        <v>5000000</v>
      </c>
      <c r="H58" s="54">
        <f>10000000*0.85</f>
        <v>8500000</v>
      </c>
      <c r="I58" s="54">
        <v>10000000</v>
      </c>
      <c r="J58" s="20">
        <f aca="true" t="shared" si="2" ref="J58:J63">SUM(G58:I58)</f>
        <v>23500000</v>
      </c>
      <c r="K58" s="174"/>
      <c r="L58" s="134">
        <f>G58*$L$8+G58+50000+1664450</f>
        <v>5000000</v>
      </c>
      <c r="M58" s="134">
        <f>H58*$M$8+H58+1282015</f>
        <v>5000000</v>
      </c>
      <c r="N58" s="134">
        <f>I58*$N$8+I58-891000</f>
        <v>5000000</v>
      </c>
      <c r="O58" s="135">
        <f>SUM(L58:N58)</f>
        <v>15000000</v>
      </c>
      <c r="P58" s="21"/>
    </row>
    <row r="59" spans="1:16" ht="16.5">
      <c r="A59" s="4"/>
      <c r="B59" s="55" t="s">
        <v>53</v>
      </c>
      <c r="C59" s="24">
        <v>1500000</v>
      </c>
      <c r="D59" s="24">
        <v>1500000</v>
      </c>
      <c r="E59" s="24">
        <v>1500000</v>
      </c>
      <c r="F59" s="155"/>
      <c r="G59" s="20">
        <v>375000</v>
      </c>
      <c r="H59" s="17">
        <v>925000</v>
      </c>
      <c r="I59" s="17">
        <v>1500000</v>
      </c>
      <c r="J59" s="20">
        <f t="shared" si="2"/>
        <v>2800000</v>
      </c>
      <c r="K59" s="174"/>
      <c r="L59" s="134">
        <f>G59*$L$8+G59+128584</f>
        <v>375000.25</v>
      </c>
      <c r="M59" s="134">
        <f>H59*$M$8+H59-29604</f>
        <v>375000.24999999994</v>
      </c>
      <c r="N59" s="134">
        <f>I59*$N$8+I59-508650</f>
        <v>375000</v>
      </c>
      <c r="O59" s="135">
        <f>SUM(L59:N59)</f>
        <v>1125000.5</v>
      </c>
      <c r="P59" s="21"/>
    </row>
    <row r="60" spans="1:16" ht="16.5">
      <c r="A60" s="4"/>
      <c r="B60" s="56" t="s">
        <v>54</v>
      </c>
      <c r="C60" s="24">
        <v>825000</v>
      </c>
      <c r="D60" s="24">
        <v>2000000</v>
      </c>
      <c r="E60" s="24">
        <v>800000</v>
      </c>
      <c r="F60" s="155"/>
      <c r="G60" s="20">
        <v>400000</v>
      </c>
      <c r="H60" s="57">
        <v>600000</v>
      </c>
      <c r="I60" s="57">
        <v>800000</v>
      </c>
      <c r="J60" s="20">
        <f t="shared" si="2"/>
        <v>1800000</v>
      </c>
      <c r="K60" s="174"/>
      <c r="L60" s="134">
        <f>G60*$L$8+G60+137156</f>
        <v>400000</v>
      </c>
      <c r="M60" s="134">
        <f>H60*$M$8+H60+137554</f>
        <v>400000</v>
      </c>
      <c r="N60" s="134">
        <f>I60*$N$8+I60-71280</f>
        <v>400000</v>
      </c>
      <c r="O60" s="135">
        <f>SUM(L60:N60)</f>
        <v>1200000</v>
      </c>
      <c r="P60" s="21"/>
    </row>
    <row r="61" spans="1:16" ht="16.5">
      <c r="A61" s="4"/>
      <c r="B61" s="58" t="s">
        <v>55</v>
      </c>
      <c r="C61" s="24">
        <v>19953755</v>
      </c>
      <c r="D61" s="24">
        <v>35424009</v>
      </c>
      <c r="E61" s="24">
        <v>3000000</v>
      </c>
      <c r="F61" s="155"/>
      <c r="G61" s="59">
        <v>9483334</v>
      </c>
      <c r="H61" s="60">
        <v>14154491</v>
      </c>
      <c r="I61" s="60"/>
      <c r="J61" s="20">
        <f t="shared" si="2"/>
        <v>23637825</v>
      </c>
      <c r="K61" s="174"/>
      <c r="L61" s="134">
        <v>3708600</v>
      </c>
      <c r="M61" s="134">
        <v>5737749</v>
      </c>
      <c r="N61" s="134">
        <v>2208215</v>
      </c>
      <c r="O61" s="135">
        <f>SUM(L61:N61)</f>
        <v>11654564</v>
      </c>
      <c r="P61" s="21"/>
    </row>
    <row r="62" spans="1:16" ht="16.5">
      <c r="A62" s="4"/>
      <c r="B62" s="61" t="s">
        <v>56</v>
      </c>
      <c r="C62" s="24">
        <v>1700000</v>
      </c>
      <c r="D62" s="60"/>
      <c r="E62" s="60">
        <v>15000000</v>
      </c>
      <c r="F62" s="166"/>
      <c r="G62" s="3">
        <v>4741666</v>
      </c>
      <c r="H62" s="60">
        <v>15258334</v>
      </c>
      <c r="I62" s="60"/>
      <c r="J62" s="20">
        <f t="shared" si="2"/>
        <v>20000000</v>
      </c>
      <c r="K62" s="174"/>
      <c r="L62" s="134">
        <v>3708600</v>
      </c>
      <c r="M62" s="134">
        <v>5737749</v>
      </c>
      <c r="N62" s="134">
        <v>2208215</v>
      </c>
      <c r="O62" s="135">
        <f>SUM(L62:N62)</f>
        <v>11654564</v>
      </c>
      <c r="P62" s="21"/>
    </row>
    <row r="63" spans="1:16" ht="16.5">
      <c r="A63" s="48"/>
      <c r="B63" s="62" t="s">
        <v>57</v>
      </c>
      <c r="C63" s="63"/>
      <c r="D63" s="63"/>
      <c r="E63" s="63"/>
      <c r="F63" s="166"/>
      <c r="G63" s="52"/>
      <c r="H63" s="52"/>
      <c r="I63" s="52">
        <v>5000000</v>
      </c>
      <c r="J63" s="20">
        <f t="shared" si="2"/>
        <v>5000000</v>
      </c>
      <c r="K63" s="174"/>
      <c r="L63" s="134"/>
      <c r="M63" s="134"/>
      <c r="N63" s="134"/>
      <c r="O63" s="135"/>
      <c r="P63" s="21"/>
    </row>
    <row r="64" spans="1:16" ht="16.5">
      <c r="A64" s="48"/>
      <c r="B64" s="58" t="s">
        <v>58</v>
      </c>
      <c r="C64" s="24">
        <v>12167602</v>
      </c>
      <c r="D64" s="24">
        <v>14873336</v>
      </c>
      <c r="E64" s="24">
        <v>19564997</v>
      </c>
      <c r="F64" s="155"/>
      <c r="G64" s="52"/>
      <c r="H64" s="52"/>
      <c r="I64" s="52"/>
      <c r="J64" s="20"/>
      <c r="K64" s="174"/>
      <c r="L64" s="136"/>
      <c r="M64" s="135"/>
      <c r="N64" s="135"/>
      <c r="O64" s="135"/>
      <c r="P64" s="21"/>
    </row>
    <row r="65" spans="1:16" ht="16.5">
      <c r="A65" s="48"/>
      <c r="B65" s="31" t="s">
        <v>59</v>
      </c>
      <c r="C65" s="24"/>
      <c r="D65" s="24">
        <v>9000000</v>
      </c>
      <c r="E65" s="24"/>
      <c r="F65" s="155"/>
      <c r="G65" s="52"/>
      <c r="H65" s="52"/>
      <c r="I65" s="52"/>
      <c r="J65" s="20"/>
      <c r="K65" s="174"/>
      <c r="L65" s="136"/>
      <c r="M65" s="135"/>
      <c r="N65" s="135"/>
      <c r="O65" s="135"/>
      <c r="P65" s="21"/>
    </row>
    <row r="66" spans="1:16" ht="16.5">
      <c r="A66" s="48"/>
      <c r="B66" s="33" t="s">
        <v>24</v>
      </c>
      <c r="C66" s="64">
        <f>SUM(C58:C65)</f>
        <v>44446357</v>
      </c>
      <c r="D66" s="64">
        <f>SUM(D58:D65)</f>
        <v>72797345</v>
      </c>
      <c r="E66" s="64">
        <f>SUM(E58:E65)</f>
        <v>49864997</v>
      </c>
      <c r="F66" s="163"/>
      <c r="G66" s="64">
        <f>SUM(G58:G65)</f>
        <v>20000000</v>
      </c>
      <c r="H66" s="64">
        <f>SUM(H58:H65)</f>
        <v>39437825</v>
      </c>
      <c r="I66" s="64">
        <f>SUM(I58:I65)</f>
        <v>17300000</v>
      </c>
      <c r="J66" s="64">
        <f>SUM(J58:J65)</f>
        <v>76737825</v>
      </c>
      <c r="K66" s="174"/>
      <c r="L66" s="141">
        <f>SUM(L58:L65)</f>
        <v>13192200.25</v>
      </c>
      <c r="M66" s="141">
        <f>SUM(M58:M65)</f>
        <v>17250498.25</v>
      </c>
      <c r="N66" s="141">
        <f>SUM(N58:N65)</f>
        <v>10191430</v>
      </c>
      <c r="O66" s="141">
        <f>SUM(O58:O65)</f>
        <v>40634128.5</v>
      </c>
      <c r="P66" s="21"/>
    </row>
    <row r="67" spans="1:16" ht="16.5">
      <c r="A67" s="48"/>
      <c r="C67" s="17"/>
      <c r="D67" s="17"/>
      <c r="E67" s="17"/>
      <c r="F67" s="160"/>
      <c r="G67" s="65"/>
      <c r="H67" s="65"/>
      <c r="I67" s="65"/>
      <c r="J67" s="65"/>
      <c r="K67" s="174"/>
      <c r="L67" s="136"/>
      <c r="M67" s="135"/>
      <c r="N67" s="135"/>
      <c r="O67" s="135"/>
      <c r="P67" s="21"/>
    </row>
    <row r="68" spans="1:16" ht="16.5">
      <c r="A68" s="48"/>
      <c r="C68" s="17"/>
      <c r="D68" s="17"/>
      <c r="E68" s="17"/>
      <c r="F68" s="160"/>
      <c r="G68" s="65"/>
      <c r="H68" s="65"/>
      <c r="I68" s="65"/>
      <c r="J68" s="65"/>
      <c r="K68" s="174"/>
      <c r="L68" s="136"/>
      <c r="M68" s="135"/>
      <c r="N68" s="135"/>
      <c r="O68" s="135"/>
      <c r="P68" s="21"/>
    </row>
    <row r="69" spans="1:16" ht="16.5">
      <c r="A69" s="4" t="s">
        <v>60</v>
      </c>
      <c r="B69" s="16" t="s">
        <v>16</v>
      </c>
      <c r="C69" s="17">
        <v>3642356</v>
      </c>
      <c r="D69" s="17">
        <v>11439470</v>
      </c>
      <c r="E69" s="18">
        <v>7865000</v>
      </c>
      <c r="F69" s="154"/>
      <c r="G69" s="52">
        <v>3965000</v>
      </c>
      <c r="H69" s="52">
        <v>2645250</v>
      </c>
      <c r="I69" s="52">
        <v>5965000</v>
      </c>
      <c r="J69" s="20">
        <f aca="true" t="shared" si="3" ref="J69:J74">SUM(G69:I69)</f>
        <v>12575250</v>
      </c>
      <c r="K69" s="174"/>
      <c r="L69" s="134">
        <f>G69*$L$8+G69+50000-226309</f>
        <v>2429132.1500000004</v>
      </c>
      <c r="M69" s="134">
        <f>H69*$M$8+H69-371311</f>
        <v>785747.8025</v>
      </c>
      <c r="N69" s="134">
        <f>I69*$N$8+I69-134010</f>
        <v>3379971.5</v>
      </c>
      <c r="O69" s="135">
        <f>SUM(L69:N69)</f>
        <v>6594851.452500001</v>
      </c>
      <c r="P69" s="21"/>
    </row>
    <row r="70" spans="1:18" s="68" customFormat="1" ht="16.5">
      <c r="A70" s="4"/>
      <c r="B70" s="66" t="s">
        <v>61</v>
      </c>
      <c r="C70" s="17">
        <v>8000000</v>
      </c>
      <c r="D70" s="17">
        <v>9475000</v>
      </c>
      <c r="E70" s="17">
        <v>17447500</v>
      </c>
      <c r="F70" s="160"/>
      <c r="G70" s="17">
        <v>2429200</v>
      </c>
      <c r="H70" s="52">
        <v>618300</v>
      </c>
      <c r="I70" s="52"/>
      <c r="J70" s="20">
        <f t="shared" si="3"/>
        <v>3047500</v>
      </c>
      <c r="K70" s="175"/>
      <c r="L70" s="134">
        <f>G70*$L$8+G70-144013</f>
        <v>1452238.6120000002</v>
      </c>
      <c r="M70" s="134">
        <f>H70*$M$8+H70-236287</f>
        <v>34163.603</v>
      </c>
      <c r="N70" s="134">
        <f>I70*$N$8+I70+1180798-85279</f>
        <v>1095519</v>
      </c>
      <c r="O70" s="135">
        <f>SUM(L70:N70)</f>
        <v>2581921.2150000003</v>
      </c>
      <c r="P70" s="67"/>
      <c r="Q70" s="3"/>
      <c r="R70" s="3"/>
    </row>
    <row r="71" spans="1:18" s="68" customFormat="1" ht="16.5">
      <c r="A71" s="4"/>
      <c r="B71" s="69" t="s">
        <v>62</v>
      </c>
      <c r="C71" s="17">
        <v>3000000</v>
      </c>
      <c r="D71" s="17">
        <v>17982000</v>
      </c>
      <c r="E71" s="17">
        <v>17952000</v>
      </c>
      <c r="F71" s="160"/>
      <c r="G71" s="17">
        <v>3847200</v>
      </c>
      <c r="H71" s="52">
        <v>972800</v>
      </c>
      <c r="I71" s="52"/>
      <c r="J71" s="20">
        <f t="shared" si="3"/>
        <v>4820000</v>
      </c>
      <c r="K71" s="175"/>
      <c r="L71" s="134">
        <f>G71*$L$8+G71-212591</f>
        <v>2315442.592</v>
      </c>
      <c r="M71" s="134">
        <f>H71*$M$8+H71-348805</f>
        <v>76707.44799999997</v>
      </c>
      <c r="N71" s="134">
        <f>I71*$N$8+I71+1866454-125889</f>
        <v>1740565</v>
      </c>
      <c r="O71" s="135">
        <f>SUM(L71:N71)</f>
        <v>4132715.04</v>
      </c>
      <c r="P71" s="67"/>
      <c r="Q71" s="3"/>
      <c r="R71" s="3"/>
    </row>
    <row r="72" spans="1:18" s="68" customFormat="1" ht="16.5">
      <c r="A72" s="4"/>
      <c r="B72" s="66" t="s">
        <v>63</v>
      </c>
      <c r="C72" s="51"/>
      <c r="D72" s="17">
        <v>10348000</v>
      </c>
      <c r="E72" s="17">
        <v>8246000</v>
      </c>
      <c r="F72" s="160"/>
      <c r="G72" s="52">
        <v>1591100</v>
      </c>
      <c r="H72" s="52">
        <v>408900</v>
      </c>
      <c r="I72" s="52"/>
      <c r="J72" s="20">
        <f t="shared" si="3"/>
        <v>2000000</v>
      </c>
      <c r="K72" s="175"/>
      <c r="L72" s="134">
        <f>G72*$L$8+G72-102867</f>
        <v>942660.721</v>
      </c>
      <c r="M72" s="134">
        <f>H72*$M$8+H72-168777</f>
        <v>10079.948999999993</v>
      </c>
      <c r="N72" s="134">
        <f>I72*$N$8+I72+775615-60914</f>
        <v>714701</v>
      </c>
      <c r="O72" s="135">
        <f>SUM(L72:N72)</f>
        <v>1667441.67</v>
      </c>
      <c r="P72" s="67"/>
      <c r="Q72" s="3"/>
      <c r="R72" s="3"/>
    </row>
    <row r="73" spans="1:18" s="68" customFormat="1" ht="16.5">
      <c r="A73" s="4"/>
      <c r="B73" s="66" t="s">
        <v>64</v>
      </c>
      <c r="C73" s="51"/>
      <c r="D73" s="51"/>
      <c r="E73" s="51"/>
      <c r="F73" s="165"/>
      <c r="G73" s="17">
        <v>2000000</v>
      </c>
      <c r="H73" s="17">
        <v>2000000</v>
      </c>
      <c r="I73" s="17">
        <v>2000000</v>
      </c>
      <c r="J73" s="20">
        <f t="shared" si="3"/>
        <v>6000000</v>
      </c>
      <c r="K73" s="175"/>
      <c r="L73" s="134">
        <f>G73*$L$8+G73+685780</f>
        <v>2000000</v>
      </c>
      <c r="M73" s="134">
        <f>H73*$M$8+H73+1125180</f>
        <v>2000000</v>
      </c>
      <c r="N73" s="134">
        <f>I73*$N$8+I73+415708+406092</f>
        <v>2000000</v>
      </c>
      <c r="O73" s="135">
        <f>SUM(L73:N73)</f>
        <v>6000000</v>
      </c>
      <c r="P73" s="67"/>
      <c r="Q73" s="3"/>
      <c r="R73" s="3"/>
    </row>
    <row r="74" spans="1:16" s="68" customFormat="1" ht="16.5">
      <c r="A74" s="4"/>
      <c r="B74" s="70" t="s">
        <v>65</v>
      </c>
      <c r="C74" s="71"/>
      <c r="D74" s="71"/>
      <c r="E74" s="71"/>
      <c r="F74" s="167"/>
      <c r="G74" s="17"/>
      <c r="I74" s="24">
        <v>7195000</v>
      </c>
      <c r="J74" s="20">
        <f t="shared" si="3"/>
        <v>7195000</v>
      </c>
      <c r="K74" s="175"/>
      <c r="L74" s="134"/>
      <c r="M74" s="134"/>
      <c r="N74" s="134"/>
      <c r="O74" s="135"/>
      <c r="P74" s="67"/>
    </row>
    <row r="75" spans="1:16" s="68" customFormat="1" ht="16.5">
      <c r="A75" s="72"/>
      <c r="B75" s="31" t="s">
        <v>66</v>
      </c>
      <c r="C75" s="17">
        <v>2000000</v>
      </c>
      <c r="D75" s="71"/>
      <c r="E75" s="71"/>
      <c r="F75" s="167"/>
      <c r="G75" s="52"/>
      <c r="H75" s="52"/>
      <c r="I75" s="52"/>
      <c r="J75" s="20"/>
      <c r="K75" s="175"/>
      <c r="L75" s="142"/>
      <c r="M75" s="143"/>
      <c r="N75" s="143"/>
      <c r="O75" s="143"/>
      <c r="P75" s="67"/>
    </row>
    <row r="76" spans="1:16" s="68" customFormat="1" ht="16.5">
      <c r="A76" s="72"/>
      <c r="B76" s="29" t="s">
        <v>67</v>
      </c>
      <c r="C76" s="17">
        <v>2000100</v>
      </c>
      <c r="D76" s="71"/>
      <c r="E76" s="71"/>
      <c r="F76" s="167"/>
      <c r="G76" s="52"/>
      <c r="H76" s="52"/>
      <c r="I76" s="52"/>
      <c r="J76" s="20"/>
      <c r="K76" s="175"/>
      <c r="L76" s="142"/>
      <c r="M76" s="143"/>
      <c r="N76" s="143"/>
      <c r="O76" s="143"/>
      <c r="P76" s="67"/>
    </row>
    <row r="77" spans="1:16" s="68" customFormat="1" ht="16.5">
      <c r="A77" s="72"/>
      <c r="B77" s="31" t="s">
        <v>68</v>
      </c>
      <c r="C77" s="17">
        <v>10009000</v>
      </c>
      <c r="D77" s="71"/>
      <c r="E77" s="71"/>
      <c r="F77" s="167"/>
      <c r="G77" s="52"/>
      <c r="H77" s="52"/>
      <c r="I77" s="52"/>
      <c r="J77" s="20"/>
      <c r="K77" s="175"/>
      <c r="L77" s="142"/>
      <c r="M77" s="143"/>
      <c r="N77" s="143"/>
      <c r="O77" s="143"/>
      <c r="P77" s="67"/>
    </row>
    <row r="78" spans="1:16" s="68" customFormat="1" ht="16.5">
      <c r="A78" s="72"/>
      <c r="B78" s="31" t="s">
        <v>69</v>
      </c>
      <c r="C78" s="17">
        <v>1300000</v>
      </c>
      <c r="D78" s="71"/>
      <c r="E78" s="71"/>
      <c r="F78" s="167"/>
      <c r="G78" s="52"/>
      <c r="H78" s="52"/>
      <c r="I78" s="52"/>
      <c r="J78" s="20"/>
      <c r="K78" s="175"/>
      <c r="L78" s="142"/>
      <c r="M78" s="143"/>
      <c r="N78" s="143"/>
      <c r="O78" s="143"/>
      <c r="P78" s="67"/>
    </row>
    <row r="79" spans="1:16" s="68" customFormat="1" ht="16.5">
      <c r="A79" s="72"/>
      <c r="B79" s="31" t="s">
        <v>70</v>
      </c>
      <c r="C79" s="24"/>
      <c r="D79" s="17">
        <v>14141984</v>
      </c>
      <c r="E79" s="71"/>
      <c r="F79" s="167"/>
      <c r="G79" s="52"/>
      <c r="H79" s="52"/>
      <c r="I79" s="52"/>
      <c r="J79" s="20"/>
      <c r="K79" s="175"/>
      <c r="L79" s="142"/>
      <c r="M79" s="143"/>
      <c r="N79" s="143"/>
      <c r="O79" s="143"/>
      <c r="P79" s="67"/>
    </row>
    <row r="80" spans="1:16" s="68" customFormat="1" ht="16.5">
      <c r="A80" s="72"/>
      <c r="B80" s="31" t="s">
        <v>71</v>
      </c>
      <c r="C80" s="24"/>
      <c r="D80" s="17">
        <v>30500000</v>
      </c>
      <c r="E80" s="71"/>
      <c r="F80" s="167"/>
      <c r="G80" s="52"/>
      <c r="H80" s="52"/>
      <c r="I80" s="52"/>
      <c r="J80" s="20"/>
      <c r="K80" s="175"/>
      <c r="L80" s="142"/>
      <c r="M80" s="143"/>
      <c r="N80" s="143"/>
      <c r="O80" s="143"/>
      <c r="P80" s="67"/>
    </row>
    <row r="81" spans="1:16" s="68" customFormat="1" ht="16.5">
      <c r="A81" s="72"/>
      <c r="B81" s="31" t="s">
        <v>72</v>
      </c>
      <c r="C81" s="17"/>
      <c r="D81" s="17">
        <v>2000000</v>
      </c>
      <c r="E81" s="71"/>
      <c r="F81" s="167"/>
      <c r="G81" s="52"/>
      <c r="H81" s="52"/>
      <c r="I81" s="52"/>
      <c r="J81" s="20"/>
      <c r="K81" s="175"/>
      <c r="L81" s="142"/>
      <c r="M81" s="143"/>
      <c r="N81" s="143"/>
      <c r="O81" s="143"/>
      <c r="P81" s="67"/>
    </row>
    <row r="82" spans="1:16" ht="16.5">
      <c r="A82" s="48"/>
      <c r="B82" s="33" t="s">
        <v>24</v>
      </c>
      <c r="C82" s="49">
        <f>SUM(C69:C81)</f>
        <v>29951456</v>
      </c>
      <c r="D82" s="49">
        <f>SUM(D69:D81)</f>
        <v>95886454</v>
      </c>
      <c r="E82" s="49">
        <f>SUM(E69:E73)</f>
        <v>51510500</v>
      </c>
      <c r="F82" s="163"/>
      <c r="G82" s="49">
        <f>SUM(G69:G81)</f>
        <v>13832500</v>
      </c>
      <c r="H82" s="49">
        <f>SUM(H69:H81)</f>
        <v>6645250</v>
      </c>
      <c r="I82" s="49">
        <f>SUM(I69:I81)</f>
        <v>15160000</v>
      </c>
      <c r="J82" s="49">
        <f>SUM(J69:J81)</f>
        <v>35637750</v>
      </c>
      <c r="K82" s="174"/>
      <c r="L82" s="138">
        <f>SUM(L69:L81)</f>
        <v>9139474.075</v>
      </c>
      <c r="M82" s="138">
        <f>SUM(M69:M81)</f>
        <v>2906698.8025</v>
      </c>
      <c r="N82" s="138">
        <f>SUM(N69:N81)</f>
        <v>8930756.5</v>
      </c>
      <c r="O82" s="138">
        <f>SUM(O69:O81)</f>
        <v>20976929.377499998</v>
      </c>
      <c r="P82" s="21"/>
    </row>
    <row r="83" spans="1:16" ht="16.5">
      <c r="A83" s="48"/>
      <c r="B83" s="73"/>
      <c r="C83" s="30"/>
      <c r="D83" s="30"/>
      <c r="E83" s="30"/>
      <c r="F83" s="157"/>
      <c r="G83" s="37"/>
      <c r="H83" s="37"/>
      <c r="I83" s="37"/>
      <c r="J83" s="37"/>
      <c r="K83" s="174"/>
      <c r="L83" s="136"/>
      <c r="M83" s="135"/>
      <c r="N83" s="135"/>
      <c r="O83" s="135"/>
      <c r="P83" s="21"/>
    </row>
    <row r="84" spans="1:16" ht="16.5">
      <c r="A84" s="48"/>
      <c r="B84" s="73"/>
      <c r="C84" s="30"/>
      <c r="D84" s="30"/>
      <c r="E84" s="30"/>
      <c r="F84" s="157"/>
      <c r="G84" s="37"/>
      <c r="H84" s="37"/>
      <c r="I84" s="37"/>
      <c r="J84" s="37"/>
      <c r="K84" s="174"/>
      <c r="L84" s="136"/>
      <c r="M84" s="135"/>
      <c r="N84" s="135"/>
      <c r="O84" s="135"/>
      <c r="P84" s="21"/>
    </row>
    <row r="85" spans="1:16" ht="16.5">
      <c r="A85" s="4" t="s">
        <v>73</v>
      </c>
      <c r="B85" s="16" t="s">
        <v>16</v>
      </c>
      <c r="C85" s="18">
        <v>4500000</v>
      </c>
      <c r="D85" s="17">
        <v>4750000</v>
      </c>
      <c r="E85" s="17">
        <v>5000000</v>
      </c>
      <c r="F85" s="160"/>
      <c r="G85" s="20">
        <v>2500000</v>
      </c>
      <c r="H85" s="20">
        <f>5000000*0.85</f>
        <v>4250000</v>
      </c>
      <c r="I85" s="20">
        <v>5000000</v>
      </c>
      <c r="J85" s="20">
        <f>SUM(G85:I85)</f>
        <v>11750000</v>
      </c>
      <c r="K85" s="174"/>
      <c r="L85" s="134">
        <f>G85*$L$8+G85+2299885+50000</f>
        <v>3992660</v>
      </c>
      <c r="M85" s="134">
        <f>H85*$M$8+H85+3061870</f>
        <v>4920862.5</v>
      </c>
      <c r="N85" s="134">
        <f>I85*$N$8+I85+2437696</f>
        <v>5383196</v>
      </c>
      <c r="O85" s="135">
        <f>SUM(L85:N85)</f>
        <v>14296718.5</v>
      </c>
      <c r="P85" s="21"/>
    </row>
    <row r="86" spans="1:16" ht="16.5">
      <c r="A86" s="4"/>
      <c r="B86" s="74" t="s">
        <v>74</v>
      </c>
      <c r="C86" s="75"/>
      <c r="D86" s="57"/>
      <c r="E86" s="17">
        <v>4000000</v>
      </c>
      <c r="F86" s="160"/>
      <c r="G86" s="3">
        <v>3500000</v>
      </c>
      <c r="H86" s="57">
        <v>7000000</v>
      </c>
      <c r="I86" s="17">
        <f>7638000-3500000</f>
        <v>4138000</v>
      </c>
      <c r="J86" s="20">
        <f>SUM(G86:I86)</f>
        <v>14638000</v>
      </c>
      <c r="K86" s="174"/>
      <c r="L86" s="134"/>
      <c r="M86" s="134"/>
      <c r="N86" s="134"/>
      <c r="O86" s="135"/>
      <c r="P86" s="21"/>
    </row>
    <row r="87" spans="1:16" ht="16.5">
      <c r="A87" s="48"/>
      <c r="B87" s="31" t="s">
        <v>75</v>
      </c>
      <c r="C87" s="24"/>
      <c r="D87" s="17"/>
      <c r="E87" s="17">
        <v>4126000</v>
      </c>
      <c r="F87" s="160"/>
      <c r="G87" s="43"/>
      <c r="H87" s="43"/>
      <c r="I87" s="43"/>
      <c r="J87" s="20"/>
      <c r="K87" s="174"/>
      <c r="L87" s="136"/>
      <c r="M87" s="135"/>
      <c r="N87" s="135"/>
      <c r="O87" s="135"/>
      <c r="P87" s="21"/>
    </row>
    <row r="88" spans="1:16" ht="16.5">
      <c r="A88" s="48"/>
      <c r="B88" s="29" t="s">
        <v>76</v>
      </c>
      <c r="C88" s="24">
        <v>16469532</v>
      </c>
      <c r="D88" s="17">
        <v>14700000</v>
      </c>
      <c r="E88" s="17"/>
      <c r="F88" s="160"/>
      <c r="G88" s="43"/>
      <c r="H88" s="43"/>
      <c r="I88" s="43"/>
      <c r="J88" s="20"/>
      <c r="K88" s="174"/>
      <c r="L88" s="136"/>
      <c r="M88" s="135"/>
      <c r="N88" s="135"/>
      <c r="O88" s="135"/>
      <c r="P88" s="21"/>
    </row>
    <row r="89" spans="1:16" ht="16.5">
      <c r="A89" s="48"/>
      <c r="B89" s="29"/>
      <c r="C89" s="24"/>
      <c r="D89" s="17"/>
      <c r="E89" s="17"/>
      <c r="F89" s="160"/>
      <c r="G89" s="43"/>
      <c r="H89" s="43"/>
      <c r="I89" s="43"/>
      <c r="J89" s="20"/>
      <c r="K89" s="174"/>
      <c r="L89" s="136"/>
      <c r="M89" s="135"/>
      <c r="N89" s="135"/>
      <c r="O89" s="135"/>
      <c r="P89" s="21"/>
    </row>
    <row r="90" spans="1:16" ht="16.5">
      <c r="A90" s="48"/>
      <c r="B90" s="33" t="s">
        <v>24</v>
      </c>
      <c r="C90" s="49">
        <f>SUM(C85:C89)</f>
        <v>20969532</v>
      </c>
      <c r="D90" s="49">
        <f>SUM(D85:D89)</f>
        <v>19450000</v>
      </c>
      <c r="E90" s="49">
        <f>SUM(E85:E89)</f>
        <v>13126000</v>
      </c>
      <c r="F90" s="163"/>
      <c r="G90" s="49">
        <f>SUM(G85:G89)</f>
        <v>6000000</v>
      </c>
      <c r="H90" s="49">
        <f>SUM(H85:H89)</f>
        <v>11250000</v>
      </c>
      <c r="I90" s="49">
        <f>SUM(I85:I89)</f>
        <v>9138000</v>
      </c>
      <c r="J90" s="49">
        <f>SUM(J85:J89)</f>
        <v>26388000</v>
      </c>
      <c r="K90" s="163"/>
      <c r="L90" s="138">
        <f>SUM(L85:L89)</f>
        <v>3992660</v>
      </c>
      <c r="M90" s="138">
        <f>SUM(M85:M89)</f>
        <v>4920862.5</v>
      </c>
      <c r="N90" s="138">
        <f>SUM(N85:N89)</f>
        <v>5383196</v>
      </c>
      <c r="O90" s="138">
        <f>SUM(O85:O89)</f>
        <v>14296718.5</v>
      </c>
      <c r="P90" s="21"/>
    </row>
    <row r="91" spans="1:16" ht="16.5">
      <c r="A91" s="48"/>
      <c r="B91" s="73"/>
      <c r="C91" s="30"/>
      <c r="D91" s="30"/>
      <c r="E91" s="30"/>
      <c r="F91" s="157"/>
      <c r="G91" s="46"/>
      <c r="H91" s="46"/>
      <c r="I91" s="46"/>
      <c r="J91" s="46"/>
      <c r="K91" s="174"/>
      <c r="L91" s="136"/>
      <c r="M91" s="135"/>
      <c r="N91" s="135"/>
      <c r="O91" s="135"/>
      <c r="P91" s="21"/>
    </row>
    <row r="92" spans="1:16" ht="16.5">
      <c r="A92" s="48"/>
      <c r="B92" s="35"/>
      <c r="C92" s="36"/>
      <c r="D92" s="36"/>
      <c r="E92" s="36"/>
      <c r="F92" s="159"/>
      <c r="G92" s="37"/>
      <c r="H92" s="37"/>
      <c r="I92" s="37"/>
      <c r="J92" s="37"/>
      <c r="K92" s="174"/>
      <c r="L92" s="136"/>
      <c r="M92" s="135"/>
      <c r="N92" s="135"/>
      <c r="O92" s="135"/>
      <c r="P92" s="21"/>
    </row>
    <row r="93" spans="1:16" ht="16.5">
      <c r="A93" s="4" t="s">
        <v>77</v>
      </c>
      <c r="B93" s="18" t="s">
        <v>16</v>
      </c>
      <c r="C93" s="18">
        <v>8000000</v>
      </c>
      <c r="D93" s="18">
        <v>8000000</v>
      </c>
      <c r="E93" s="18">
        <v>12500000</v>
      </c>
      <c r="F93" s="154"/>
      <c r="G93" s="20">
        <v>6250000</v>
      </c>
      <c r="H93" s="20">
        <f>12500000*0.85</f>
        <v>10625000</v>
      </c>
      <c r="I93" s="20">
        <v>12500000</v>
      </c>
      <c r="J93" s="20">
        <f>SUM(G93:I93)</f>
        <v>29375000</v>
      </c>
      <c r="K93" s="174"/>
      <c r="L93" s="134">
        <f>G93*$L$8+G93+50000+1094381</f>
        <v>5251318.5</v>
      </c>
      <c r="M93" s="134">
        <f>H93*$M$8+H93+583621</f>
        <v>5231102.25</v>
      </c>
      <c r="N93" s="134">
        <f>I93*$N$8+I93+4321998</f>
        <v>11685748</v>
      </c>
      <c r="O93" s="135">
        <f>SUM(L93:N93)</f>
        <v>22168168.75</v>
      </c>
      <c r="P93" s="21"/>
    </row>
    <row r="94" spans="1:16" ht="16.5">
      <c r="A94" s="4"/>
      <c r="B94" s="24" t="s">
        <v>78</v>
      </c>
      <c r="C94" s="24"/>
      <c r="D94" s="24"/>
      <c r="E94" s="24">
        <v>25773704</v>
      </c>
      <c r="F94" s="155"/>
      <c r="G94" s="17">
        <v>5000000</v>
      </c>
      <c r="H94" s="17"/>
      <c r="I94" s="17"/>
      <c r="J94" s="20">
        <f>SUM(G94:I94)</f>
        <v>5000000</v>
      </c>
      <c r="K94" s="174"/>
      <c r="L94" s="134">
        <f>G94*$L$8+G94-50</f>
        <v>3285500</v>
      </c>
      <c r="M94" s="134">
        <f>H94*$M$8+H94+1077315+185</f>
        <v>1077500</v>
      </c>
      <c r="N94" s="134">
        <f>I94*$N$8+I94+637135-135</f>
        <v>637000</v>
      </c>
      <c r="O94" s="135">
        <f>SUM(L94:N94)</f>
        <v>5000000</v>
      </c>
      <c r="P94" s="21"/>
    </row>
    <row r="95" spans="1:16" ht="15" customHeight="1">
      <c r="A95" s="4"/>
      <c r="B95" s="24" t="s">
        <v>79</v>
      </c>
      <c r="C95" s="24"/>
      <c r="D95" s="24"/>
      <c r="E95" s="24">
        <v>20000000</v>
      </c>
      <c r="F95" s="155"/>
      <c r="G95" s="17">
        <v>3500000</v>
      </c>
      <c r="H95" s="17">
        <v>2584659</v>
      </c>
      <c r="I95" s="17"/>
      <c r="J95" s="20">
        <f>SUM(G95:I95)</f>
        <v>6084659</v>
      </c>
      <c r="K95" s="174"/>
      <c r="L95" s="134">
        <f>G95*$L$8+G95-1094381+50</f>
        <v>1205554</v>
      </c>
      <c r="M95" s="134">
        <f>H95*$M$8+H95-583621-185</f>
        <v>546749.69319</v>
      </c>
      <c r="N95" s="134">
        <f>I95*$N$8+I95+2654218-1321863</f>
        <v>1332355</v>
      </c>
      <c r="O95" s="135">
        <f>SUM(L95:N95)</f>
        <v>3084658.69319</v>
      </c>
      <c r="P95" s="21"/>
    </row>
    <row r="96" spans="1:16" ht="16.5">
      <c r="A96" s="4"/>
      <c r="B96" s="24" t="s">
        <v>80</v>
      </c>
      <c r="C96" s="24"/>
      <c r="D96" s="24"/>
      <c r="E96" s="24"/>
      <c r="F96" s="155"/>
      <c r="G96" s="17"/>
      <c r="H96" s="17">
        <v>2462940</v>
      </c>
      <c r="I96" s="3">
        <v>19233476</v>
      </c>
      <c r="J96" s="20">
        <f>SUM(G96:I96)</f>
        <v>21696416</v>
      </c>
      <c r="K96" s="174"/>
      <c r="L96" s="134"/>
      <c r="M96" s="134"/>
      <c r="N96" s="134">
        <f>I96*$N$8+I96-637135-2654218-3000000</f>
        <v>5039087.7116</v>
      </c>
      <c r="O96" s="135">
        <f>SUM(L96:N96)</f>
        <v>5039087.7116</v>
      </c>
      <c r="P96" s="21"/>
    </row>
    <row r="97" spans="1:16" ht="16.5">
      <c r="A97" s="4"/>
      <c r="B97" s="24" t="s">
        <v>81</v>
      </c>
      <c r="C97" s="24"/>
      <c r="D97" s="24">
        <v>10125000</v>
      </c>
      <c r="E97" s="24">
        <v>1125000</v>
      </c>
      <c r="F97" s="155"/>
      <c r="G97" s="17"/>
      <c r="H97" s="17"/>
      <c r="I97" s="17"/>
      <c r="J97" s="20"/>
      <c r="K97" s="174"/>
      <c r="L97" s="136"/>
      <c r="M97" s="134"/>
      <c r="N97" s="134"/>
      <c r="O97" s="135"/>
      <c r="P97" s="21"/>
    </row>
    <row r="98" spans="1:16" ht="16.5">
      <c r="A98" s="48"/>
      <c r="B98" s="24" t="s">
        <v>82</v>
      </c>
      <c r="C98" s="76"/>
      <c r="D98" s="24">
        <v>17611071</v>
      </c>
      <c r="E98" s="24">
        <v>7428749</v>
      </c>
      <c r="F98" s="155"/>
      <c r="G98" s="77"/>
      <c r="H98" s="77"/>
      <c r="I98" s="77"/>
      <c r="J98" s="20"/>
      <c r="K98" s="174"/>
      <c r="L98" s="136"/>
      <c r="M98" s="135"/>
      <c r="N98" s="135"/>
      <c r="O98" s="135"/>
      <c r="P98" s="21"/>
    </row>
    <row r="99" spans="1:16" ht="16.5">
      <c r="A99" s="48"/>
      <c r="B99" s="18" t="s">
        <v>83</v>
      </c>
      <c r="C99" s="24">
        <v>11868952</v>
      </c>
      <c r="D99" s="76"/>
      <c r="E99" s="24"/>
      <c r="F99" s="155"/>
      <c r="G99" s="77"/>
      <c r="H99" s="77"/>
      <c r="I99" s="77"/>
      <c r="J99" s="20"/>
      <c r="K99" s="174"/>
      <c r="L99" s="136"/>
      <c r="M99" s="135"/>
      <c r="N99" s="135"/>
      <c r="O99" s="135"/>
      <c r="P99" s="21"/>
    </row>
    <row r="100" spans="1:16" ht="16.5">
      <c r="A100" s="48"/>
      <c r="B100" s="18" t="s">
        <v>84</v>
      </c>
      <c r="C100" s="24">
        <v>7875000</v>
      </c>
      <c r="D100" s="76"/>
      <c r="E100" s="24"/>
      <c r="F100" s="155"/>
      <c r="G100" s="77"/>
      <c r="H100" s="77"/>
      <c r="I100" s="77"/>
      <c r="J100" s="20"/>
      <c r="K100" s="174"/>
      <c r="L100" s="136"/>
      <c r="M100" s="135"/>
      <c r="N100" s="135"/>
      <c r="O100" s="135"/>
      <c r="P100" s="21"/>
    </row>
    <row r="101" spans="1:16" ht="16.5">
      <c r="A101" s="48"/>
      <c r="B101" s="18" t="s">
        <v>85</v>
      </c>
      <c r="C101" s="24">
        <v>18816566</v>
      </c>
      <c r="D101" s="24">
        <v>2565895</v>
      </c>
      <c r="E101" s="24"/>
      <c r="F101" s="155"/>
      <c r="G101" s="77"/>
      <c r="H101" s="77"/>
      <c r="I101" s="77"/>
      <c r="J101" s="20"/>
      <c r="K101" s="174"/>
      <c r="L101" s="136"/>
      <c r="M101" s="135"/>
      <c r="N101" s="135"/>
      <c r="O101" s="135"/>
      <c r="P101" s="21"/>
    </row>
    <row r="102" spans="1:16" ht="16.5">
      <c r="A102" s="48"/>
      <c r="B102" s="18" t="s">
        <v>86</v>
      </c>
      <c r="C102" s="24"/>
      <c r="D102" s="24">
        <v>2045682</v>
      </c>
      <c r="E102" s="24"/>
      <c r="F102" s="155"/>
      <c r="G102" s="77"/>
      <c r="H102" s="77"/>
      <c r="I102" s="77"/>
      <c r="J102" s="20"/>
      <c r="K102" s="174"/>
      <c r="L102" s="136"/>
      <c r="M102" s="135"/>
      <c r="N102" s="135"/>
      <c r="O102" s="135"/>
      <c r="P102" s="21"/>
    </row>
    <row r="103" spans="1:16" ht="16.5">
      <c r="A103" s="48"/>
      <c r="B103" s="18" t="s">
        <v>87</v>
      </c>
      <c r="C103" s="24"/>
      <c r="D103" s="24">
        <v>10619373</v>
      </c>
      <c r="E103" s="24"/>
      <c r="F103" s="155"/>
      <c r="G103" s="77"/>
      <c r="H103" s="77"/>
      <c r="I103" s="77"/>
      <c r="J103" s="20"/>
      <c r="K103" s="174"/>
      <c r="L103" s="136"/>
      <c r="M103" s="135"/>
      <c r="N103" s="135"/>
      <c r="O103" s="135"/>
      <c r="P103" s="21"/>
    </row>
    <row r="104" spans="1:16" ht="16.5">
      <c r="A104" s="48"/>
      <c r="B104" s="18"/>
      <c r="C104" s="24"/>
      <c r="D104" s="24"/>
      <c r="E104" s="24"/>
      <c r="F104" s="155"/>
      <c r="G104" s="77"/>
      <c r="H104" s="77"/>
      <c r="I104" s="77"/>
      <c r="J104" s="20"/>
      <c r="K104" s="174"/>
      <c r="L104" s="136"/>
      <c r="M104" s="135"/>
      <c r="N104" s="135"/>
      <c r="O104" s="135"/>
      <c r="P104" s="21"/>
    </row>
    <row r="105" spans="1:16" ht="16.5">
      <c r="A105" s="48"/>
      <c r="B105" s="33" t="s">
        <v>24</v>
      </c>
      <c r="C105" s="64">
        <f>SUM(C93:C104)</f>
        <v>46560518</v>
      </c>
      <c r="D105" s="64">
        <f>SUM(D93:D104)</f>
        <v>50967021</v>
      </c>
      <c r="E105" s="64">
        <f>SUM(E93:E98)</f>
        <v>66827453</v>
      </c>
      <c r="F105" s="163"/>
      <c r="G105" s="64">
        <f>SUM(G93:G104)</f>
        <v>14750000</v>
      </c>
      <c r="H105" s="64">
        <f>SUM(H93:H104)</f>
        <v>15672599</v>
      </c>
      <c r="I105" s="64">
        <f>SUM(I93:I104)</f>
        <v>31733476</v>
      </c>
      <c r="J105" s="64">
        <f>SUM(J93:J104)</f>
        <v>62156075</v>
      </c>
      <c r="K105" s="174"/>
      <c r="L105" s="141">
        <f>SUM(L93:L104)</f>
        <v>9742372.5</v>
      </c>
      <c r="M105" s="141">
        <f>SUM(M93:M104)</f>
        <v>6855351.94319</v>
      </c>
      <c r="N105" s="141">
        <f>SUM(N93:N104)</f>
        <v>18694190.7116</v>
      </c>
      <c r="O105" s="141">
        <f>SUM(O93:O104)</f>
        <v>35291915.15479</v>
      </c>
      <c r="P105" s="21"/>
    </row>
    <row r="106" spans="1:16" ht="16.5">
      <c r="A106" s="48"/>
      <c r="B106" s="73"/>
      <c r="C106" s="30"/>
      <c r="D106" s="30"/>
      <c r="E106" s="30"/>
      <c r="F106" s="157"/>
      <c r="G106" s="46"/>
      <c r="H106" s="46"/>
      <c r="I106" s="46"/>
      <c r="J106" s="46"/>
      <c r="K106" s="174"/>
      <c r="L106" s="136"/>
      <c r="M106" s="135"/>
      <c r="N106" s="135"/>
      <c r="O106" s="135"/>
      <c r="P106" s="21"/>
    </row>
    <row r="107" spans="1:16" ht="16.5">
      <c r="A107" s="48"/>
      <c r="B107" s="35"/>
      <c r="C107" s="36"/>
      <c r="D107" s="36"/>
      <c r="E107" s="36"/>
      <c r="F107" s="159"/>
      <c r="G107" s="37"/>
      <c r="H107" s="37"/>
      <c r="I107" s="37"/>
      <c r="J107" s="37"/>
      <c r="K107" s="174"/>
      <c r="L107" s="136"/>
      <c r="M107" s="135"/>
      <c r="N107" s="135"/>
      <c r="O107" s="135"/>
      <c r="P107" s="21"/>
    </row>
    <row r="108" spans="1:16" ht="16.5">
      <c r="A108" s="4" t="s">
        <v>88</v>
      </c>
      <c r="B108" s="16" t="s">
        <v>16</v>
      </c>
      <c r="C108" s="18">
        <v>7000000</v>
      </c>
      <c r="D108" s="18">
        <v>7000000</v>
      </c>
      <c r="E108" s="18">
        <v>10500000</v>
      </c>
      <c r="F108" s="154"/>
      <c r="G108" s="17">
        <f>5250000+2500000</f>
        <v>7750000</v>
      </c>
      <c r="H108" s="17">
        <f>10500000*0.85</f>
        <v>8925000</v>
      </c>
      <c r="I108" s="17">
        <f>10500000-2500000</f>
        <v>8000000</v>
      </c>
      <c r="J108" s="20">
        <f aca="true" t="shared" si="4" ref="J108:J113">SUM(G108:I108)</f>
        <v>24675000</v>
      </c>
      <c r="K108" s="174"/>
      <c r="L108" s="134">
        <f>G108*$L$8+G108+50000</f>
        <v>5142602.5</v>
      </c>
      <c r="M108" s="134">
        <f>H108*$M$8+H108+872869</f>
        <v>4776753.25</v>
      </c>
      <c r="N108" s="134">
        <f>I108*$N$8+I108</f>
        <v>4712800</v>
      </c>
      <c r="O108" s="135">
        <f>SUM(L108:N108)</f>
        <v>14632155.75</v>
      </c>
      <c r="P108" s="21"/>
    </row>
    <row r="109" spans="1:16" ht="16.5">
      <c r="A109" s="4"/>
      <c r="B109" s="31" t="s">
        <v>89</v>
      </c>
      <c r="C109" s="24"/>
      <c r="D109" s="17"/>
      <c r="E109" s="24">
        <v>2500000</v>
      </c>
      <c r="F109" s="155"/>
      <c r="G109" s="3">
        <f>5066879-2500000</f>
        <v>2566879</v>
      </c>
      <c r="H109" s="57">
        <v>20024403</v>
      </c>
      <c r="I109" s="57">
        <f>6863023-5066879+1500000+2500000</f>
        <v>5796144</v>
      </c>
      <c r="J109" s="20">
        <f t="shared" si="4"/>
        <v>28387426</v>
      </c>
      <c r="K109" s="174"/>
      <c r="L109" s="134">
        <f>G109*$L$8+G109</f>
        <v>1686721.85969</v>
      </c>
      <c r="M109" s="134">
        <f>H109*$M$8+H109+3761726-2939748</f>
        <v>9580852.11623</v>
      </c>
      <c r="N109" s="134">
        <f>I109*$N$8+I109+4123700+7514765</f>
        <v>15052973.430399999</v>
      </c>
      <c r="O109" s="135">
        <f>SUM(L109:N109)</f>
        <v>26320547.40632</v>
      </c>
      <c r="P109" s="21"/>
    </row>
    <row r="110" spans="1:16" ht="16.5">
      <c r="A110" s="4"/>
      <c r="B110" s="78" t="s">
        <v>90</v>
      </c>
      <c r="C110" s="75"/>
      <c r="D110" s="30"/>
      <c r="E110" s="75"/>
      <c r="F110" s="155"/>
      <c r="G110" s="57"/>
      <c r="H110" s="57">
        <f>257392+675729</f>
        <v>933121</v>
      </c>
      <c r="I110" s="52">
        <f>7013740+6000000-257392</f>
        <v>12756348</v>
      </c>
      <c r="J110" s="20">
        <f t="shared" si="4"/>
        <v>13689469</v>
      </c>
      <c r="K110" s="174"/>
      <c r="L110" s="134"/>
      <c r="M110" s="134"/>
      <c r="N110" s="134"/>
      <c r="O110" s="135"/>
      <c r="P110" s="21"/>
    </row>
    <row r="111" spans="1:16" ht="16.5">
      <c r="A111" s="4"/>
      <c r="B111" s="78" t="s">
        <v>91</v>
      </c>
      <c r="C111" s="24">
        <v>3131025</v>
      </c>
      <c r="D111" s="30"/>
      <c r="E111" s="75"/>
      <c r="F111" s="155"/>
      <c r="H111" s="3">
        <v>2066879</v>
      </c>
      <c r="I111" s="17"/>
      <c r="J111" s="20">
        <f t="shared" si="4"/>
        <v>2066879</v>
      </c>
      <c r="K111" s="174"/>
      <c r="L111" s="134"/>
      <c r="M111" s="134">
        <v>2066879</v>
      </c>
      <c r="N111" s="134"/>
      <c r="O111" s="135">
        <f>SUM(L111:N111)</f>
        <v>2066879</v>
      </c>
      <c r="P111" s="21"/>
    </row>
    <row r="112" spans="1:16" ht="16.5">
      <c r="A112" s="4"/>
      <c r="B112" s="78" t="s">
        <v>92</v>
      </c>
      <c r="C112" s="24">
        <v>4383261</v>
      </c>
      <c r="D112" s="30"/>
      <c r="E112" s="75"/>
      <c r="F112" s="155"/>
      <c r="G112" s="57"/>
      <c r="H112" s="57">
        <v>5600000</v>
      </c>
      <c r="I112" s="52"/>
      <c r="J112" s="20">
        <f t="shared" si="4"/>
        <v>5600000</v>
      </c>
      <c r="K112" s="174"/>
      <c r="L112" s="134"/>
      <c r="M112" s="134"/>
      <c r="N112" s="134"/>
      <c r="O112" s="135"/>
      <c r="P112" s="21"/>
    </row>
    <row r="113" spans="1:16" ht="16.5">
      <c r="A113" s="4"/>
      <c r="B113" s="78" t="s">
        <v>93</v>
      </c>
      <c r="C113" s="75"/>
      <c r="D113" s="30"/>
      <c r="E113" s="75">
        <v>6000000</v>
      </c>
      <c r="F113" s="155"/>
      <c r="G113" s="57"/>
      <c r="H113" s="57"/>
      <c r="I113" s="52">
        <v>7000000</v>
      </c>
      <c r="J113" s="20">
        <f t="shared" si="4"/>
        <v>7000000</v>
      </c>
      <c r="K113" s="174"/>
      <c r="L113" s="134"/>
      <c r="M113" s="134"/>
      <c r="N113" s="134"/>
      <c r="O113" s="135"/>
      <c r="P113" s="21"/>
    </row>
    <row r="114" spans="1:16" ht="16.5">
      <c r="A114" s="48"/>
      <c r="B114" s="2" t="s">
        <v>94</v>
      </c>
      <c r="C114" s="24">
        <v>9000000</v>
      </c>
      <c r="D114" s="17">
        <v>29000000</v>
      </c>
      <c r="E114" s="24">
        <v>12000000</v>
      </c>
      <c r="F114" s="155"/>
      <c r="G114" s="77"/>
      <c r="H114" s="77"/>
      <c r="I114" s="77"/>
      <c r="J114" s="20"/>
      <c r="K114" s="174"/>
      <c r="L114" s="134"/>
      <c r="M114" s="134"/>
      <c r="N114" s="134"/>
      <c r="O114" s="135"/>
      <c r="P114" s="21"/>
    </row>
    <row r="115" spans="1:16" ht="16.5">
      <c r="A115" s="48"/>
      <c r="B115" s="79" t="s">
        <v>95</v>
      </c>
      <c r="C115" s="76"/>
      <c r="D115" s="17">
        <v>19000000</v>
      </c>
      <c r="E115" s="24">
        <v>7000000</v>
      </c>
      <c r="F115" s="155"/>
      <c r="G115" s="77"/>
      <c r="H115" s="77"/>
      <c r="I115" s="77"/>
      <c r="J115" s="20"/>
      <c r="K115" s="174"/>
      <c r="L115" s="136"/>
      <c r="M115" s="135"/>
      <c r="N115" s="135"/>
      <c r="O115" s="135"/>
      <c r="P115" s="21"/>
    </row>
    <row r="116" spans="1:16" ht="16.5">
      <c r="A116" s="48"/>
      <c r="B116" s="29" t="s">
        <v>96</v>
      </c>
      <c r="C116" s="24">
        <v>2912000</v>
      </c>
      <c r="D116" s="17"/>
      <c r="E116" s="17"/>
      <c r="F116" s="160"/>
      <c r="G116" s="17"/>
      <c r="H116" s="17"/>
      <c r="I116" s="17"/>
      <c r="J116" s="17"/>
      <c r="K116" s="176"/>
      <c r="L116" s="144"/>
      <c r="M116" s="145"/>
      <c r="N116" s="145"/>
      <c r="O116" s="135"/>
      <c r="P116" s="21"/>
    </row>
    <row r="117" spans="1:16" ht="16.5">
      <c r="A117" s="48"/>
      <c r="B117" s="29" t="s">
        <v>97</v>
      </c>
      <c r="C117" s="24">
        <v>18619835</v>
      </c>
      <c r="D117" s="17">
        <v>4680165</v>
      </c>
      <c r="E117" s="24"/>
      <c r="F117" s="155"/>
      <c r="G117" s="77"/>
      <c r="H117" s="77"/>
      <c r="I117" s="77"/>
      <c r="J117" s="20"/>
      <c r="K117" s="174"/>
      <c r="L117" s="136"/>
      <c r="M117" s="135"/>
      <c r="N117" s="135"/>
      <c r="O117" s="135"/>
      <c r="P117" s="21"/>
    </row>
    <row r="118" spans="1:16" ht="16.5">
      <c r="A118" s="48"/>
      <c r="B118" s="29" t="s">
        <v>98</v>
      </c>
      <c r="C118" s="80"/>
      <c r="D118" s="17">
        <v>1110000</v>
      </c>
      <c r="E118" s="24"/>
      <c r="F118" s="155"/>
      <c r="G118" s="77"/>
      <c r="H118" s="77"/>
      <c r="I118" s="77"/>
      <c r="J118" s="20"/>
      <c r="K118" s="174"/>
      <c r="L118" s="136"/>
      <c r="M118" s="135"/>
      <c r="N118" s="135"/>
      <c r="O118" s="135"/>
      <c r="P118" s="21"/>
    </row>
    <row r="119" spans="1:16" ht="16.5">
      <c r="A119" s="48"/>
      <c r="B119" s="29" t="s">
        <v>99</v>
      </c>
      <c r="C119" s="80"/>
      <c r="D119" s="17">
        <v>15000000</v>
      </c>
      <c r="E119" s="24"/>
      <c r="F119" s="155"/>
      <c r="G119" s="77"/>
      <c r="H119" s="77"/>
      <c r="I119" s="77"/>
      <c r="J119" s="20"/>
      <c r="K119" s="174"/>
      <c r="L119" s="136"/>
      <c r="M119" s="135"/>
      <c r="N119" s="135"/>
      <c r="O119" s="135"/>
      <c r="P119" s="21"/>
    </row>
    <row r="120" spans="1:16" ht="16.5">
      <c r="A120" s="48"/>
      <c r="B120" s="29"/>
      <c r="C120" s="80"/>
      <c r="D120" s="17"/>
      <c r="E120" s="24"/>
      <c r="F120" s="155"/>
      <c r="G120" s="77"/>
      <c r="H120" s="77"/>
      <c r="I120" s="77"/>
      <c r="J120" s="20"/>
      <c r="K120" s="174"/>
      <c r="L120" s="136"/>
      <c r="M120" s="135"/>
      <c r="N120" s="135"/>
      <c r="O120" s="135"/>
      <c r="P120" s="21"/>
    </row>
    <row r="121" spans="1:16" ht="16.5">
      <c r="A121" s="48"/>
      <c r="B121" s="33" t="s">
        <v>24</v>
      </c>
      <c r="C121" s="49">
        <f>SUM(C108:C120)</f>
        <v>45046121</v>
      </c>
      <c r="D121" s="49">
        <f>SUM(D108:D120)</f>
        <v>75790165</v>
      </c>
      <c r="E121" s="49">
        <f>SUM(E108:E120)</f>
        <v>38000000</v>
      </c>
      <c r="F121" s="163"/>
      <c r="G121" s="49">
        <f>SUM(G108:G120)</f>
        <v>10316879</v>
      </c>
      <c r="H121" s="49">
        <f>SUM(H108:H120)</f>
        <v>37549403</v>
      </c>
      <c r="I121" s="49">
        <f>SUM(I108:I120)</f>
        <v>33552492</v>
      </c>
      <c r="J121" s="49">
        <f>SUM(J108:J120)</f>
        <v>81418774</v>
      </c>
      <c r="K121" s="174"/>
      <c r="L121" s="138">
        <f>SUM(L108:L120)</f>
        <v>6829324.35969</v>
      </c>
      <c r="M121" s="138">
        <f>SUM(M108:M120)</f>
        <v>16424484.36623</v>
      </c>
      <c r="N121" s="138">
        <f>SUM(N108:N120)</f>
        <v>19765773.4304</v>
      </c>
      <c r="O121" s="138">
        <f>SUM(O108:O120)</f>
        <v>43019582.15632</v>
      </c>
      <c r="P121" s="21"/>
    </row>
    <row r="122" spans="1:16" ht="16.5">
      <c r="A122" s="48"/>
      <c r="B122" s="35"/>
      <c r="C122" s="36"/>
      <c r="D122" s="36"/>
      <c r="E122" s="36"/>
      <c r="F122" s="159"/>
      <c r="G122" s="37"/>
      <c r="H122" s="37"/>
      <c r="I122" s="37"/>
      <c r="J122" s="37"/>
      <c r="K122" s="174"/>
      <c r="L122" s="136"/>
      <c r="M122" s="135"/>
      <c r="N122" s="135"/>
      <c r="O122" s="135"/>
      <c r="P122" s="21"/>
    </row>
    <row r="123" spans="1:16" ht="6" customHeight="1">
      <c r="A123" s="48"/>
      <c r="B123" s="35"/>
      <c r="C123" s="36"/>
      <c r="D123" s="36"/>
      <c r="E123" s="36"/>
      <c r="F123" s="159"/>
      <c r="G123" s="37"/>
      <c r="H123" s="37"/>
      <c r="I123" s="37"/>
      <c r="J123" s="37"/>
      <c r="K123" s="174"/>
      <c r="L123" s="136"/>
      <c r="M123" s="135"/>
      <c r="N123" s="135"/>
      <c r="O123" s="135"/>
      <c r="P123" s="21"/>
    </row>
    <row r="124" spans="1:16" ht="16.5">
      <c r="A124" s="4" t="s">
        <v>100</v>
      </c>
      <c r="B124" s="16" t="s">
        <v>16</v>
      </c>
      <c r="C124" s="18">
        <v>4000000</v>
      </c>
      <c r="D124" s="51">
        <v>10000000</v>
      </c>
      <c r="E124" s="18">
        <v>6000000</v>
      </c>
      <c r="F124" s="154"/>
      <c r="G124" s="20">
        <v>3000000</v>
      </c>
      <c r="H124" s="20">
        <f>6000000*0.85</f>
        <v>5100000</v>
      </c>
      <c r="I124" s="20">
        <v>6000000</v>
      </c>
      <c r="J124" s="20">
        <f>SUM(G124:I124)</f>
        <v>14100000</v>
      </c>
      <c r="K124" s="174"/>
      <c r="L124" s="134">
        <f>G124*$L$8+G124+50000</f>
        <v>2021330</v>
      </c>
      <c r="M124" s="134">
        <f>H124*$M$8+H124</f>
        <v>2230791</v>
      </c>
      <c r="N124" s="134">
        <f>I124*$N$8+I124</f>
        <v>3534600</v>
      </c>
      <c r="O124" s="135">
        <f>SUM(L124:N124)</f>
        <v>7786721</v>
      </c>
      <c r="P124" s="21"/>
    </row>
    <row r="125" spans="1:16" ht="16.5">
      <c r="A125" s="4"/>
      <c r="B125" s="81" t="s">
        <v>101</v>
      </c>
      <c r="C125" s="24"/>
      <c r="D125" s="13"/>
      <c r="E125" s="24">
        <v>24000000</v>
      </c>
      <c r="F125" s="155"/>
      <c r="G125" s="17">
        <v>5000000</v>
      </c>
      <c r="H125" s="17">
        <v>6000000</v>
      </c>
      <c r="I125" s="17"/>
      <c r="J125" s="20">
        <f>SUM(G125:I125)</f>
        <v>11000000</v>
      </c>
      <c r="K125" s="174"/>
      <c r="L125" s="134">
        <f>G125*$L$8+G125+2299885</f>
        <v>5585435</v>
      </c>
      <c r="M125" s="134">
        <f>H125*$M$8+H125</f>
        <v>2624460</v>
      </c>
      <c r="N125" s="134">
        <f>I125*$N$8+I125+2790105</f>
        <v>2790105</v>
      </c>
      <c r="O125" s="135">
        <f>SUM(L125:N125)</f>
        <v>11000000</v>
      </c>
      <c r="P125" s="21"/>
    </row>
    <row r="126" spans="1:16" ht="17.25" customHeight="1">
      <c r="A126" s="4"/>
      <c r="B126" s="31" t="s">
        <v>102</v>
      </c>
      <c r="C126" s="24"/>
      <c r="D126" s="17"/>
      <c r="E126" s="17"/>
      <c r="F126" s="160"/>
      <c r="G126" s="17"/>
      <c r="H126" s="17"/>
      <c r="I126" s="17">
        <v>18000000</v>
      </c>
      <c r="J126" s="20">
        <f>SUM(G126:I126)</f>
        <v>18000000</v>
      </c>
      <c r="K126" s="174"/>
      <c r="L126" s="134"/>
      <c r="M126" s="134"/>
      <c r="N126" s="134">
        <f>I126*$N$8+I126-2790105</f>
        <v>7813695</v>
      </c>
      <c r="O126" s="135">
        <f>SUM(L126:N126)</f>
        <v>7813695</v>
      </c>
      <c r="P126" s="21"/>
    </row>
    <row r="127" spans="1:16" ht="16.5">
      <c r="A127" s="4"/>
      <c r="B127" s="31" t="s">
        <v>103</v>
      </c>
      <c r="C127" s="24"/>
      <c r="D127" s="17"/>
      <c r="E127" s="17"/>
      <c r="F127" s="160"/>
      <c r="G127" s="17">
        <v>3500000</v>
      </c>
      <c r="H127" s="17"/>
      <c r="I127" s="17"/>
      <c r="J127" s="20">
        <f>SUM(G127:I127)</f>
        <v>3500000</v>
      </c>
      <c r="K127" s="174"/>
      <c r="L127" s="134"/>
      <c r="M127" s="134"/>
      <c r="N127" s="134"/>
      <c r="O127" s="135"/>
      <c r="P127" s="21"/>
    </row>
    <row r="128" spans="1:16" ht="16.5">
      <c r="A128" s="4"/>
      <c r="B128" s="31" t="s">
        <v>102</v>
      </c>
      <c r="C128" s="24">
        <v>14000000</v>
      </c>
      <c r="D128" s="17"/>
      <c r="E128" s="17"/>
      <c r="F128" s="160"/>
      <c r="G128" s="17"/>
      <c r="H128" s="17"/>
      <c r="I128" s="17"/>
      <c r="J128" s="20"/>
      <c r="K128" s="174"/>
      <c r="L128" s="134"/>
      <c r="M128" s="134"/>
      <c r="N128" s="134"/>
      <c r="O128" s="135"/>
      <c r="P128" s="21"/>
    </row>
    <row r="129" spans="1:16" ht="16.5">
      <c r="A129" s="4"/>
      <c r="B129" s="29" t="s">
        <v>104</v>
      </c>
      <c r="C129" s="24">
        <v>12000000</v>
      </c>
      <c r="D129" s="13">
        <v>3300000</v>
      </c>
      <c r="E129" s="13"/>
      <c r="F129" s="157"/>
      <c r="G129" s="52"/>
      <c r="H129" s="52"/>
      <c r="I129" s="52"/>
      <c r="J129" s="20"/>
      <c r="K129" s="174"/>
      <c r="L129" s="136"/>
      <c r="M129" s="134"/>
      <c r="N129" s="134"/>
      <c r="O129" s="135"/>
      <c r="P129" s="21"/>
    </row>
    <row r="130" spans="1:16" ht="16.5">
      <c r="A130" s="4"/>
      <c r="B130" s="29" t="s">
        <v>105</v>
      </c>
      <c r="C130" s="24"/>
      <c r="D130" s="17">
        <v>5000000</v>
      </c>
      <c r="E130" s="13"/>
      <c r="F130" s="157"/>
      <c r="G130" s="52"/>
      <c r="H130" s="52"/>
      <c r="I130" s="52"/>
      <c r="J130" s="20"/>
      <c r="K130" s="174"/>
      <c r="L130" s="136"/>
      <c r="M130" s="135"/>
      <c r="N130" s="135"/>
      <c r="O130" s="135"/>
      <c r="P130" s="21"/>
    </row>
    <row r="131" spans="1:16" ht="16.5">
      <c r="A131" s="4"/>
      <c r="B131" s="29" t="s">
        <v>106</v>
      </c>
      <c r="C131" s="24"/>
      <c r="D131" s="17">
        <v>11000000</v>
      </c>
      <c r="E131" s="13"/>
      <c r="F131" s="157"/>
      <c r="G131" s="52"/>
      <c r="H131" s="52"/>
      <c r="I131" s="52"/>
      <c r="J131" s="20"/>
      <c r="K131" s="174"/>
      <c r="L131" s="136"/>
      <c r="M131" s="135"/>
      <c r="N131" s="135"/>
      <c r="O131" s="135"/>
      <c r="P131" s="21"/>
    </row>
    <row r="132" spans="1:16" ht="16.5">
      <c r="A132" s="4"/>
      <c r="B132" s="29"/>
      <c r="C132" s="24"/>
      <c r="D132" s="13"/>
      <c r="E132" s="13"/>
      <c r="F132" s="157"/>
      <c r="G132" s="52"/>
      <c r="H132" s="52"/>
      <c r="I132" s="52"/>
      <c r="J132" s="20"/>
      <c r="K132" s="174"/>
      <c r="L132" s="136"/>
      <c r="M132" s="135"/>
      <c r="N132" s="135"/>
      <c r="O132" s="135"/>
      <c r="P132" s="21"/>
    </row>
    <row r="133" spans="1:16" ht="16.5">
      <c r="A133" s="48"/>
      <c r="B133" s="33" t="s">
        <v>24</v>
      </c>
      <c r="C133" s="49">
        <f>SUM(C124:C129)</f>
        <v>30000000</v>
      </c>
      <c r="D133" s="49">
        <f>SUM(D124:D131)</f>
        <v>29300000</v>
      </c>
      <c r="E133" s="49">
        <f>SUM(E124:E129)</f>
        <v>30000000</v>
      </c>
      <c r="F133" s="163"/>
      <c r="G133" s="49">
        <f>SUM(G124:G132)</f>
        <v>11500000</v>
      </c>
      <c r="H133" s="49">
        <f>SUM(H124:H132)</f>
        <v>11100000</v>
      </c>
      <c r="I133" s="49">
        <f>SUM(I124:I132)</f>
        <v>24000000</v>
      </c>
      <c r="J133" s="49">
        <f>SUM(J124:J132)</f>
        <v>46600000</v>
      </c>
      <c r="K133" s="174"/>
      <c r="L133" s="138">
        <f>SUM(L124:L132)</f>
        <v>7606765</v>
      </c>
      <c r="M133" s="138">
        <f>SUM(M124:M132)</f>
        <v>4855251</v>
      </c>
      <c r="N133" s="138">
        <f>SUM(N124:N132)</f>
        <v>14138400</v>
      </c>
      <c r="O133" s="138">
        <f>SUM(O124:O132)</f>
        <v>26600416</v>
      </c>
      <c r="P133" s="21"/>
    </row>
    <row r="134" spans="1:16" ht="16.5">
      <c r="A134" s="48"/>
      <c r="B134" s="73"/>
      <c r="C134" s="30"/>
      <c r="D134" s="30"/>
      <c r="E134" s="30"/>
      <c r="F134" s="157"/>
      <c r="G134" s="46"/>
      <c r="H134" s="46"/>
      <c r="I134" s="46"/>
      <c r="J134" s="46"/>
      <c r="K134" s="174"/>
      <c r="L134" s="136"/>
      <c r="M134" s="135"/>
      <c r="N134" s="135"/>
      <c r="O134" s="135"/>
      <c r="P134" s="21"/>
    </row>
    <row r="135" spans="1:16" ht="10.5" customHeight="1">
      <c r="A135" s="44"/>
      <c r="B135" s="35"/>
      <c r="C135" s="36"/>
      <c r="D135" s="36"/>
      <c r="E135" s="36"/>
      <c r="F135" s="159"/>
      <c r="G135" s="37"/>
      <c r="H135" s="37"/>
      <c r="I135" s="37"/>
      <c r="J135" s="37"/>
      <c r="K135" s="174"/>
      <c r="L135" s="136"/>
      <c r="M135" s="135"/>
      <c r="N135" s="135"/>
      <c r="O135" s="135"/>
      <c r="P135" s="21"/>
    </row>
    <row r="136" spans="1:16" ht="16.5">
      <c r="A136" s="4" t="s">
        <v>107</v>
      </c>
      <c r="B136" s="16" t="s">
        <v>16</v>
      </c>
      <c r="C136" s="18">
        <v>5000000</v>
      </c>
      <c r="D136" s="18">
        <v>5000000</v>
      </c>
      <c r="E136" s="18">
        <v>5000000</v>
      </c>
      <c r="F136" s="154"/>
      <c r="G136" s="20">
        <v>2500000</v>
      </c>
      <c r="H136" s="20">
        <f>5000000*0.85</f>
        <v>4250000</v>
      </c>
      <c r="I136" s="20">
        <v>5000000</v>
      </c>
      <c r="J136" s="20">
        <f>SUM(G136:I136)</f>
        <v>11750000</v>
      </c>
      <c r="K136" s="174"/>
      <c r="L136" s="134">
        <f>G136*$L$8+G136+50000+3571100</f>
        <v>5263875</v>
      </c>
      <c r="M136" s="134">
        <f>H136*$M$8+H136-858993</f>
        <v>999999.5</v>
      </c>
      <c r="N136" s="134">
        <f>I136*$N$8+I136-1945500</f>
        <v>1000000</v>
      </c>
      <c r="O136" s="135">
        <f>SUM(L136:N136)</f>
        <v>7263874.5</v>
      </c>
      <c r="P136" s="21"/>
    </row>
    <row r="137" spans="1:16" ht="16.5">
      <c r="A137" s="4"/>
      <c r="B137" s="82" t="s">
        <v>108</v>
      </c>
      <c r="C137" s="83"/>
      <c r="D137" s="83"/>
      <c r="E137" s="24">
        <v>8000016</v>
      </c>
      <c r="F137" s="155"/>
      <c r="G137" s="17">
        <v>10000000</v>
      </c>
      <c r="H137" s="17">
        <v>5000000</v>
      </c>
      <c r="I137" s="17"/>
      <c r="J137" s="20">
        <f>SUM(G137:I137)</f>
        <v>15000000</v>
      </c>
      <c r="K137" s="174"/>
      <c r="L137" s="134">
        <f>G137*$L$8+G137-3571100</f>
        <v>3000000</v>
      </c>
      <c r="M137" s="134">
        <f>H137*$M$8+H137+858993</f>
        <v>3046043</v>
      </c>
      <c r="N137" s="134">
        <f>I137*$N$8+I137+1767300+1945500</f>
        <v>3712800</v>
      </c>
      <c r="O137" s="135">
        <f>SUM(L137:N137)</f>
        <v>9758843</v>
      </c>
      <c r="P137" s="21"/>
    </row>
    <row r="138" spans="1:16" ht="16.5">
      <c r="A138" s="4"/>
      <c r="B138" s="31" t="s">
        <v>109</v>
      </c>
      <c r="C138" s="24"/>
      <c r="D138" s="24"/>
      <c r="E138" s="24"/>
      <c r="F138" s="155"/>
      <c r="G138" s="17"/>
      <c r="H138" s="17"/>
      <c r="I138" s="17">
        <v>3000000</v>
      </c>
      <c r="J138" s="20">
        <f>SUM(G138:I138)</f>
        <v>3000000</v>
      </c>
      <c r="K138" s="174"/>
      <c r="L138" s="134"/>
      <c r="M138" s="134"/>
      <c r="N138" s="134"/>
      <c r="O138" s="135"/>
      <c r="P138" s="21"/>
    </row>
    <row r="139" spans="1:16" ht="16.5">
      <c r="A139" s="4"/>
      <c r="B139" s="31" t="s">
        <v>110</v>
      </c>
      <c r="C139" s="24"/>
      <c r="D139" s="24"/>
      <c r="E139" s="24">
        <v>5000000</v>
      </c>
      <c r="F139" s="155"/>
      <c r="G139" s="17"/>
      <c r="H139" s="17"/>
      <c r="I139" s="17"/>
      <c r="J139" s="20"/>
      <c r="K139" s="174"/>
      <c r="L139" s="134"/>
      <c r="M139" s="134"/>
      <c r="N139" s="134"/>
      <c r="O139" s="135"/>
      <c r="P139" s="21"/>
    </row>
    <row r="140" spans="1:16" ht="16.5">
      <c r="A140" s="4"/>
      <c r="B140" s="29" t="s">
        <v>111</v>
      </c>
      <c r="C140" s="24">
        <v>7116685</v>
      </c>
      <c r="D140" s="17">
        <v>1650000</v>
      </c>
      <c r="E140" s="24"/>
      <c r="F140" s="155"/>
      <c r="G140" s="17"/>
      <c r="H140" s="17"/>
      <c r="I140" s="17"/>
      <c r="J140" s="20"/>
      <c r="K140" s="174"/>
      <c r="L140" s="134"/>
      <c r="M140" s="135"/>
      <c r="N140" s="135"/>
      <c r="O140" s="135"/>
      <c r="P140" s="21"/>
    </row>
    <row r="141" spans="1:16" ht="16.5">
      <c r="A141" s="44"/>
      <c r="B141" s="29" t="s">
        <v>112</v>
      </c>
      <c r="C141" s="24">
        <v>16925996</v>
      </c>
      <c r="D141" s="17">
        <v>3400000</v>
      </c>
      <c r="E141" s="84"/>
      <c r="F141" s="168"/>
      <c r="G141" s="77"/>
      <c r="H141" s="77"/>
      <c r="I141" s="77"/>
      <c r="J141" s="20"/>
      <c r="K141" s="174"/>
      <c r="L141" s="136"/>
      <c r="M141" s="135"/>
      <c r="N141" s="135"/>
      <c r="O141" s="135"/>
      <c r="P141" s="21"/>
    </row>
    <row r="142" spans="1:16" ht="16.5">
      <c r="A142" s="44"/>
      <c r="B142" s="31" t="s">
        <v>113</v>
      </c>
      <c r="C142" s="24">
        <v>12762582</v>
      </c>
      <c r="D142" s="85"/>
      <c r="E142" s="84"/>
      <c r="F142" s="168"/>
      <c r="G142" s="77"/>
      <c r="H142" s="77"/>
      <c r="I142" s="77"/>
      <c r="J142" s="20"/>
      <c r="K142" s="174"/>
      <c r="L142" s="136"/>
      <c r="M142" s="135"/>
      <c r="N142" s="135"/>
      <c r="O142" s="135"/>
      <c r="P142" s="21"/>
    </row>
    <row r="143" spans="1:16" ht="16.5">
      <c r="A143" s="44"/>
      <c r="B143" s="29" t="s">
        <v>114</v>
      </c>
      <c r="C143" s="24"/>
      <c r="D143" s="17">
        <v>4800000</v>
      </c>
      <c r="E143" s="84"/>
      <c r="F143" s="168"/>
      <c r="G143" s="77"/>
      <c r="H143" s="77"/>
      <c r="I143" s="77"/>
      <c r="J143" s="20"/>
      <c r="K143" s="174"/>
      <c r="L143" s="136"/>
      <c r="M143" s="135"/>
      <c r="N143" s="135"/>
      <c r="O143" s="135"/>
      <c r="P143" s="21"/>
    </row>
    <row r="144" spans="1:16" ht="16.5">
      <c r="A144" s="44"/>
      <c r="B144" s="29" t="s">
        <v>115</v>
      </c>
      <c r="C144" s="24"/>
      <c r="D144" s="17">
        <v>9375000</v>
      </c>
      <c r="E144" s="84"/>
      <c r="F144" s="168"/>
      <c r="G144" s="77"/>
      <c r="H144" s="77"/>
      <c r="I144" s="77"/>
      <c r="J144" s="20"/>
      <c r="K144" s="174"/>
      <c r="L144" s="136"/>
      <c r="M144" s="135"/>
      <c r="N144" s="135"/>
      <c r="O144" s="135"/>
      <c r="P144" s="21"/>
    </row>
    <row r="145" spans="1:16" ht="16.5">
      <c r="A145" s="44"/>
      <c r="B145" s="29"/>
      <c r="C145" s="24"/>
      <c r="D145" s="17"/>
      <c r="E145" s="84"/>
      <c r="F145" s="168"/>
      <c r="G145" s="77"/>
      <c r="H145" s="77"/>
      <c r="I145" s="77"/>
      <c r="J145" s="20"/>
      <c r="K145" s="174"/>
      <c r="L145" s="136"/>
      <c r="M145" s="135"/>
      <c r="N145" s="135"/>
      <c r="O145" s="135"/>
      <c r="P145" s="21"/>
    </row>
    <row r="146" spans="1:16" ht="16.5" customHeight="1">
      <c r="A146" s="48"/>
      <c r="B146" s="33" t="s">
        <v>24</v>
      </c>
      <c r="C146" s="49">
        <f>SUM(C136:C142)</f>
        <v>41805263</v>
      </c>
      <c r="D146" s="49">
        <f>SUM(D136:D145)</f>
        <v>24225000</v>
      </c>
      <c r="E146" s="49">
        <f>SUM(E136:E141)</f>
        <v>18000016</v>
      </c>
      <c r="F146" s="163"/>
      <c r="G146" s="49">
        <f>SUM(G136:G145)</f>
        <v>12500000</v>
      </c>
      <c r="H146" s="49">
        <f>SUM(H136:H145)</f>
        <v>9250000</v>
      </c>
      <c r="I146" s="49">
        <f>SUM(I136:I145)</f>
        <v>8000000</v>
      </c>
      <c r="J146" s="49">
        <f>SUM(J136:J145)</f>
        <v>29750000</v>
      </c>
      <c r="K146" s="174"/>
      <c r="L146" s="138">
        <f>SUM(L136:L145)</f>
        <v>8263875</v>
      </c>
      <c r="M146" s="138">
        <f>SUM(M136:M145)</f>
        <v>4046042.5</v>
      </c>
      <c r="N146" s="138">
        <f>SUM(N136:N145)</f>
        <v>4712800</v>
      </c>
      <c r="O146" s="138">
        <f>SUM(O136:O145)</f>
        <v>17022717.5</v>
      </c>
      <c r="P146" s="21"/>
    </row>
    <row r="147" spans="1:16" ht="9" customHeight="1">
      <c r="A147" s="48"/>
      <c r="B147" s="73"/>
      <c r="C147" s="30"/>
      <c r="D147" s="30"/>
      <c r="E147" s="30"/>
      <c r="F147" s="157"/>
      <c r="G147" s="46"/>
      <c r="H147" s="46"/>
      <c r="I147" s="46"/>
      <c r="J147" s="46"/>
      <c r="K147" s="174"/>
      <c r="L147" s="136"/>
      <c r="M147" s="135"/>
      <c r="N147" s="135"/>
      <c r="O147" s="135"/>
      <c r="P147" s="21"/>
    </row>
    <row r="148" spans="1:16" ht="16.5">
      <c r="A148" s="48"/>
      <c r="B148" s="73"/>
      <c r="C148" s="30"/>
      <c r="D148" s="30"/>
      <c r="E148" s="30"/>
      <c r="F148" s="157"/>
      <c r="G148" s="37"/>
      <c r="H148" s="37"/>
      <c r="I148" s="37"/>
      <c r="J148" s="37"/>
      <c r="K148" s="174"/>
      <c r="L148" s="136"/>
      <c r="M148" s="135"/>
      <c r="N148" s="135"/>
      <c r="O148" s="135"/>
      <c r="P148" s="21"/>
    </row>
    <row r="149" spans="1:16" ht="16.5">
      <c r="A149" s="86" t="s">
        <v>116</v>
      </c>
      <c r="B149" s="87" t="s">
        <v>16</v>
      </c>
      <c r="C149" s="88">
        <v>3914400</v>
      </c>
      <c r="D149" s="88">
        <v>3150000</v>
      </c>
      <c r="E149" s="18">
        <v>4400000</v>
      </c>
      <c r="F149" s="154"/>
      <c r="G149" s="57">
        <f>3800000/2</f>
        <v>1900000</v>
      </c>
      <c r="H149" s="57">
        <f>3800000*0.85</f>
        <v>3230000</v>
      </c>
      <c r="I149" s="57">
        <v>3800000</v>
      </c>
      <c r="J149" s="20">
        <f aca="true" t="shared" si="5" ref="J149:J154">SUM(G149:I149)</f>
        <v>8930000</v>
      </c>
      <c r="K149" s="174"/>
      <c r="L149" s="134">
        <f>G149*$L$8+G149+50000+1382428</f>
        <v>2680937</v>
      </c>
      <c r="M149" s="134">
        <f>H149*$M$8+H149+221372</f>
        <v>1634206.2999999998</v>
      </c>
      <c r="N149" s="134">
        <f>I149*$N$8+I149</f>
        <v>2238580</v>
      </c>
      <c r="O149" s="135">
        <f>SUM(L149:N149)</f>
        <v>6553723.3</v>
      </c>
      <c r="P149" s="21"/>
    </row>
    <row r="150" spans="1:16" ht="16.5">
      <c r="A150" s="86"/>
      <c r="B150" s="74" t="s">
        <v>117</v>
      </c>
      <c r="C150" s="88">
        <v>1400000</v>
      </c>
      <c r="D150" s="57"/>
      <c r="E150" s="75"/>
      <c r="F150" s="155"/>
      <c r="G150" s="57">
        <v>500000</v>
      </c>
      <c r="H150" s="57"/>
      <c r="I150" s="57"/>
      <c r="J150" s="20">
        <f t="shared" si="5"/>
        <v>500000</v>
      </c>
      <c r="K150" s="174"/>
      <c r="L150" s="134"/>
      <c r="M150" s="134"/>
      <c r="N150" s="134"/>
      <c r="O150" s="135"/>
      <c r="P150" s="21"/>
    </row>
    <row r="151" spans="1:16" ht="16.5">
      <c r="A151" s="86"/>
      <c r="B151" s="74" t="s">
        <v>118</v>
      </c>
      <c r="C151" s="57"/>
      <c r="D151" s="57"/>
      <c r="E151" s="75"/>
      <c r="F151" s="155"/>
      <c r="G151" s="57">
        <v>1603800</v>
      </c>
      <c r="H151" s="52"/>
      <c r="I151" s="52"/>
      <c r="J151" s="20">
        <f t="shared" si="5"/>
        <v>1603800</v>
      </c>
      <c r="K151" s="174"/>
      <c r="L151" s="134"/>
      <c r="M151" s="134"/>
      <c r="N151" s="134"/>
      <c r="O151" s="135"/>
      <c r="P151" s="21"/>
    </row>
    <row r="152" spans="1:16" ht="16.5">
      <c r="A152" s="86"/>
      <c r="B152" s="74" t="s">
        <v>119</v>
      </c>
      <c r="C152" s="57"/>
      <c r="D152" s="57"/>
      <c r="E152" s="75"/>
      <c r="F152" s="155"/>
      <c r="G152" s="57"/>
      <c r="H152" s="57">
        <v>723800</v>
      </c>
      <c r="I152" s="57">
        <v>6374170</v>
      </c>
      <c r="J152" s="20">
        <f t="shared" si="5"/>
        <v>7097970</v>
      </c>
      <c r="K152" s="174"/>
      <c r="L152" s="134"/>
      <c r="M152" s="134">
        <f>H152*$M$8+H152-221372</f>
        <v>95225.35799999995</v>
      </c>
      <c r="N152" s="134">
        <f>I152*$N$8+I152+651250+972015</f>
        <v>5378288.547</v>
      </c>
      <c r="O152" s="135">
        <f>SUM(L152:N152)</f>
        <v>5473513.905</v>
      </c>
      <c r="P152" s="21"/>
    </row>
    <row r="153" spans="1:16" ht="16.5">
      <c r="A153" s="4"/>
      <c r="B153" s="74" t="s">
        <v>120</v>
      </c>
      <c r="C153" s="57"/>
      <c r="D153" s="57"/>
      <c r="E153" s="75"/>
      <c r="F153" s="155"/>
      <c r="G153" s="17"/>
      <c r="I153" s="17">
        <v>1105500</v>
      </c>
      <c r="J153" s="20">
        <f t="shared" si="5"/>
        <v>1105500</v>
      </c>
      <c r="K153" s="174"/>
      <c r="L153" s="134"/>
      <c r="M153" s="134"/>
      <c r="N153" s="134"/>
      <c r="O153" s="135"/>
      <c r="P153" s="21"/>
    </row>
    <row r="154" spans="1:16" ht="16.5">
      <c r="A154" s="4"/>
      <c r="B154" s="74" t="s">
        <v>121</v>
      </c>
      <c r="C154" s="57"/>
      <c r="D154" s="57"/>
      <c r="E154" s="75"/>
      <c r="F154" s="155"/>
      <c r="G154" s="57"/>
      <c r="H154" s="52"/>
      <c r="I154" s="52">
        <v>1650000</v>
      </c>
      <c r="J154" s="20">
        <f t="shared" si="5"/>
        <v>1650000</v>
      </c>
      <c r="K154" s="174"/>
      <c r="L154" s="134"/>
      <c r="M154" s="134"/>
      <c r="N154" s="134"/>
      <c r="O154" s="135"/>
      <c r="P154" s="21"/>
    </row>
    <row r="155" spans="1:16" ht="16.5">
      <c r="A155" s="4"/>
      <c r="B155" s="89" t="s">
        <v>122</v>
      </c>
      <c r="C155" s="57"/>
      <c r="D155" s="88">
        <v>9621763</v>
      </c>
      <c r="E155" s="75">
        <v>961211</v>
      </c>
      <c r="F155" s="155"/>
      <c r="G155" s="57"/>
      <c r="H155" s="52"/>
      <c r="I155" s="52"/>
      <c r="J155" s="20"/>
      <c r="K155" s="174"/>
      <c r="L155" s="134"/>
      <c r="M155" s="134"/>
      <c r="N155" s="134"/>
      <c r="O155" s="135"/>
      <c r="P155" s="21"/>
    </row>
    <row r="156" spans="1:16" ht="16.5">
      <c r="A156" s="4"/>
      <c r="B156" s="74" t="s">
        <v>123</v>
      </c>
      <c r="C156" s="88">
        <v>700000</v>
      </c>
      <c r="D156" s="57"/>
      <c r="E156" s="18">
        <v>1500000</v>
      </c>
      <c r="F156" s="154"/>
      <c r="G156" s="57"/>
      <c r="H156" s="52"/>
      <c r="I156" s="52"/>
      <c r="J156" s="20"/>
      <c r="K156" s="174"/>
      <c r="L156" s="134"/>
      <c r="M156" s="134"/>
      <c r="N156" s="134"/>
      <c r="O156" s="135"/>
      <c r="P156" s="21"/>
    </row>
    <row r="157" spans="1:16" ht="16.5">
      <c r="A157" s="4"/>
      <c r="B157" s="74" t="s">
        <v>124</v>
      </c>
      <c r="C157" s="57"/>
      <c r="D157" s="57"/>
      <c r="E157" s="18">
        <v>2500000</v>
      </c>
      <c r="F157" s="154"/>
      <c r="G157" s="57"/>
      <c r="H157" s="52"/>
      <c r="I157" s="52"/>
      <c r="J157" s="20"/>
      <c r="K157" s="174"/>
      <c r="L157" s="136"/>
      <c r="M157" s="135"/>
      <c r="N157" s="135"/>
      <c r="O157" s="135"/>
      <c r="P157" s="21"/>
    </row>
    <row r="158" spans="1:16" ht="16.5">
      <c r="A158" s="4"/>
      <c r="B158" s="31" t="s">
        <v>125</v>
      </c>
      <c r="C158" s="88">
        <v>700000</v>
      </c>
      <c r="D158" s="57"/>
      <c r="E158" s="18"/>
      <c r="F158" s="154"/>
      <c r="G158" s="57"/>
      <c r="H158" s="52"/>
      <c r="I158" s="52"/>
      <c r="J158" s="20"/>
      <c r="K158" s="174"/>
      <c r="L158" s="136"/>
      <c r="M158" s="135"/>
      <c r="N158" s="135"/>
      <c r="O158" s="135"/>
      <c r="P158" s="21"/>
    </row>
    <row r="159" spans="1:16" ht="16.5">
      <c r="A159" s="48"/>
      <c r="B159" s="33" t="s">
        <v>24</v>
      </c>
      <c r="C159" s="49">
        <f>SUM(C149:C158)</f>
        <v>6714400</v>
      </c>
      <c r="D159" s="49">
        <f>SUM(D149:D157)</f>
        <v>12771763</v>
      </c>
      <c r="E159" s="49">
        <f>SUM(E149:E157)</f>
        <v>9361211</v>
      </c>
      <c r="F159" s="163"/>
      <c r="G159" s="49">
        <f>SUM(G149:G158)</f>
        <v>4003800</v>
      </c>
      <c r="H159" s="49">
        <f>SUM(H149:H158)</f>
        <v>3953800</v>
      </c>
      <c r="I159" s="49">
        <f>SUM(I149:I158)</f>
        <v>12929670</v>
      </c>
      <c r="J159" s="49">
        <f>SUM(J149:J158)</f>
        <v>20887270</v>
      </c>
      <c r="K159" s="174"/>
      <c r="L159" s="138">
        <f>SUM(L149:L158)</f>
        <v>2680937</v>
      </c>
      <c r="M159" s="138">
        <f>SUM(M149:M158)</f>
        <v>1729431.6579999998</v>
      </c>
      <c r="N159" s="138">
        <f>SUM(N149:N158)</f>
        <v>7616868.547</v>
      </c>
      <c r="O159" s="138">
        <f>SUM(O149:O158)</f>
        <v>12027237.205</v>
      </c>
      <c r="P159" s="21"/>
    </row>
    <row r="160" spans="1:16" ht="16.5">
      <c r="A160" s="48"/>
      <c r="B160" s="90"/>
      <c r="C160" s="91"/>
      <c r="D160" s="91"/>
      <c r="E160" s="91"/>
      <c r="F160" s="165"/>
      <c r="G160" s="46"/>
      <c r="H160" s="46"/>
      <c r="I160" s="46"/>
      <c r="J160" s="46"/>
      <c r="K160" s="174"/>
      <c r="L160" s="136"/>
      <c r="M160" s="135"/>
      <c r="N160" s="135"/>
      <c r="O160" s="135"/>
      <c r="P160" s="21"/>
    </row>
    <row r="161" spans="1:16" ht="16.5">
      <c r="A161" s="48"/>
      <c r="C161" s="17"/>
      <c r="D161" s="17"/>
      <c r="E161" s="17"/>
      <c r="F161" s="160"/>
      <c r="G161" s="46"/>
      <c r="H161" s="46"/>
      <c r="I161" s="46"/>
      <c r="J161" s="46"/>
      <c r="K161" s="174"/>
      <c r="L161" s="136"/>
      <c r="M161" s="135"/>
      <c r="N161" s="135"/>
      <c r="O161" s="135"/>
      <c r="P161" s="21"/>
    </row>
    <row r="162" spans="1:16" ht="16.5">
      <c r="A162" s="48"/>
      <c r="C162" s="17"/>
      <c r="D162" s="17"/>
      <c r="E162" s="17"/>
      <c r="F162" s="160"/>
      <c r="G162" s="92"/>
      <c r="H162" s="92"/>
      <c r="I162" s="92"/>
      <c r="J162" s="92"/>
      <c r="K162" s="174"/>
      <c r="L162" s="136"/>
      <c r="M162" s="135"/>
      <c r="N162" s="135"/>
      <c r="O162" s="135"/>
      <c r="P162" s="21"/>
    </row>
    <row r="163" spans="1:16" ht="17.25" thickBot="1">
      <c r="A163" s="48"/>
      <c r="B163" s="93" t="s">
        <v>126</v>
      </c>
      <c r="C163" s="94">
        <f>SUM(C159,C146,C133,C121,C105,C90,C82,C66,C56,C41,C21)</f>
        <v>420335323</v>
      </c>
      <c r="D163" s="94">
        <f>SUM(D159,D146,D133,D121,D105,D90,D82,D66,D56,D41,D21)</f>
        <v>609683917</v>
      </c>
      <c r="E163" s="94">
        <f>SUM(E159,E146,E133,E121,E105,E90,E82,E66,E56,E41,E21)</f>
        <v>425234450</v>
      </c>
      <c r="F163" s="163"/>
      <c r="G163" s="95">
        <f>SUM(G159,G146,G133,G121,G105,G90,G82,G66,G56,G41,G21)</f>
        <v>141935551</v>
      </c>
      <c r="H163" s="95">
        <f>SUM(H159,H146,H133,H121,H105,H90,H82,H66,H56,H41,H21)</f>
        <v>229579470</v>
      </c>
      <c r="I163" s="95">
        <f>SUM(I159,I146,I133,I121,I105,I90,I82,I66,I56,I41,I21)</f>
        <v>278154090</v>
      </c>
      <c r="J163" s="95">
        <f>SUM(J159,J146,J133,J121,J105,J90,J82,J66,J56,J41,J21)</f>
        <v>649669111</v>
      </c>
      <c r="K163" s="174"/>
      <c r="L163" s="146">
        <f>SUM(L159,L146,L133,L121,L105,L90,L82,L66,L56,L41,L21)</f>
        <v>93817270.35429999</v>
      </c>
      <c r="M163" s="146">
        <f>SUM(M159,M146,M133,M121,M105,M90,M82,M66,M56,M41,M21)</f>
        <v>100420355.26991999</v>
      </c>
      <c r="N163" s="146">
        <f>SUM(N159,N146,N133,N121,N105,N90,N82,N66,N56,N41,N21)</f>
        <v>163860575.81219998</v>
      </c>
      <c r="O163" s="146">
        <f>SUM(O159,O146,O133,O121,O105,O90,O82,O66,O56,O41,O21)</f>
        <v>358098201.43641996</v>
      </c>
      <c r="P163" s="21"/>
    </row>
    <row r="164" spans="1:16" ht="15" customHeight="1" thickTop="1">
      <c r="A164" s="48"/>
      <c r="B164" s="93"/>
      <c r="C164" s="46"/>
      <c r="D164" s="46"/>
      <c r="E164" s="46"/>
      <c r="F164" s="163"/>
      <c r="G164" s="46"/>
      <c r="H164" s="46"/>
      <c r="I164" s="46"/>
      <c r="J164" s="46"/>
      <c r="K164" s="174"/>
      <c r="L164" s="136"/>
      <c r="M164" s="135"/>
      <c r="N164" s="135"/>
      <c r="O164" s="135"/>
      <c r="P164" s="21"/>
    </row>
    <row r="165" spans="1:16" ht="15" customHeight="1">
      <c r="A165" s="48"/>
      <c r="B165" s="96" t="s">
        <v>127</v>
      </c>
      <c r="C165" s="97"/>
      <c r="D165" s="97"/>
      <c r="E165" s="97"/>
      <c r="F165" s="158"/>
      <c r="G165" s="46">
        <v>386189</v>
      </c>
      <c r="H165" s="46">
        <v>1000000</v>
      </c>
      <c r="I165" s="46">
        <v>11500000</v>
      </c>
      <c r="J165" s="46">
        <f>SUM(G165:I165)</f>
        <v>12886189</v>
      </c>
      <c r="K165" s="174"/>
      <c r="L165" s="134"/>
      <c r="M165" s="134">
        <f>H165*$M$8+H165+4500</f>
        <v>441910</v>
      </c>
      <c r="N165" s="134">
        <f>I165*$N$8+I165+42667</f>
        <v>6817317</v>
      </c>
      <c r="O165" s="135">
        <f>SUM(L165:N165)</f>
        <v>7259227</v>
      </c>
      <c r="P165" s="21"/>
    </row>
    <row r="166" spans="1:16" ht="15" customHeight="1">
      <c r="A166" s="48"/>
      <c r="B166" s="96" t="s">
        <v>128</v>
      </c>
      <c r="C166" s="97"/>
      <c r="D166" s="97"/>
      <c r="E166" s="97"/>
      <c r="F166" s="158"/>
      <c r="G166" s="98">
        <v>1000000</v>
      </c>
      <c r="H166" s="98">
        <v>6400000</v>
      </c>
      <c r="I166" s="98">
        <v>480000</v>
      </c>
      <c r="J166" s="46">
        <f>SUM(G166:I166)</f>
        <v>7880000</v>
      </c>
      <c r="K166" s="174"/>
      <c r="L166" s="134"/>
      <c r="M166" s="134">
        <f>H166*$M$8+H166</f>
        <v>2799424</v>
      </c>
      <c r="N166" s="134">
        <f>I166*$N$8+I166</f>
        <v>282768</v>
      </c>
      <c r="O166" s="135">
        <f>SUM(L166:N166)</f>
        <v>3082192</v>
      </c>
      <c r="P166" s="21"/>
    </row>
    <row r="167" spans="1:16" ht="15" customHeight="1">
      <c r="A167" s="48"/>
      <c r="B167" s="96" t="s">
        <v>129</v>
      </c>
      <c r="C167" s="97"/>
      <c r="D167" s="97"/>
      <c r="E167" s="97"/>
      <c r="F167" s="158"/>
      <c r="G167" s="46">
        <v>2100000</v>
      </c>
      <c r="H167" s="46"/>
      <c r="I167" s="46"/>
      <c r="J167" s="46">
        <f>SUM(G167:I167)</f>
        <v>2100000</v>
      </c>
      <c r="K167" s="174"/>
      <c r="L167" s="134">
        <f>G167*$L$8+G167+315000+98899+300000</f>
        <v>2093830</v>
      </c>
      <c r="M167" s="134"/>
      <c r="N167" s="134"/>
      <c r="O167" s="135">
        <f>SUM(L167:N167)</f>
        <v>2093830</v>
      </c>
      <c r="P167" s="21"/>
    </row>
    <row r="168" spans="1:16" ht="15" customHeight="1">
      <c r="A168" s="48"/>
      <c r="B168" s="96"/>
      <c r="C168" s="97"/>
      <c r="D168" s="97"/>
      <c r="E168" s="97"/>
      <c r="F168" s="158"/>
      <c r="G168" s="46"/>
      <c r="H168" s="46"/>
      <c r="I168" s="46"/>
      <c r="J168" s="46"/>
      <c r="K168" s="174"/>
      <c r="L168" s="134"/>
      <c r="M168" s="134"/>
      <c r="N168" s="134"/>
      <c r="O168" s="135"/>
      <c r="P168" s="21"/>
    </row>
    <row r="169" spans="1:16" ht="15" customHeight="1">
      <c r="A169" s="48"/>
      <c r="B169" s="93"/>
      <c r="C169" s="46"/>
      <c r="D169" s="46"/>
      <c r="E169" s="46"/>
      <c r="F169" s="163"/>
      <c r="G169" s="46"/>
      <c r="H169" s="46"/>
      <c r="I169" s="46"/>
      <c r="J169" s="46"/>
      <c r="K169" s="174"/>
      <c r="L169" s="136"/>
      <c r="M169" s="135"/>
      <c r="N169" s="135"/>
      <c r="O169" s="135"/>
      <c r="P169" s="21"/>
    </row>
    <row r="170" spans="1:16" ht="15" customHeight="1">
      <c r="A170" s="32"/>
      <c r="B170" s="93" t="s">
        <v>130</v>
      </c>
      <c r="C170" s="46"/>
      <c r="D170" s="46"/>
      <c r="E170" s="46"/>
      <c r="F170" s="163"/>
      <c r="G170" s="99">
        <v>145421740</v>
      </c>
      <c r="H170" s="99">
        <v>236979470</v>
      </c>
      <c r="I170" s="46">
        <v>290134090</v>
      </c>
      <c r="J170" s="46">
        <f>SUM(G170:I170)</f>
        <v>672535300</v>
      </c>
      <c r="K170" s="174"/>
      <c r="L170" s="134">
        <f>SUM(L163:L169)</f>
        <v>95911100.35429999</v>
      </c>
      <c r="M170" s="134">
        <f>SUM(M163:M169)</f>
        <v>103661689.26991999</v>
      </c>
      <c r="N170" s="134">
        <f>SUM(N163:N169)</f>
        <v>170960660.81219998</v>
      </c>
      <c r="O170" s="134">
        <f>SUM(O163:O169)</f>
        <v>370533450.43641996</v>
      </c>
      <c r="P170" s="21"/>
    </row>
    <row r="171" spans="1:16" ht="15" customHeight="1">
      <c r="A171" s="32"/>
      <c r="B171" s="93"/>
      <c r="C171" s="46"/>
      <c r="D171" s="46"/>
      <c r="E171" s="46"/>
      <c r="F171" s="163"/>
      <c r="G171" s="77"/>
      <c r="H171" s="77"/>
      <c r="I171" s="77"/>
      <c r="J171" s="77"/>
      <c r="K171" s="174"/>
      <c r="L171" s="136"/>
      <c r="M171" s="135"/>
      <c r="N171" s="135"/>
      <c r="O171" s="135"/>
      <c r="P171" s="21"/>
    </row>
    <row r="172" spans="1:16" s="104" customFormat="1" ht="15" customHeight="1">
      <c r="A172" s="100"/>
      <c r="B172" s="101"/>
      <c r="C172" s="102"/>
      <c r="D172" s="102"/>
      <c r="E172" s="102"/>
      <c r="F172" s="169"/>
      <c r="G172" s="37">
        <f>SUM(G163:G167)</f>
        <v>145421740</v>
      </c>
      <c r="H172" s="37">
        <f>SUM(H163:H167)</f>
        <v>236979470</v>
      </c>
      <c r="I172" s="37">
        <f>SUM(I163:I167)</f>
        <v>290134090</v>
      </c>
      <c r="J172" s="37">
        <f>SUM(J163:J167)</f>
        <v>672535300</v>
      </c>
      <c r="K172" s="177"/>
      <c r="L172" s="150">
        <v>95911100</v>
      </c>
      <c r="M172" s="127">
        <v>103661690</v>
      </c>
      <c r="N172" s="127">
        <v>170960660</v>
      </c>
      <c r="O172" s="127"/>
      <c r="P172" s="103"/>
    </row>
    <row r="173" spans="1:16" ht="15" customHeight="1">
      <c r="A173" s="32"/>
      <c r="B173" s="79"/>
      <c r="C173" s="79"/>
      <c r="D173" s="79"/>
      <c r="E173" s="79"/>
      <c r="F173" s="170"/>
      <c r="G173" s="105"/>
      <c r="H173" s="105"/>
      <c r="I173" s="105"/>
      <c r="J173" s="105"/>
      <c r="K173" s="174"/>
      <c r="L173" s="136"/>
      <c r="M173" s="135"/>
      <c r="N173" s="135"/>
      <c r="O173" s="135"/>
      <c r="P173" s="21"/>
    </row>
    <row r="174" spans="1:16" ht="15" customHeight="1">
      <c r="A174" s="106" t="s">
        <v>134</v>
      </c>
      <c r="B174" s="107"/>
      <c r="C174" s="107"/>
      <c r="D174" s="107"/>
      <c r="E174" s="107"/>
      <c r="F174" s="171"/>
      <c r="G174" s="108"/>
      <c r="H174" s="108"/>
      <c r="I174" s="109"/>
      <c r="J174" s="109"/>
      <c r="K174" s="174"/>
      <c r="L174" s="136"/>
      <c r="M174" s="135"/>
      <c r="N174" s="135"/>
      <c r="O174" s="135"/>
      <c r="P174" s="21"/>
    </row>
    <row r="175" spans="1:16" ht="12.75" customHeight="1">
      <c r="A175" s="110"/>
      <c r="B175" s="111"/>
      <c r="C175" s="111"/>
      <c r="D175" s="111"/>
      <c r="E175" s="111"/>
      <c r="F175" s="111"/>
      <c r="G175" s="112"/>
      <c r="H175" s="109"/>
      <c r="I175" s="109"/>
      <c r="J175" s="109"/>
      <c r="K175" s="129"/>
      <c r="L175" s="136"/>
      <c r="M175" s="135"/>
      <c r="N175" s="135"/>
      <c r="O175" s="135"/>
      <c r="P175" s="21"/>
    </row>
    <row r="176" spans="1:16" ht="12.75" customHeight="1">
      <c r="A176" s="113"/>
      <c r="B176" s="111"/>
      <c r="C176" s="111"/>
      <c r="D176" s="111"/>
      <c r="E176" s="111"/>
      <c r="F176" s="111"/>
      <c r="G176" s="112"/>
      <c r="H176" s="112"/>
      <c r="I176" s="112"/>
      <c r="J176" s="109"/>
      <c r="K176" s="129"/>
      <c r="L176" s="136"/>
      <c r="M176" s="135"/>
      <c r="N176" s="135"/>
      <c r="O176" s="135"/>
      <c r="P176" s="21"/>
    </row>
    <row r="177" spans="1:16" ht="12.75" customHeight="1">
      <c r="A177" s="110"/>
      <c r="B177" s="111"/>
      <c r="C177" s="111"/>
      <c r="D177" s="111"/>
      <c r="E177" s="111"/>
      <c r="F177" s="111"/>
      <c r="G177" s="109"/>
      <c r="H177" s="109"/>
      <c r="I177" s="109"/>
      <c r="J177" s="109"/>
      <c r="K177" s="129"/>
      <c r="L177" s="136"/>
      <c r="M177" s="135"/>
      <c r="N177" s="135"/>
      <c r="O177" s="135"/>
      <c r="P177" s="21"/>
    </row>
    <row r="178" spans="1:15" ht="12.75" customHeight="1">
      <c r="A178" s="48"/>
      <c r="B178" s="114"/>
      <c r="C178" s="114"/>
      <c r="D178" s="114"/>
      <c r="E178" s="114"/>
      <c r="F178" s="114"/>
      <c r="G178" s="115"/>
      <c r="H178" s="116"/>
      <c r="I178" s="115"/>
      <c r="J178" s="117"/>
      <c r="L178" s="144"/>
      <c r="M178" s="128"/>
      <c r="N178" s="128"/>
      <c r="O178" s="128"/>
    </row>
    <row r="179" spans="1:15" ht="12.75" customHeight="1">
      <c r="A179" s="32"/>
      <c r="B179" s="114"/>
      <c r="C179" s="114"/>
      <c r="D179" s="114"/>
      <c r="E179" s="114"/>
      <c r="F179" s="114"/>
      <c r="G179" s="118"/>
      <c r="H179" s="118"/>
      <c r="I179" s="118"/>
      <c r="J179" s="118"/>
      <c r="L179" s="144"/>
      <c r="M179" s="128"/>
      <c r="N179" s="128"/>
      <c r="O179" s="128"/>
    </row>
    <row r="180" spans="1:15" ht="12.75" customHeight="1">
      <c r="A180" s="48"/>
      <c r="B180" s="114"/>
      <c r="C180" s="114"/>
      <c r="D180" s="114"/>
      <c r="E180" s="114"/>
      <c r="F180" s="114"/>
      <c r="G180" s="117"/>
      <c r="H180" s="115"/>
      <c r="I180" s="115"/>
      <c r="J180" s="117"/>
      <c r="L180" s="144"/>
      <c r="M180" s="128"/>
      <c r="N180" s="128"/>
      <c r="O180" s="128"/>
    </row>
    <row r="181" spans="1:15" ht="10.5" customHeight="1">
      <c r="A181" s="32"/>
      <c r="B181" s="53"/>
      <c r="C181" s="53"/>
      <c r="D181" s="53"/>
      <c r="E181" s="53"/>
      <c r="F181" s="53"/>
      <c r="G181" s="119"/>
      <c r="H181" s="120"/>
      <c r="I181" s="120"/>
      <c r="J181" s="120"/>
      <c r="L181" s="144"/>
      <c r="M181" s="128"/>
      <c r="N181" s="128"/>
      <c r="O181" s="128"/>
    </row>
    <row r="182" spans="1:15" ht="10.5" customHeight="1">
      <c r="A182" s="48"/>
      <c r="B182" s="53"/>
      <c r="C182" s="53"/>
      <c r="D182" s="53"/>
      <c r="E182" s="53"/>
      <c r="F182" s="53"/>
      <c r="G182" s="121"/>
      <c r="H182" s="122"/>
      <c r="I182" s="122"/>
      <c r="J182" s="122"/>
      <c r="L182" s="144"/>
      <c r="M182" s="128"/>
      <c r="N182" s="128"/>
      <c r="O182" s="128"/>
    </row>
    <row r="183" spans="8:15" ht="10.5" customHeight="1">
      <c r="H183" s="53"/>
      <c r="I183" s="53"/>
      <c r="J183" s="53"/>
      <c r="L183" s="144"/>
      <c r="M183" s="128"/>
      <c r="N183" s="128"/>
      <c r="O183" s="128"/>
    </row>
    <row r="184" spans="8:15" ht="10.5" customHeight="1">
      <c r="H184" s="53"/>
      <c r="I184" s="53"/>
      <c r="J184" s="53"/>
      <c r="L184" s="144"/>
      <c r="M184" s="128"/>
      <c r="N184" s="128"/>
      <c r="O184" s="128"/>
    </row>
    <row r="185" spans="8:15" ht="10.5" customHeight="1">
      <c r="H185" s="53"/>
      <c r="I185" s="53"/>
      <c r="J185" s="53"/>
      <c r="L185" s="144"/>
      <c r="M185" s="128"/>
      <c r="N185" s="128"/>
      <c r="O185" s="128"/>
    </row>
    <row r="186" spans="8:15" ht="16.5">
      <c r="H186" s="32"/>
      <c r="I186" s="32"/>
      <c r="J186" s="32"/>
      <c r="L186" s="144"/>
      <c r="M186" s="128"/>
      <c r="N186" s="128"/>
      <c r="O186" s="128"/>
    </row>
    <row r="187" spans="1:15" ht="16.5">
      <c r="A187" s="181"/>
      <c r="B187" s="181"/>
      <c r="C187" s="181"/>
      <c r="D187" s="181"/>
      <c r="E187" s="181"/>
      <c r="F187" s="181"/>
      <c r="G187" s="147"/>
      <c r="H187" s="147"/>
      <c r="I187" s="147"/>
      <c r="J187" s="147"/>
      <c r="L187" s="144"/>
      <c r="M187" s="128"/>
      <c r="N187" s="128"/>
      <c r="O187" s="128"/>
    </row>
    <row r="188" spans="1:15" ht="16.5">
      <c r="A188" s="123"/>
      <c r="B188" s="123"/>
      <c r="C188" s="123"/>
      <c r="D188" s="123"/>
      <c r="E188" s="123"/>
      <c r="F188" s="123"/>
      <c r="G188" s="32"/>
      <c r="H188" s="32"/>
      <c r="I188" s="32"/>
      <c r="J188" s="32"/>
      <c r="L188" s="144"/>
      <c r="M188" s="128"/>
      <c r="N188" s="128"/>
      <c r="O188" s="128"/>
    </row>
    <row r="189" spans="1:15" ht="16.5">
      <c r="A189" s="44"/>
      <c r="B189" s="48"/>
      <c r="C189" s="48"/>
      <c r="D189" s="48"/>
      <c r="E189" s="48"/>
      <c r="F189" s="48"/>
      <c r="G189" s="124"/>
      <c r="H189" s="124"/>
      <c r="I189" s="124"/>
      <c r="J189" s="124"/>
      <c r="L189" s="144"/>
      <c r="M189" s="128"/>
      <c r="N189" s="128"/>
      <c r="O189" s="128"/>
    </row>
    <row r="190" spans="1:15" ht="16.5">
      <c r="A190" s="48"/>
      <c r="B190" s="53"/>
      <c r="C190" s="53"/>
      <c r="D190" s="53"/>
      <c r="E190" s="53"/>
      <c r="F190" s="53"/>
      <c r="G190" s="124"/>
      <c r="H190" s="124"/>
      <c r="I190" s="124"/>
      <c r="J190" s="124"/>
      <c r="L190" s="144"/>
      <c r="M190" s="128"/>
      <c r="N190" s="128"/>
      <c r="O190" s="128"/>
    </row>
    <row r="191" spans="1:15" ht="16.5">
      <c r="A191" s="48"/>
      <c r="B191" s="123"/>
      <c r="C191" s="123"/>
      <c r="D191" s="123"/>
      <c r="E191" s="123"/>
      <c r="F191" s="123"/>
      <c r="G191" s="53"/>
      <c r="H191" s="53"/>
      <c r="I191" s="53"/>
      <c r="J191" s="53"/>
      <c r="L191" s="144"/>
      <c r="M191" s="128"/>
      <c r="N191" s="128"/>
      <c r="O191" s="128"/>
    </row>
    <row r="192" spans="1:15" ht="16.5">
      <c r="A192" s="48"/>
      <c r="B192" s="123"/>
      <c r="C192" s="123"/>
      <c r="D192" s="123"/>
      <c r="E192" s="123"/>
      <c r="F192" s="123"/>
      <c r="G192" s="53"/>
      <c r="H192" s="53"/>
      <c r="I192" s="53"/>
      <c r="J192" s="53"/>
      <c r="L192" s="144"/>
      <c r="M192" s="128"/>
      <c r="N192" s="128"/>
      <c r="O192" s="128"/>
    </row>
    <row r="193" spans="1:15" ht="16.5">
      <c r="A193" s="48"/>
      <c r="B193" s="123"/>
      <c r="C193" s="123"/>
      <c r="D193" s="123"/>
      <c r="E193" s="123"/>
      <c r="F193" s="123"/>
      <c r="G193" s="53"/>
      <c r="H193" s="53"/>
      <c r="I193" s="53"/>
      <c r="J193" s="53"/>
      <c r="L193" s="144"/>
      <c r="M193" s="128"/>
      <c r="N193" s="128"/>
      <c r="O193" s="128"/>
    </row>
    <row r="194" spans="1:15" ht="16.5">
      <c r="A194" s="48"/>
      <c r="B194" s="53"/>
      <c r="C194" s="53"/>
      <c r="D194" s="53"/>
      <c r="E194" s="53"/>
      <c r="F194" s="53"/>
      <c r="G194" s="48"/>
      <c r="H194" s="48"/>
      <c r="I194" s="48"/>
      <c r="J194" s="48"/>
      <c r="L194" s="144"/>
      <c r="M194" s="128"/>
      <c r="N194" s="128"/>
      <c r="O194" s="128"/>
    </row>
    <row r="195" spans="1:15" ht="16.5">
      <c r="A195" s="48"/>
      <c r="B195" s="44"/>
      <c r="C195" s="44"/>
      <c r="D195" s="44"/>
      <c r="E195" s="44"/>
      <c r="F195" s="44"/>
      <c r="G195" s="124"/>
      <c r="H195" s="124"/>
      <c r="I195" s="124"/>
      <c r="J195" s="124"/>
      <c r="L195" s="144"/>
      <c r="M195" s="128"/>
      <c r="N195" s="128"/>
      <c r="O195" s="128"/>
    </row>
    <row r="196" spans="1:15" ht="16.5">
      <c r="A196" s="44"/>
      <c r="B196" s="124"/>
      <c r="C196" s="124"/>
      <c r="D196" s="124"/>
      <c r="E196" s="124"/>
      <c r="F196" s="124"/>
      <c r="G196" s="53"/>
      <c r="H196" s="53"/>
      <c r="I196" s="53"/>
      <c r="J196" s="53"/>
      <c r="L196" s="144"/>
      <c r="M196" s="128"/>
      <c r="N196" s="128"/>
      <c r="O196" s="128"/>
    </row>
    <row r="197" spans="1:15" ht="16.5">
      <c r="A197" s="44"/>
      <c r="B197" s="53"/>
      <c r="C197" s="53"/>
      <c r="D197" s="53"/>
      <c r="E197" s="53"/>
      <c r="F197" s="53"/>
      <c r="G197" s="53"/>
      <c r="H197" s="53"/>
      <c r="I197" s="53"/>
      <c r="J197" s="53"/>
      <c r="L197" s="144"/>
      <c r="M197" s="128"/>
      <c r="N197" s="128"/>
      <c r="O197" s="128"/>
    </row>
    <row r="198" spans="1:15" ht="16.5">
      <c r="A198" s="44"/>
      <c r="B198" s="123"/>
      <c r="C198" s="123"/>
      <c r="D198" s="123"/>
      <c r="E198" s="123"/>
      <c r="F198" s="123"/>
      <c r="G198" s="53"/>
      <c r="H198" s="53"/>
      <c r="I198" s="53"/>
      <c r="J198" s="53"/>
      <c r="L198" s="144"/>
      <c r="M198" s="128"/>
      <c r="N198" s="128"/>
      <c r="O198" s="128"/>
    </row>
    <row r="199" spans="1:15" ht="16.5">
      <c r="A199" s="44"/>
      <c r="B199" s="123"/>
      <c r="C199" s="123"/>
      <c r="D199" s="123"/>
      <c r="E199" s="123"/>
      <c r="F199" s="123"/>
      <c r="G199" s="53"/>
      <c r="H199" s="53"/>
      <c r="I199" s="53"/>
      <c r="J199" s="53"/>
      <c r="L199" s="144"/>
      <c r="M199" s="128"/>
      <c r="N199" s="128"/>
      <c r="O199" s="128"/>
    </row>
    <row r="200" spans="1:15" ht="16.5">
      <c r="A200" s="44"/>
      <c r="B200" s="123"/>
      <c r="C200" s="123"/>
      <c r="D200" s="123"/>
      <c r="E200" s="123"/>
      <c r="F200" s="123"/>
      <c r="G200" s="53"/>
      <c r="H200" s="53"/>
      <c r="I200" s="53"/>
      <c r="J200" s="53"/>
      <c r="L200" s="144"/>
      <c r="M200" s="128"/>
      <c r="N200" s="128"/>
      <c r="O200" s="128"/>
    </row>
    <row r="201" spans="1:15" ht="9.75" customHeight="1">
      <c r="A201" s="44"/>
      <c r="B201" s="123"/>
      <c r="C201" s="123"/>
      <c r="D201" s="123"/>
      <c r="E201" s="123"/>
      <c r="F201" s="123"/>
      <c r="G201" s="53"/>
      <c r="H201" s="53"/>
      <c r="I201" s="53"/>
      <c r="J201" s="53"/>
      <c r="L201" s="144"/>
      <c r="M201" s="128"/>
      <c r="N201" s="128"/>
      <c r="O201" s="128"/>
    </row>
    <row r="202" spans="1:15" ht="16.5">
      <c r="A202" s="48"/>
      <c r="B202" s="123"/>
      <c r="C202" s="123"/>
      <c r="D202" s="123"/>
      <c r="E202" s="123"/>
      <c r="F202" s="123"/>
      <c r="G202" s="48"/>
      <c r="H202" s="48"/>
      <c r="I202" s="48"/>
      <c r="J202" s="48"/>
      <c r="L202" s="144"/>
      <c r="M202" s="128"/>
      <c r="N202" s="128"/>
      <c r="O202" s="128"/>
    </row>
    <row r="203" spans="1:15" ht="16.5">
      <c r="A203" s="48"/>
      <c r="B203" s="44"/>
      <c r="C203" s="44"/>
      <c r="D203" s="44"/>
      <c r="E203" s="44"/>
      <c r="F203" s="44"/>
      <c r="G203" s="124"/>
      <c r="H203" s="124"/>
      <c r="I203" s="124"/>
      <c r="J203" s="124"/>
      <c r="L203" s="144"/>
      <c r="M203" s="128"/>
      <c r="N203" s="128"/>
      <c r="O203" s="128"/>
    </row>
    <row r="204" spans="1:15" ht="16.5">
      <c r="A204" s="44"/>
      <c r="B204" s="124"/>
      <c r="C204" s="124"/>
      <c r="D204" s="124"/>
      <c r="E204" s="124"/>
      <c r="F204" s="124"/>
      <c r="G204" s="53"/>
      <c r="H204" s="53"/>
      <c r="I204" s="53"/>
      <c r="J204" s="53"/>
      <c r="L204" s="144"/>
      <c r="M204" s="128"/>
      <c r="N204" s="128"/>
      <c r="O204" s="128"/>
    </row>
    <row r="205" spans="1:15" ht="16.5">
      <c r="A205" s="48"/>
      <c r="B205" s="123"/>
      <c r="C205" s="123"/>
      <c r="D205" s="123"/>
      <c r="E205" s="123"/>
      <c r="F205" s="123"/>
      <c r="G205" s="53"/>
      <c r="H205" s="53"/>
      <c r="I205" s="53"/>
      <c r="J205" s="53"/>
      <c r="L205" s="144"/>
      <c r="M205" s="128"/>
      <c r="N205" s="128"/>
      <c r="O205" s="128"/>
    </row>
    <row r="206" spans="1:15" ht="16.5">
      <c r="A206" s="48"/>
      <c r="B206" s="53"/>
      <c r="C206" s="53"/>
      <c r="D206" s="53"/>
      <c r="E206" s="53"/>
      <c r="F206" s="53"/>
      <c r="G206" s="53"/>
      <c r="H206" s="53"/>
      <c r="I206" s="53"/>
      <c r="J206" s="53"/>
      <c r="L206" s="144"/>
      <c r="M206" s="128"/>
      <c r="N206" s="128"/>
      <c r="O206" s="128"/>
    </row>
    <row r="207" spans="1:15" ht="16.5">
      <c r="A207" s="48"/>
      <c r="B207" s="114"/>
      <c r="C207" s="114"/>
      <c r="D207" s="114"/>
      <c r="E207" s="114"/>
      <c r="F207" s="114"/>
      <c r="G207" s="48"/>
      <c r="H207" s="48"/>
      <c r="I207" s="48"/>
      <c r="J207" s="48"/>
      <c r="L207" s="144"/>
      <c r="M207" s="128"/>
      <c r="N207" s="128"/>
      <c r="O207" s="128"/>
    </row>
    <row r="208" spans="1:15" ht="16.5">
      <c r="A208" s="48"/>
      <c r="B208" s="44"/>
      <c r="C208" s="44"/>
      <c r="D208" s="44"/>
      <c r="E208" s="44"/>
      <c r="F208" s="44"/>
      <c r="G208" s="100"/>
      <c r="H208" s="100"/>
      <c r="I208" s="100"/>
      <c r="J208" s="100"/>
      <c r="L208" s="144"/>
      <c r="M208" s="128"/>
      <c r="N208" s="128"/>
      <c r="O208" s="128"/>
    </row>
    <row r="209" spans="1:15" ht="16.5">
      <c r="A209" s="44"/>
      <c r="B209" s="124"/>
      <c r="C209" s="124"/>
      <c r="D209" s="124"/>
      <c r="E209" s="124"/>
      <c r="F209" s="124"/>
      <c r="G209" s="53"/>
      <c r="H209" s="53"/>
      <c r="I209" s="53"/>
      <c r="J209" s="53"/>
      <c r="L209" s="144"/>
      <c r="M209" s="128"/>
      <c r="N209" s="128"/>
      <c r="O209" s="128"/>
    </row>
    <row r="210" spans="1:15" ht="16.5">
      <c r="A210" s="44"/>
      <c r="B210" s="123"/>
      <c r="C210" s="123"/>
      <c r="D210" s="123"/>
      <c r="E210" s="123"/>
      <c r="F210" s="123"/>
      <c r="G210" s="53"/>
      <c r="H210" s="53"/>
      <c r="I210" s="53"/>
      <c r="J210" s="53"/>
      <c r="L210" s="144"/>
      <c r="M210" s="128"/>
      <c r="N210" s="128"/>
      <c r="O210" s="128"/>
    </row>
    <row r="211" spans="1:15" ht="16.5">
      <c r="A211" s="48"/>
      <c r="B211" s="123"/>
      <c r="C211" s="123"/>
      <c r="D211" s="123"/>
      <c r="E211" s="123"/>
      <c r="F211" s="123"/>
      <c r="G211" s="53"/>
      <c r="H211" s="53"/>
      <c r="I211" s="53"/>
      <c r="J211" s="53"/>
      <c r="L211" s="144"/>
      <c r="M211" s="128"/>
      <c r="N211" s="128"/>
      <c r="O211" s="128"/>
    </row>
    <row r="212" spans="1:15" ht="16.5">
      <c r="A212" s="48"/>
      <c r="B212" s="123"/>
      <c r="C212" s="123"/>
      <c r="D212" s="123"/>
      <c r="E212" s="123"/>
      <c r="F212" s="123"/>
      <c r="G212" s="48"/>
      <c r="H212" s="48"/>
      <c r="I212" s="48"/>
      <c r="J212" s="48"/>
      <c r="L212" s="144"/>
      <c r="M212" s="128"/>
      <c r="N212" s="128"/>
      <c r="O212" s="128"/>
    </row>
    <row r="213" spans="1:15" ht="16.5">
      <c r="A213" s="48"/>
      <c r="B213" s="44"/>
      <c r="C213" s="44"/>
      <c r="D213" s="44"/>
      <c r="E213" s="44"/>
      <c r="F213" s="44"/>
      <c r="G213" s="124"/>
      <c r="H213" s="124"/>
      <c r="I213" s="124"/>
      <c r="J213" s="124"/>
      <c r="L213" s="144"/>
      <c r="M213" s="128"/>
      <c r="N213" s="128"/>
      <c r="O213" s="128"/>
    </row>
    <row r="214" spans="1:15" ht="16.5">
      <c r="A214" s="44"/>
      <c r="B214" s="124"/>
      <c r="C214" s="124"/>
      <c r="D214" s="124"/>
      <c r="E214" s="124"/>
      <c r="F214" s="124"/>
      <c r="G214" s="32"/>
      <c r="H214" s="32"/>
      <c r="I214" s="32"/>
      <c r="J214" s="32"/>
      <c r="L214" s="144"/>
      <c r="M214" s="128"/>
      <c r="N214" s="128"/>
      <c r="O214" s="128"/>
    </row>
    <row r="215" spans="1:15" ht="16.5">
      <c r="A215" s="48"/>
      <c r="B215" s="53"/>
      <c r="C215" s="53"/>
      <c r="D215" s="53"/>
      <c r="E215" s="53"/>
      <c r="F215" s="53"/>
      <c r="G215" s="48"/>
      <c r="H215" s="48"/>
      <c r="I215" s="48"/>
      <c r="J215" s="48"/>
      <c r="L215" s="144"/>
      <c r="M215" s="128"/>
      <c r="N215" s="128"/>
      <c r="O215" s="128"/>
    </row>
    <row r="216" spans="1:15" ht="16.5">
      <c r="A216" s="53"/>
      <c r="B216" s="44"/>
      <c r="C216" s="44"/>
      <c r="D216" s="44"/>
      <c r="E216" s="44"/>
      <c r="F216" s="44"/>
      <c r="G216" s="53"/>
      <c r="H216" s="53"/>
      <c r="I216" s="53"/>
      <c r="J216" s="53"/>
      <c r="L216" s="144"/>
      <c r="M216" s="128"/>
      <c r="N216" s="128"/>
      <c r="O216" s="128"/>
    </row>
    <row r="217" spans="1:15" ht="16.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L217" s="144"/>
      <c r="M217" s="128"/>
      <c r="N217" s="128"/>
      <c r="O217" s="128"/>
    </row>
    <row r="218" spans="1:15" ht="16.5">
      <c r="A218" s="53"/>
      <c r="B218" s="53"/>
      <c r="C218" s="53"/>
      <c r="D218" s="53"/>
      <c r="E218" s="53"/>
      <c r="F218" s="53"/>
      <c r="G218" s="114"/>
      <c r="H218" s="114"/>
      <c r="I218" s="114"/>
      <c r="J218" s="114"/>
      <c r="L218" s="144"/>
      <c r="M218" s="128"/>
      <c r="N218" s="128"/>
      <c r="O218" s="128"/>
    </row>
    <row r="219" spans="1:15" ht="16.5">
      <c r="A219" s="53"/>
      <c r="B219" s="44"/>
      <c r="C219" s="44"/>
      <c r="D219" s="44"/>
      <c r="E219" s="44"/>
      <c r="F219" s="44"/>
      <c r="G219" s="114"/>
      <c r="H219" s="114"/>
      <c r="I219" s="114"/>
      <c r="J219" s="114"/>
      <c r="L219" s="144"/>
      <c r="M219" s="128"/>
      <c r="N219" s="128"/>
      <c r="O219" s="128"/>
    </row>
    <row r="220" spans="1:15" ht="16.5">
      <c r="A220" s="53"/>
      <c r="B220" s="114"/>
      <c r="C220" s="114"/>
      <c r="D220" s="114"/>
      <c r="E220" s="114"/>
      <c r="F220" s="114"/>
      <c r="G220" s="114"/>
      <c r="H220" s="114"/>
      <c r="I220" s="114"/>
      <c r="J220" s="114"/>
      <c r="L220" s="144"/>
      <c r="M220" s="128"/>
      <c r="N220" s="128"/>
      <c r="O220" s="128"/>
    </row>
    <row r="221" spans="1:15" ht="16.5">
      <c r="A221" s="53"/>
      <c r="B221" s="114"/>
      <c r="C221" s="114"/>
      <c r="D221" s="114"/>
      <c r="E221" s="114"/>
      <c r="F221" s="114"/>
      <c r="G221" s="114"/>
      <c r="H221" s="114"/>
      <c r="I221" s="114"/>
      <c r="J221" s="114"/>
      <c r="L221" s="144"/>
      <c r="M221" s="128"/>
      <c r="N221" s="128"/>
      <c r="O221" s="128"/>
    </row>
    <row r="222" spans="1:15" ht="16.5">
      <c r="A222" s="53"/>
      <c r="B222" s="114"/>
      <c r="C222" s="114"/>
      <c r="D222" s="114"/>
      <c r="E222" s="114"/>
      <c r="F222" s="114"/>
      <c r="G222" s="114"/>
      <c r="H222" s="114"/>
      <c r="I222" s="114"/>
      <c r="J222" s="114"/>
      <c r="L222" s="144"/>
      <c r="M222" s="128"/>
      <c r="N222" s="128"/>
      <c r="O222" s="128"/>
    </row>
    <row r="223" spans="1:15" ht="16.5">
      <c r="A223" s="53"/>
      <c r="B223" s="44"/>
      <c r="C223" s="44"/>
      <c r="D223" s="44"/>
      <c r="E223" s="44"/>
      <c r="F223" s="44"/>
      <c r="G223" s="53"/>
      <c r="H223" s="53"/>
      <c r="I223" s="53"/>
      <c r="J223" s="53"/>
      <c r="L223" s="144"/>
      <c r="M223" s="128"/>
      <c r="N223" s="128"/>
      <c r="O223" s="128"/>
    </row>
    <row r="224" spans="1:15" ht="16.5">
      <c r="A224" s="32"/>
      <c r="B224" s="53"/>
      <c r="C224" s="53"/>
      <c r="D224" s="53"/>
      <c r="E224" s="53"/>
      <c r="F224" s="53"/>
      <c r="G224" s="53"/>
      <c r="H224" s="53"/>
      <c r="I224" s="53"/>
      <c r="J224" s="53"/>
      <c r="L224" s="144"/>
      <c r="M224" s="128"/>
      <c r="N224" s="128"/>
      <c r="O224" s="128"/>
    </row>
    <row r="225" spans="1:15" ht="16.5">
      <c r="A225" s="32"/>
      <c r="B225" s="125"/>
      <c r="C225" s="125"/>
      <c r="D225" s="125"/>
      <c r="E225" s="125"/>
      <c r="F225" s="125"/>
      <c r="G225" s="53"/>
      <c r="H225" s="53"/>
      <c r="I225" s="53"/>
      <c r="J225" s="53"/>
      <c r="L225" s="144"/>
      <c r="M225" s="128"/>
      <c r="N225" s="128"/>
      <c r="O225" s="128"/>
    </row>
    <row r="226" spans="1:15" ht="16.5">
      <c r="A226" s="53"/>
      <c r="B226" s="114"/>
      <c r="C226" s="114"/>
      <c r="D226" s="114"/>
      <c r="E226" s="114"/>
      <c r="F226" s="114"/>
      <c r="G226" s="53"/>
      <c r="H226" s="53"/>
      <c r="I226" s="53"/>
      <c r="J226" s="53"/>
      <c r="L226" s="144"/>
      <c r="M226" s="128"/>
      <c r="N226" s="128"/>
      <c r="O226" s="128"/>
    </row>
    <row r="227" spans="1:15" ht="16.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L227" s="144"/>
      <c r="M227" s="128"/>
      <c r="N227" s="128"/>
      <c r="O227" s="128"/>
    </row>
    <row r="228" spans="1:15" ht="16.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L228" s="144"/>
      <c r="M228" s="128"/>
      <c r="N228" s="128"/>
      <c r="O228" s="128"/>
    </row>
    <row r="229" spans="1:15" ht="16.5">
      <c r="A229" s="10"/>
      <c r="B229" s="53"/>
      <c r="C229" s="53"/>
      <c r="D229" s="53"/>
      <c r="E229" s="53"/>
      <c r="F229" s="53"/>
      <c r="G229" s="10"/>
      <c r="H229" s="10"/>
      <c r="I229" s="10"/>
      <c r="J229" s="10"/>
      <c r="L229" s="144"/>
      <c r="M229" s="128"/>
      <c r="N229" s="128"/>
      <c r="O229" s="128"/>
    </row>
    <row r="230" spans="1:15" ht="16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L230" s="144"/>
      <c r="M230" s="128"/>
      <c r="N230" s="128"/>
      <c r="O230" s="128"/>
    </row>
    <row r="231" spans="1:15" ht="16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L231" s="144"/>
      <c r="M231" s="128"/>
      <c r="N231" s="128"/>
      <c r="O231" s="128"/>
    </row>
    <row r="232" spans="1:15" ht="16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L232" s="144"/>
      <c r="M232" s="128"/>
      <c r="N232" s="128"/>
      <c r="O232" s="128"/>
    </row>
    <row r="233" spans="1:15" ht="16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L233" s="144"/>
      <c r="M233" s="128"/>
      <c r="N233" s="128"/>
      <c r="O233" s="128"/>
    </row>
    <row r="234" spans="1:15" ht="16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L234" s="144"/>
      <c r="M234" s="128"/>
      <c r="N234" s="128"/>
      <c r="O234" s="128"/>
    </row>
    <row r="235" spans="1:15" ht="16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L235" s="144"/>
      <c r="M235" s="128"/>
      <c r="N235" s="128"/>
      <c r="O235" s="128"/>
    </row>
    <row r="236" spans="1:15" ht="16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L236" s="144"/>
      <c r="M236" s="128"/>
      <c r="N236" s="128"/>
      <c r="O236" s="128"/>
    </row>
    <row r="237" spans="1:15" ht="16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L237" s="144"/>
      <c r="M237" s="128"/>
      <c r="N237" s="128"/>
      <c r="O237" s="128"/>
    </row>
    <row r="238" spans="1:15" ht="16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L238" s="144"/>
      <c r="M238" s="128"/>
      <c r="N238" s="128"/>
      <c r="O238" s="128"/>
    </row>
    <row r="239" spans="1:15" ht="16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L239" s="144"/>
      <c r="M239" s="128"/>
      <c r="N239" s="128"/>
      <c r="O239" s="128"/>
    </row>
    <row r="240" spans="1:15" ht="16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L240" s="144"/>
      <c r="M240" s="128"/>
      <c r="N240" s="128"/>
      <c r="O240" s="128"/>
    </row>
    <row r="241" spans="1:15" ht="16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L241" s="144"/>
      <c r="M241" s="128"/>
      <c r="N241" s="128"/>
      <c r="O241" s="128"/>
    </row>
    <row r="242" spans="1:15" ht="16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L242" s="144"/>
      <c r="M242" s="128"/>
      <c r="N242" s="128"/>
      <c r="O242" s="128"/>
    </row>
    <row r="243" spans="1:15" ht="16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L243" s="144"/>
      <c r="M243" s="128"/>
      <c r="N243" s="128"/>
      <c r="O243" s="128"/>
    </row>
    <row r="244" spans="1:15" ht="16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L244" s="144"/>
      <c r="M244" s="128"/>
      <c r="N244" s="128"/>
      <c r="O244" s="128"/>
    </row>
    <row r="245" spans="1:15" ht="16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L245" s="144"/>
      <c r="M245" s="128"/>
      <c r="N245" s="128"/>
      <c r="O245" s="128"/>
    </row>
    <row r="246" spans="1:15" ht="16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L246" s="144"/>
      <c r="M246" s="128"/>
      <c r="N246" s="128"/>
      <c r="O246" s="128"/>
    </row>
    <row r="247" spans="1:15" ht="16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L247" s="144"/>
      <c r="M247" s="128"/>
      <c r="N247" s="128"/>
      <c r="O247" s="128"/>
    </row>
    <row r="248" spans="1:15" ht="16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L248" s="144"/>
      <c r="M248" s="128"/>
      <c r="N248" s="128"/>
      <c r="O248" s="128"/>
    </row>
    <row r="249" spans="1:15" ht="16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L249" s="144"/>
      <c r="M249" s="128"/>
      <c r="N249" s="128"/>
      <c r="O249" s="128"/>
    </row>
    <row r="250" spans="1:15" ht="16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L250" s="144"/>
      <c r="M250" s="128"/>
      <c r="N250" s="128"/>
      <c r="O250" s="128"/>
    </row>
    <row r="251" spans="1:15" ht="16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L251" s="144"/>
      <c r="M251" s="128"/>
      <c r="N251" s="128"/>
      <c r="O251" s="128"/>
    </row>
    <row r="252" spans="1:15" ht="16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L252" s="144"/>
      <c r="M252" s="128"/>
      <c r="N252" s="128"/>
      <c r="O252" s="128"/>
    </row>
    <row r="253" spans="1:15" ht="16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L253" s="144"/>
      <c r="M253" s="128"/>
      <c r="N253" s="128"/>
      <c r="O253" s="128"/>
    </row>
    <row r="254" spans="1:15" ht="16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L254" s="144"/>
      <c r="M254" s="128"/>
      <c r="N254" s="128"/>
      <c r="O254" s="128"/>
    </row>
    <row r="255" spans="1:15" ht="16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L255" s="144"/>
      <c r="M255" s="128"/>
      <c r="N255" s="128"/>
      <c r="O255" s="128"/>
    </row>
    <row r="256" spans="1:15" ht="16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L256" s="144"/>
      <c r="M256" s="128"/>
      <c r="N256" s="128"/>
      <c r="O256" s="128"/>
    </row>
    <row r="257" spans="1:15" ht="16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L257" s="144"/>
      <c r="M257" s="128"/>
      <c r="N257" s="128"/>
      <c r="O257" s="128"/>
    </row>
    <row r="258" spans="1:15" ht="16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L258" s="144"/>
      <c r="M258" s="128"/>
      <c r="N258" s="128"/>
      <c r="O258" s="128"/>
    </row>
    <row r="259" spans="1:15" ht="16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L259" s="144"/>
      <c r="M259" s="128"/>
      <c r="N259" s="128"/>
      <c r="O259" s="128"/>
    </row>
    <row r="260" spans="1:15" ht="16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L260" s="144"/>
      <c r="M260" s="128"/>
      <c r="N260" s="128"/>
      <c r="O260" s="128"/>
    </row>
    <row r="261" spans="1:15" ht="16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L261" s="144"/>
      <c r="M261" s="128"/>
      <c r="N261" s="128"/>
      <c r="O261" s="128"/>
    </row>
    <row r="262" spans="1:15" ht="16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L262" s="144"/>
      <c r="M262" s="128"/>
      <c r="N262" s="128"/>
      <c r="O262" s="128"/>
    </row>
    <row r="263" spans="1:15" ht="16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L263" s="144"/>
      <c r="M263" s="128"/>
      <c r="N263" s="128"/>
      <c r="O263" s="128"/>
    </row>
    <row r="264" spans="1:15" ht="16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L264" s="144"/>
      <c r="M264" s="128"/>
      <c r="N264" s="128"/>
      <c r="O264" s="128"/>
    </row>
    <row r="265" spans="1:15" ht="16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L265" s="144"/>
      <c r="M265" s="128"/>
      <c r="N265" s="128"/>
      <c r="O265" s="128"/>
    </row>
    <row r="266" spans="1:15" ht="16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L266" s="144"/>
      <c r="M266" s="128"/>
      <c r="N266" s="128"/>
      <c r="O266" s="128"/>
    </row>
    <row r="267" spans="1:15" ht="16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L267" s="144"/>
      <c r="M267" s="128"/>
      <c r="N267" s="128"/>
      <c r="O267" s="128"/>
    </row>
    <row r="268" spans="1:15" ht="16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L268" s="144"/>
      <c r="M268" s="128"/>
      <c r="N268" s="128"/>
      <c r="O268" s="128"/>
    </row>
    <row r="269" spans="1:15" ht="16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L269" s="144"/>
      <c r="M269" s="128"/>
      <c r="N269" s="128"/>
      <c r="O269" s="128"/>
    </row>
    <row r="270" spans="1:15" ht="16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L270" s="144"/>
      <c r="M270" s="128"/>
      <c r="N270" s="128"/>
      <c r="O270" s="128"/>
    </row>
    <row r="271" spans="1:15" ht="16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L271" s="144"/>
      <c r="M271" s="128"/>
      <c r="N271" s="128"/>
      <c r="O271" s="128"/>
    </row>
    <row r="272" spans="1:15" ht="16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L272" s="144"/>
      <c r="M272" s="128"/>
      <c r="N272" s="128"/>
      <c r="O272" s="128"/>
    </row>
    <row r="273" spans="1:15" ht="16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L273" s="144"/>
      <c r="M273" s="128"/>
      <c r="N273" s="128"/>
      <c r="O273" s="128"/>
    </row>
    <row r="274" spans="1:15" ht="16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L274" s="144"/>
      <c r="M274" s="128"/>
      <c r="N274" s="128"/>
      <c r="O274" s="128"/>
    </row>
    <row r="275" spans="1:15" ht="16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L275" s="144"/>
      <c r="M275" s="128"/>
      <c r="N275" s="128"/>
      <c r="O275" s="128"/>
    </row>
    <row r="276" spans="1:15" ht="16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L276" s="144"/>
      <c r="M276" s="128"/>
      <c r="N276" s="128"/>
      <c r="O276" s="128"/>
    </row>
    <row r="277" spans="1:15" ht="16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L277" s="144"/>
      <c r="M277" s="128"/>
      <c r="N277" s="128"/>
      <c r="O277" s="128"/>
    </row>
    <row r="278" spans="1:15" ht="16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L278" s="144"/>
      <c r="M278" s="128"/>
      <c r="N278" s="128"/>
      <c r="O278" s="128"/>
    </row>
    <row r="279" spans="1:15" ht="16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L279" s="144"/>
      <c r="M279" s="128"/>
      <c r="N279" s="128"/>
      <c r="O279" s="128"/>
    </row>
    <row r="280" spans="1:15" ht="16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L280" s="144"/>
      <c r="M280" s="128"/>
      <c r="N280" s="128"/>
      <c r="O280" s="128"/>
    </row>
    <row r="281" spans="1:15" ht="16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L281" s="144"/>
      <c r="M281" s="128"/>
      <c r="N281" s="128"/>
      <c r="O281" s="128"/>
    </row>
    <row r="282" spans="1:15" ht="16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L282" s="144"/>
      <c r="M282" s="128"/>
      <c r="N282" s="128"/>
      <c r="O282" s="128"/>
    </row>
    <row r="283" spans="1:15" ht="16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L283" s="144"/>
      <c r="M283" s="128"/>
      <c r="N283" s="128"/>
      <c r="O283" s="128"/>
    </row>
    <row r="284" spans="1:15" ht="16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L284" s="144"/>
      <c r="M284" s="128"/>
      <c r="N284" s="128"/>
      <c r="O284" s="128"/>
    </row>
    <row r="285" spans="1:15" ht="16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L285" s="144"/>
      <c r="M285" s="128"/>
      <c r="N285" s="128"/>
      <c r="O285" s="128"/>
    </row>
    <row r="286" spans="1:15" ht="16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L286" s="144"/>
      <c r="M286" s="128"/>
      <c r="N286" s="128"/>
      <c r="O286" s="128"/>
    </row>
    <row r="287" spans="1:15" ht="16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L287" s="144"/>
      <c r="M287" s="128"/>
      <c r="N287" s="128"/>
      <c r="O287" s="128"/>
    </row>
    <row r="288" spans="1:10" ht="16.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6.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6.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6.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6.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6.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6.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6.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6.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6.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6.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6.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6.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6.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6.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6.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6.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6.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6.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6.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6.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6.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16.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16.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16.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16.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6.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16.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16.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16.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6.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6.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16.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16.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16.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6.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16.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16.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6.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6.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16.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16.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6.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6.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16.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6.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6.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6.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6.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16.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6.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6.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16.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6.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16.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6.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6.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6.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16.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16.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16.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16.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16.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16.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16.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6.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16.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16.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16.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16.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16.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16.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16.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16.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6.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16.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16.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16.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16.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16.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6.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6.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6.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6.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6.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6.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6.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6.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6.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6.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6.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6.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6.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6.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6.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6.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6.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6.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6.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6.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6.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6.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6.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6.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6.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6.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6.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6.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6.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6.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6.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6.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6.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6.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6.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6.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6.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6.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6.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6.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6.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6.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6.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6.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6.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6.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6.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6.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6.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6.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6.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6.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6.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6.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6.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6.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6.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6.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6.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6.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6.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6.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6.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6.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6.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6.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6.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6.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6.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6.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6.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6.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6.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6.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6.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6.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6.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6.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6.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6.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6.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6.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6.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6.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6.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6.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6.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6.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6.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6.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6.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6.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6.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6.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6.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6.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6.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6.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6.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6.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6.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6.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6.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6.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6.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6.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6.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6.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6.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6.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6.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6.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6.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6.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6.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6.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6.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6.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6.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6.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6.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6.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6.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6.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6.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6.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6.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6.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6.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6.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6.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6.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6.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6.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6.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6.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6.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6.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6.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6.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6.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6.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6.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6.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6.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6.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6.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6.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6.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6.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6.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6.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6.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6.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6.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6.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6.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6.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6.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6.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6.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6.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6.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6.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6.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6.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6.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6.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6.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6.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6.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6.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6.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6.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6.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6.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6.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6.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6.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6.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6.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6.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6.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6.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6.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6.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6.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6.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6.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6.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6.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6.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6.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6.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6.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6.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6.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6.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6.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6.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6.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6.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6.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6.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6.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6.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6.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6.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6.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6.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6.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6.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6.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6.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6.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6.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6.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6.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6.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6.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6.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6.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6.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6.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6.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6.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6.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6.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6.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6.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6.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6.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6.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6.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6.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6.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6.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6.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6.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6.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6.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6.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6.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6.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6.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6.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6.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6.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6.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6.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6.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6.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6.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6.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6.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6.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16.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16.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16.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16.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16.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6.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16.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16.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16.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16.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16.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16.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16.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ht="16.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6.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ht="16.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ht="16.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ht="16.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16.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16.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ht="16.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ht="16.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ht="16.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16.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ht="16.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ht="16.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16.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16.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ht="16.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ht="16.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ht="16.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ht="16.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16.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ht="16.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ht="16.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ht="16.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ht="16.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ht="16.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ht="16.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ht="16.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ht="16.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16.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ht="16.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ht="16.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16.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16.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ht="16.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ht="16.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ht="16.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16.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ht="16.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ht="16.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ht="16.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ht="16.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ht="16.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ht="16.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ht="16.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16.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ht="16.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ht="16.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16.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16.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16.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ht="16.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ht="16.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ht="16.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ht="16.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16.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16.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16.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ht="16.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ht="16.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ht="16.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16.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16.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ht="16.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16.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ht="16.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ht="16.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ht="16.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ht="16.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ht="16.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ht="16.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16.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ht="16.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ht="16.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16.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ht="16.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ht="16.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ht="16.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ht="16.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ht="16.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ht="16.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ht="16.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ht="16.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ht="16.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16.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16.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ht="16.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ht="16.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ht="16.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ht="16.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ht="16.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ht="16.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ht="16.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ht="16.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16.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16.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16.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ht="16.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ht="16.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ht="16.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ht="16.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ht="16.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16.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16.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ht="16.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ht="16.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16.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16.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16.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16.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ht="16.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ht="16.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ht="16.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16.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16.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ht="16.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ht="16.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ht="16.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16.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16.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ht="16.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ht="16.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ht="16.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16.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16.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ht="16.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ht="16.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ht="16.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ht="16.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ht="16.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ht="16.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16.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ht="16.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ht="16.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ht="16.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ht="16.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ht="16.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ht="16.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ht="16.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16.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ht="16.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ht="16.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ht="16.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ht="16.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ht="16.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ht="16.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ht="16.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16.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ht="16.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ht="16.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ht="16.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ht="16.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ht="16.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16.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ht="16.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ht="16.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ht="16.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ht="16.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ht="16.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ht="16.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ht="16.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ht="16.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ht="16.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16.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ht="16.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ht="16.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ht="16.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ht="16.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16.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ht="16.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ht="16.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16.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ht="16.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ht="16.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ht="16.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ht="16.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16.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16.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16.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16.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16.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16.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16.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16.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6.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16.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16.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16.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16.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16.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16.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16.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16.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16.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16.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16.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16.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6.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16.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16.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16.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16.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16.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16.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16.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16.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6.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6.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16.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16.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16.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16.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16.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16.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16.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6.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16.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16.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16.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16.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16.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16.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16.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16.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16.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16.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6.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16.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16.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16.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16.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16.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16.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16.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16.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16.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16.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6.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16.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16.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16.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16.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16.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16.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16.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16.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16.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16.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6.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16.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16.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16.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16.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16.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16.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16.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16.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6.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16.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16.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16.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16.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16.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16.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16.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16.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6.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16.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16.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16.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16.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16.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16.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16.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16.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6.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16.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16.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16.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16.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16.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16.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16.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16.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16.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16.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6.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ht="16.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ht="16.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ht="16.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ht="16.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ht="16.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ht="16.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ht="16.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ht="16.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16.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ht="16.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ht="16.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6.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6.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ht="16.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ht="16.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ht="16.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ht="16.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ht="16.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ht="16.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ht="16.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ht="16.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6.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ht="16.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ht="16.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ht="16.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ht="16.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ht="16.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ht="16.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ht="16.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ht="16.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ht="16.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6.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6.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ht="16.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ht="16.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ht="16.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ht="16.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ht="16.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ht="16.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ht="16.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6.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ht="16.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ht="16.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ht="16.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ht="16.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ht="16.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ht="16.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ht="16.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ht="16.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ht="16.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6.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ht="16.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ht="16.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ht="16.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ht="16.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ht="16.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ht="16.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ht="16.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ht="16.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ht="16.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6.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ht="16.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ht="16.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ht="16.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ht="16.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ht="16.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ht="16.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ht="16.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ht="16.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ht="16.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ht="16.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ht="16.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ht="16.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6.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ht="16.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ht="16.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6.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ht="16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ht="16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ht="16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ht="16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ht="16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ht="16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6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ht="16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ht="16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ht="16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ht="16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ht="16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ht="16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ht="16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ht="16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6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ht="16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ht="16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ht="16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6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ht="16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ht="16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ht="16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ht="16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ht="16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ht="16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ht="16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ht="16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ht="16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ht="16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ht="16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ht="16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6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ht="16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ht="16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ht="16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ht="16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ht="16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ht="16.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ht="16.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ht="16.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ht="16.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ht="16.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ht="16.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ht="16.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6.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ht="16.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ht="16.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ht="16.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ht="16.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ht="16.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ht="16.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ht="16.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ht="16.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6.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ht="16.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ht="16.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ht="16.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6.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ht="16.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ht="16.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ht="16.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ht="16.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ht="16.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ht="16.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ht="16.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ht="16.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ht="16.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ht="16.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ht="16.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6.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ht="16.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ht="16.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ht="16.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ht="16.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ht="16.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ht="16.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ht="16.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ht="16.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ht="16.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6.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ht="16.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ht="16.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ht="16.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ht="16.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ht="16.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ht="16.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6.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2:6" ht="16.5">
      <c r="B1088" s="10"/>
      <c r="C1088" s="10"/>
      <c r="D1088" s="10"/>
      <c r="E1088" s="10"/>
      <c r="F1088" s="10"/>
    </row>
  </sheetData>
  <mergeCells count="10">
    <mergeCell ref="A2:O2"/>
    <mergeCell ref="A3:O3"/>
    <mergeCell ref="A4:O4"/>
    <mergeCell ref="A5:O5"/>
    <mergeCell ref="A6:O6"/>
    <mergeCell ref="L10:O10"/>
    <mergeCell ref="A187:J187"/>
    <mergeCell ref="A8:J8"/>
    <mergeCell ref="C10:E10"/>
    <mergeCell ref="G10:J10"/>
  </mergeCells>
  <printOptions horizontalCentered="1"/>
  <pageMargins left="0.25" right="0.25" top="0.5" bottom="0.53" header="0.5" footer="0.5"/>
  <pageSetup fitToHeight="6" horizontalDpi="600" verticalDpi="600" orientation="landscape" paperSize="5" scale="67" r:id="rId1"/>
  <headerFooter alignWithMargins="0">
    <oddHeader>&amp;R&amp;"Arial,Bold"&amp;16Attachment II</oddHeader>
    <oddFooter>&amp;C &amp;P</oddFooter>
  </headerFooter>
  <rowBreaks count="3" manualBreakCount="3">
    <brk id="43" max="15" man="1"/>
    <brk id="68" max="15" man="1"/>
    <brk id="10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stephanie.stapleton</dc:creator>
  <cp:keywords/>
  <dc:description/>
  <cp:lastModifiedBy>FLDOE</cp:lastModifiedBy>
  <cp:lastPrinted>2009-03-24T14:08:10Z</cp:lastPrinted>
  <dcterms:created xsi:type="dcterms:W3CDTF">2009-03-11T14:51:54Z</dcterms:created>
  <dcterms:modified xsi:type="dcterms:W3CDTF">2009-03-26T15:54:53Z</dcterms:modified>
  <cp:category/>
  <cp:version/>
  <cp:contentType/>
  <cp:contentStatus/>
</cp:coreProperties>
</file>