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15" windowHeight="5640" firstSheet="5" activeTab="5"/>
  </bookViews>
  <sheets>
    <sheet name="SUS" sheetId="1" state="hidden" r:id="rId1"/>
    <sheet name="SUS NR" sheetId="2" state="hidden" r:id="rId2"/>
    <sheet name="BOG Gen Ofc" sheetId="3" state="hidden" r:id="rId3"/>
    <sheet name="detail" sheetId="4" state="hidden" r:id="rId4"/>
    <sheet name="Sp Units" sheetId="5" state="hidden" r:id="rId5"/>
    <sheet name="E&amp;G Core" sheetId="6" r:id="rId6"/>
    <sheet name="Proposal" sheetId="7" state="hidden" r:id="rId7"/>
    <sheet name="All issues" sheetId="8" state="hidden" r:id="rId8"/>
  </sheets>
  <externalReferences>
    <externalReference r:id="rId11"/>
    <externalReference r:id="rId12"/>
    <externalReference r:id="rId13"/>
  </externalReferences>
  <definedNames>
    <definedName name="_xlnm.Print_Area" localSheetId="3">'detail'!$A$1:$E$180</definedName>
    <definedName name="_xlnm.Print_Area" localSheetId="5">'E&amp;G Core'!$A$1:$F$58</definedName>
    <definedName name="_xlnm.Print_Area" localSheetId="6">'Proposal'!$A$1:$E$63</definedName>
    <definedName name="_xlnm.Print_Area" localSheetId="4">'Sp Units'!$A$1:$E$66</definedName>
    <definedName name="_xlnm.Print_Area" localSheetId="0">'SUS'!$A$1:$G$178</definedName>
    <definedName name="_xlnm.Print_Titles" localSheetId="7">'All issues'!$1:$7</definedName>
    <definedName name="_xlnm.Print_Titles" localSheetId="3">'detail'!$1:$6</definedName>
    <definedName name="_xlnm.Print_Titles" localSheetId="5">'E&amp;G Core'!$1:$6</definedName>
    <definedName name="_xlnm.Print_Titles" localSheetId="6">'Proposal'!$1:$6</definedName>
    <definedName name="_xlnm.Print_Titles" localSheetId="4">'Sp Units'!$1:$5</definedName>
    <definedName name="_xlnm.Print_Titles" localSheetId="0">'SUS'!$1:$7</definedName>
  </definedNames>
  <calcPr fullCalcOnLoad="1"/>
</workbook>
</file>

<file path=xl/comments5.xml><?xml version="1.0" encoding="utf-8"?>
<comments xmlns="http://schemas.openxmlformats.org/spreadsheetml/2006/main">
  <authors>
    <author>tim.jones</author>
  </authors>
  <commentList>
    <comment ref="E7" authorId="0">
      <text>
        <r>
          <rPr>
            <b/>
            <sz val="8"/>
            <rFont val="Tahoma"/>
            <family val="0"/>
          </rPr>
          <t>tim.jones:</t>
        </r>
        <r>
          <rPr>
            <sz val="8"/>
            <rFont val="Tahoma"/>
            <family val="0"/>
          </rPr>
          <t xml:space="preserve">
includes Risk Mgmt funds; same for UF and USF-HSC</t>
        </r>
      </text>
    </comment>
  </commentList>
</comments>
</file>

<file path=xl/comments6.xml><?xml version="1.0" encoding="utf-8"?>
<comments xmlns="http://schemas.openxmlformats.org/spreadsheetml/2006/main">
  <authors>
    <author>tim.jones</author>
  </authors>
  <commentList>
    <comment ref="E22" authorId="0">
      <text>
        <r>
          <rPr>
            <b/>
            <sz val="8"/>
            <rFont val="Tahoma"/>
            <family val="0"/>
          </rPr>
          <t>tim.jones:</t>
        </r>
        <r>
          <rPr>
            <sz val="8"/>
            <rFont val="Tahoma"/>
            <family val="0"/>
          </rPr>
          <t xml:space="preserve">
tim.jones:
includes revenue associated with FAMU/FIU law school tution and annualization of tuition increases</t>
        </r>
      </text>
    </comment>
  </commentList>
</comments>
</file>

<file path=xl/sharedStrings.xml><?xml version="1.0" encoding="utf-8"?>
<sst xmlns="http://schemas.openxmlformats.org/spreadsheetml/2006/main" count="619" uniqueCount="487">
  <si>
    <t>State University System of Florida</t>
  </si>
  <si>
    <t>Educational and General</t>
  </si>
  <si>
    <t>Cost-to-Continue / Restoration Issues</t>
  </si>
  <si>
    <t xml:space="preserve">   Ratio of In-State/Out-of-State Students - GR</t>
  </si>
  <si>
    <t xml:space="preserve">   IFAS Research / Extension Workload </t>
  </si>
  <si>
    <t xml:space="preserve">   Sub-Total</t>
  </si>
  <si>
    <t>Access, Retention &amp; Degree Production</t>
  </si>
  <si>
    <t>Meeting Statewide Professional &amp; Workforce Needs</t>
  </si>
  <si>
    <t xml:space="preserve">   Targeted Degree Production - Nursing</t>
  </si>
  <si>
    <t xml:space="preserve">   Targeted Degree Production - Teaching</t>
  </si>
  <si>
    <t xml:space="preserve">   Targeted Degree Production - Engineering</t>
  </si>
  <si>
    <t xml:space="preserve">   FAU - Medical Partnership w/ UM</t>
  </si>
  <si>
    <t>Building World-Class Academic Programs &amp; Research Capacity</t>
  </si>
  <si>
    <t xml:space="preserve">   Salary Increases</t>
  </si>
  <si>
    <t xml:space="preserve">   Major Gifts Matching</t>
  </si>
  <si>
    <t xml:space="preserve">   Graduate Health Insurance</t>
  </si>
  <si>
    <t>Community Needs / Institutional Mission</t>
  </si>
  <si>
    <t>Executive Summary</t>
  </si>
  <si>
    <t xml:space="preserve">   Student Financial Assistance - Workload</t>
  </si>
  <si>
    <t xml:space="preserve">   Ratio of In-State/Out-of-State Students - TF </t>
  </si>
  <si>
    <t xml:space="preserve">   Tuition Increase - 5% UG Resident - TF</t>
  </si>
  <si>
    <t>TF = Student Fee Trust Fund (student tuition)</t>
  </si>
  <si>
    <t xml:space="preserve">   Utility Increases</t>
  </si>
  <si>
    <t>Governor's Amended Recommendation</t>
  </si>
  <si>
    <t>Cost-to-Continue Issues</t>
  </si>
  <si>
    <t>Other Issues</t>
  </si>
  <si>
    <t xml:space="preserve">   PC Replacement Cycle</t>
  </si>
  <si>
    <t xml:space="preserve">   Increased Expenses</t>
  </si>
  <si>
    <t xml:space="preserve">   SREB Membership Dues</t>
  </si>
  <si>
    <t xml:space="preserve">   DMS Renovations</t>
  </si>
  <si>
    <t xml:space="preserve">   Tnsfr of Rent Expense from DOE</t>
  </si>
  <si>
    <t xml:space="preserve">   Trust Fund Alignment</t>
  </si>
  <si>
    <r>
      <t xml:space="preserve">Agency Amended </t>
    </r>
    <r>
      <rPr>
        <b/>
        <i/>
        <u val="single"/>
        <sz val="12"/>
        <rFont val="Arial"/>
        <family val="2"/>
      </rPr>
      <t>Request</t>
    </r>
  </si>
  <si>
    <r>
      <t xml:space="preserve">Governor's </t>
    </r>
    <r>
      <rPr>
        <b/>
        <i/>
        <u val="single"/>
        <sz val="12"/>
        <rFont val="Arial"/>
        <family val="2"/>
      </rPr>
      <t>Recommendation</t>
    </r>
  </si>
  <si>
    <t>Total</t>
  </si>
  <si>
    <t xml:space="preserve">   Tnsfr HR Services Statewide Contract</t>
  </si>
  <si>
    <t xml:space="preserve">   Fill Vacant Positions</t>
  </si>
  <si>
    <t xml:space="preserve">   Hire graduate students</t>
  </si>
  <si>
    <t>Florida Board of Governors General Office</t>
  </si>
  <si>
    <t>Senate</t>
  </si>
  <si>
    <t>House</t>
  </si>
  <si>
    <t>Conference Recommendation</t>
  </si>
  <si>
    <t>Conference</t>
  </si>
  <si>
    <t>Senate Bill 2700 Recommendation</t>
  </si>
  <si>
    <t>House Bill 5001 Recommendation</t>
  </si>
  <si>
    <r>
      <t xml:space="preserve">Senate Bill 2700 </t>
    </r>
    <r>
      <rPr>
        <b/>
        <i/>
        <u val="single"/>
        <sz val="12"/>
        <rFont val="Arial"/>
        <family val="2"/>
      </rPr>
      <t>Recommendation</t>
    </r>
  </si>
  <si>
    <r>
      <t xml:space="preserve">House Bill 5001 </t>
    </r>
    <r>
      <rPr>
        <b/>
        <i/>
        <u val="single"/>
        <sz val="12"/>
        <rFont val="Arial"/>
        <family val="2"/>
      </rPr>
      <t>Recommendation</t>
    </r>
  </si>
  <si>
    <t xml:space="preserve">       Detail: Amount Funded from Student Fees due to Growth</t>
  </si>
  <si>
    <t xml:space="preserve">       Detail: Amount Funded from General Revenue/Lottery</t>
  </si>
  <si>
    <t xml:space="preserve">   Additional Positions (2)*</t>
  </si>
  <si>
    <t xml:space="preserve">   Other Expenses</t>
  </si>
  <si>
    <t>Conference Report</t>
  </si>
  <si>
    <r>
      <t xml:space="preserve">Conference </t>
    </r>
    <r>
      <rPr>
        <b/>
        <i/>
        <u val="single"/>
        <sz val="12"/>
        <rFont val="Arial"/>
        <family val="2"/>
      </rPr>
      <t>Report</t>
    </r>
  </si>
  <si>
    <t>SUS Request</t>
  </si>
  <si>
    <t>2007-2008 Budget Request</t>
  </si>
  <si>
    <t>2006-2007 E&amp;G Appropriation</t>
  </si>
  <si>
    <t>2006-2007 Administered Funds</t>
  </si>
  <si>
    <t>2006-2007 Total E&amp;G Appropriation</t>
  </si>
  <si>
    <t xml:space="preserve">2006-2007 Non-recurring Appropriations </t>
  </si>
  <si>
    <t>2006-2007 Adjusted Recurring E&amp;G Base</t>
  </si>
  <si>
    <t xml:space="preserve">   2006-2007 PO&amp;M - Phased-In Space</t>
  </si>
  <si>
    <t xml:space="preserve">   Annualization of 2006-07 Fee Increase - TF</t>
  </si>
  <si>
    <t>Total 2007-2008 LBR</t>
  </si>
  <si>
    <t>Increase over 2006-07 Total Approp (line 6)</t>
  </si>
  <si>
    <t>% Increase over 2006-07 Total Approp (line 6)</t>
  </si>
  <si>
    <t>Increase over 2006-07 Base Approp (line 9)</t>
  </si>
  <si>
    <t>% Increase over 2006-07 Base Approp (line 9)</t>
  </si>
  <si>
    <t xml:space="preserve">   2007-2008 PO&amp;M - New Space (estimated)</t>
  </si>
  <si>
    <t xml:space="preserve">   Florida Center for Library Automation</t>
  </si>
  <si>
    <t xml:space="preserve">   Access - x,xxx FTE Students - Total</t>
  </si>
  <si>
    <t xml:space="preserve">   Salary Increases 10/1/06 *</t>
  </si>
  <si>
    <t xml:space="preserve">   Health Insurance Adjustment 3/1/07 *</t>
  </si>
  <si>
    <t xml:space="preserve">   Annualization of 10/1/06 Salary Increase *</t>
  </si>
  <si>
    <t xml:space="preserve">   Annualization of 3/1/07 Health Insurance Increase *</t>
  </si>
  <si>
    <t>* Will be officially calculated by the Governor's Office in August.</t>
  </si>
  <si>
    <t xml:space="preserve">   FSU Medical Education - 74 FTE Students - TF</t>
  </si>
  <si>
    <t xml:space="preserve">   FAMU Law School - 109 FTE Students - TF</t>
  </si>
  <si>
    <t xml:space="preserve">   FIU Law School -  72 FTE Students - TF</t>
  </si>
  <si>
    <t xml:space="preserve">   Increased Cost of Operations</t>
  </si>
  <si>
    <t>2007-08 Non-recurring Funds Budget Request</t>
  </si>
  <si>
    <t>2006-2007 Appropriation</t>
  </si>
  <si>
    <t>2006-2007 Total Appropriation</t>
  </si>
  <si>
    <t>Inc. over 2006-07 Total Approp (line 5)</t>
  </si>
  <si>
    <t>% Inc. over 2006-07 Total Approp (line 5)</t>
  </si>
  <si>
    <t xml:space="preserve">   Online Undergraduate Business Degree Program - UF</t>
  </si>
  <si>
    <t xml:space="preserve">   Competitive Graduate Student Support Plan - FSU</t>
  </si>
  <si>
    <t xml:space="preserve">   Per Diem Increase - FSU</t>
  </si>
  <si>
    <t xml:space="preserve">   Community Outreach - FSU</t>
  </si>
  <si>
    <t xml:space="preserve">   Engineering Program Faculty Enhancement - FSU</t>
  </si>
  <si>
    <t xml:space="preserve">   Engineering Support Staff - FSU</t>
  </si>
  <si>
    <t xml:space="preserve">   Technology Issues - FSU</t>
  </si>
  <si>
    <t xml:space="preserve">   Academic Quality &amp; New Program Initiatives - FSU</t>
  </si>
  <si>
    <t xml:space="preserve">   Daytona Beach Regional Campus (replace non-recurring funds) - FSU</t>
  </si>
  <si>
    <t xml:space="preserve">   Ft. Pierce Regional Campus (replace non-recurring funds) - FSU</t>
  </si>
  <si>
    <t xml:space="preserve">   Immokalee Clinical Training Site (replace non-recurring funds) - FSU</t>
  </si>
  <si>
    <t xml:space="preserve">   Panama City Clinical Training Site (replace non-recurring funds) - FSU</t>
  </si>
  <si>
    <t xml:space="preserve">   Outreach Programs - FSU</t>
  </si>
  <si>
    <t xml:space="preserve">   Recruitment, Progression, Retention, Graduation - FAMU</t>
  </si>
  <si>
    <t xml:space="preserve">   TAPS: Improved Tracking, Retention &amp; Time-to-Degree - USF</t>
  </si>
  <si>
    <t xml:space="preserve">   Building Post-Graduate Capacity in STEM - USF</t>
  </si>
  <si>
    <t xml:space="preserve">   Center for Teaching Excellence &amp; Student Services - FAU</t>
  </si>
  <si>
    <t xml:space="preserve">   Student Financial Aid to Increase Diversity - FAU</t>
  </si>
  <si>
    <t xml:space="preserve">   Expansion of Student Access Across the Emerald Coast - UWF</t>
  </si>
  <si>
    <t xml:space="preserve">   Increasing Student Access to Targeted Programs - UWF</t>
  </si>
  <si>
    <t xml:space="preserve">   Access, Retention &amp; Success in Targeted Programs - UWF</t>
  </si>
  <si>
    <t xml:space="preserve">   Regional 2+2 Expansion - UCF</t>
  </si>
  <si>
    <t xml:space="preserve">   Sophomore Retention &amp; Graduation - UCF</t>
  </si>
  <si>
    <t xml:space="preserve">   Access to Core Courses: Science &amp; Math - FIU</t>
  </si>
  <si>
    <t xml:space="preserve">   Student Access to Technology - FIU</t>
  </si>
  <si>
    <t xml:space="preserve">   Student Degree Tracking/Communication System - FIU</t>
  </si>
  <si>
    <t xml:space="preserve">    Medical School Expansion - UCF / FIU</t>
  </si>
  <si>
    <t xml:space="preserve">   New Faculty to Meet Enrollment Growth - FGCU</t>
  </si>
  <si>
    <t xml:space="preserve">   Florida Teach:  Math and Science Teacher Program - UF</t>
  </si>
  <si>
    <t xml:space="preserve">   Expanding Dental Education on the UF-Jacksonville Campus - UF-HSC</t>
  </si>
  <si>
    <t xml:space="preserve">   Entrepreneurship, Innovation &amp; Community Development - USF</t>
  </si>
  <si>
    <t xml:space="preserve">   Information &amp; Engineering Technologies (Lakeland) - USF</t>
  </si>
  <si>
    <t xml:space="preserve">   Enhancing Teacher Education - USF</t>
  </si>
  <si>
    <t xml:space="preserve">   Building the Scientific &amp; Technical Expertise of Tchrs - USF</t>
  </si>
  <si>
    <t xml:space="preserve">   Nursing Workforce Development - USF - St. Pete</t>
  </si>
  <si>
    <t xml:space="preserve">   Enhancing Teacher Education - USF - Sar/Man</t>
  </si>
  <si>
    <t xml:space="preserve">   Information &amp; Engineering Technologies (Lakeland) - USF-Sar/Man</t>
  </si>
  <si>
    <t xml:space="preserve">   Nursing Workforce Development - USF-HSC</t>
  </si>
  <si>
    <t xml:space="preserve">   Center for Teaching Excellence in Medical Education - USF-HSC</t>
  </si>
  <si>
    <t xml:space="preserve">   Regional Medical Partnership w/UM - FAU(replace non-recurring funds)</t>
  </si>
  <si>
    <t xml:space="preserve">   Florida Institute for the Advancement of Teaching - FAU</t>
  </si>
  <si>
    <t xml:space="preserve">   Life Sciences - UCF</t>
  </si>
  <si>
    <t xml:space="preserve">   Computer-Generation Animation - UCF</t>
  </si>
  <si>
    <t xml:space="preserve">   Regional Response to Nursing Expansion - UCF</t>
  </si>
  <si>
    <t xml:space="preserve">   Increased Graduation Rates in Science &amp; Engineering - UCF</t>
  </si>
  <si>
    <t xml:space="preserve">   Pre-Health Professions Education in Central Florida - UCF</t>
  </si>
  <si>
    <t xml:space="preserve">   Life Sciences Initiative - FIU</t>
  </si>
  <si>
    <t xml:space="preserve">   Teacher Retention: Principals' Academy - FIU</t>
  </si>
  <si>
    <t xml:space="preserve">   Florida High Tech Corridor Council Program - UF</t>
  </si>
  <si>
    <t xml:space="preserve">   Florida Institute for Sustainable Energy - UF</t>
  </si>
  <si>
    <t xml:space="preserve">   Florida Center for Imaging Instrumentation - UF</t>
  </si>
  <si>
    <t xml:space="preserve">   Nanoscience Institute for Medical &amp; Engineering Technology (NIMET) - UF</t>
  </si>
  <si>
    <t xml:space="preserve">   Veterinary Medical Center &amp; Equine Sports Medicine Program - UF-HSC</t>
  </si>
  <si>
    <t xml:space="preserve">   Cell and Tissue Engineering Initiative - UF-HSC</t>
  </si>
  <si>
    <t xml:space="preserve">   STOP Stroke Initiative - UF-HSC</t>
  </si>
  <si>
    <t xml:space="preserve">   Interdisciplinary Research Career Development in Aging - UF/IFAS/HSC</t>
  </si>
  <si>
    <t xml:space="preserve">   Solutions for Water Resource Sustainability - UF/IFAS</t>
  </si>
  <si>
    <t xml:space="preserve">   Renewable Energy Initiative - IFAS</t>
  </si>
  <si>
    <t xml:space="preserve">   Profitable and Sustainable Alternative Cropping Systems - IFAS</t>
  </si>
  <si>
    <t xml:space="preserve">   Development of Citrus Plants Resistant to Citrus Canker, Greening &amp; Other Diseases - IFAS</t>
  </si>
  <si>
    <t xml:space="preserve">   Florida Foods for Optimal Health - IFAS</t>
  </si>
  <si>
    <t xml:space="preserve">   Invasive Species Research and Education Program - IFAS</t>
  </si>
  <si>
    <t xml:space="preserve">   Pathways to Excellence - FSU</t>
  </si>
  <si>
    <t xml:space="preserve">   Expanded Optics Research Initiative, NHMFL - FSU</t>
  </si>
  <si>
    <t xml:space="preserve">   Coastal &amp; Marine Laboratory - Premier Research &amp; Teaching Facility - FSU</t>
  </si>
  <si>
    <t xml:space="preserve">   Graduate Program Support - FSU-MS</t>
  </si>
  <si>
    <t xml:space="preserve">   Center for Plasma Science &amp; Technology - FAMU</t>
  </si>
  <si>
    <t xml:space="preserve">   Institute for the Study of Carbon Based Nanomaterials - FAMU</t>
  </si>
  <si>
    <t xml:space="preserve">   Establishment of a Center for Research in Community Health - FAMU</t>
  </si>
  <si>
    <t xml:space="preserve">   Biotechnology &amp; Biomedical Engineering - USF</t>
  </si>
  <si>
    <t xml:space="preserve">   Integrated Spatial Technologies for Domestic Security &amp; Sustainability - USF</t>
  </si>
  <si>
    <t xml:space="preserve">   Florida Initiative for Energy Security - USF</t>
  </si>
  <si>
    <t xml:space="preserve">   Interdisciplinary Brain Research - USF</t>
  </si>
  <si>
    <t xml:space="preserve">   Biosecurity &amp; Emerging Infectious Disease Threats - USF-HSC</t>
  </si>
  <si>
    <t xml:space="preserve">   Pediatric Research to Reduce Learning Disabilities in Children &amp; Youth - USF-HSC</t>
  </si>
  <si>
    <t xml:space="preserve">   SMART II - Preventing Childhood Obesity &amp; Related Disorders - USF/HSC</t>
  </si>
  <si>
    <t xml:space="preserve">   Recruit &amp; Retain World-Class Graduate Students - FAU</t>
  </si>
  <si>
    <t xml:space="preserve">   Expand Library Collections &amp; Services to Support Research - FAU</t>
  </si>
  <si>
    <t xml:space="preserve">   Technology Applications Supporting Teaching &amp; Research - FAU</t>
  </si>
  <si>
    <t xml:space="preserve">   Biophotonics - UCF</t>
  </si>
  <si>
    <t xml:space="preserve">   Simulation and Training - UCF</t>
  </si>
  <si>
    <t xml:space="preserve">   Marine and Coastal Research Center - UCF</t>
  </si>
  <si>
    <t xml:space="preserve">   Renewable Energy &amp; Energy Efficiency - UCF</t>
  </si>
  <si>
    <t xml:space="preserve">   Developing Florida's Water Resource Industry - UCF</t>
  </si>
  <si>
    <t xml:space="preserve">   Quick Response Teams - Readiness Through Simulation - UCF</t>
  </si>
  <si>
    <t xml:space="preserve">   Hurricane Risk Assessment &amp; Engineering Research - FIU</t>
  </si>
  <si>
    <t xml:space="preserve">   Minority Biotech Institute - FIU</t>
  </si>
  <si>
    <t xml:space="preserve">   Florida Entrepreneurial Climate Study - FIU</t>
  </si>
  <si>
    <t xml:space="preserve">   Instructional &amp; Network Technology - FGCU</t>
  </si>
  <si>
    <t xml:space="preserve">   Building Academic &amp; Administrative Support Infrastructure - NCF</t>
  </si>
  <si>
    <t>Sub-total</t>
  </si>
  <si>
    <t xml:space="preserve">   Real-time Awareness, Decision-making and Response System for Florida Communities - UF</t>
  </si>
  <si>
    <t xml:space="preserve">   Center for Training in the Prevention &amp; Treatment of Childhood Obesity - UF/HSC</t>
  </si>
  <si>
    <t xml:space="preserve">   Climate/Weather Decision Tools &amp; Statewide Distance Education System - IFAS</t>
  </si>
  <si>
    <t xml:space="preserve">   Business Process Improvement - FSU</t>
  </si>
  <si>
    <t xml:space="preserve">   Student Counseling &amp; Disability Services - FSU</t>
  </si>
  <si>
    <t xml:space="preserve">   Branch Campus Strategic Missions - FAU</t>
  </si>
  <si>
    <t xml:space="preserve">   Expand Operations of the Memory &amp; Wellness Center - FAU</t>
  </si>
  <si>
    <t xml:space="preserve">   Energy Sustainability - Coping with Increased Energy Costs - UCF</t>
  </si>
  <si>
    <t xml:space="preserve">   Chemical &amp; Biological Sensing for Terrorist Threat Protection - UCF</t>
  </si>
  <si>
    <t xml:space="preserve">   Coastal &amp; River Ecological Research Initiative - UNF</t>
  </si>
  <si>
    <t xml:space="preserve">   Center for Community Based Learning - UNF</t>
  </si>
  <si>
    <t xml:space="preserve">   Center for Global Health &amp; Medical Diplomacy - UNF</t>
  </si>
  <si>
    <t xml:space="preserve">   Pritzker Marine Science Center - NCF</t>
  </si>
  <si>
    <t xml:space="preserve">   Institute for Progressive Land Use - NCF</t>
  </si>
  <si>
    <t>Center for Teaching Excellence &amp; Student Academic Success - FAU</t>
  </si>
  <si>
    <t>Online Undergraduate Business Degree Program - UF</t>
  </si>
  <si>
    <t>Engineering Support Staff Enhancement - FSU</t>
  </si>
  <si>
    <t>Expand and Enhance Technology to Improve Services - FSU</t>
  </si>
  <si>
    <t>Academic Quality &amp; New Program Initiatives - FSU</t>
  </si>
  <si>
    <t>New Faculty to Meet Enrollment Growth - FGCU</t>
  </si>
  <si>
    <t>Improve Student Access to Wireless Information Technology and Media-Enabled Classrooms - FIU</t>
  </si>
  <si>
    <t>Florida Teach:  Math and Science Teacher Program - UF</t>
  </si>
  <si>
    <t>Florida Institute for the Advancement of Teaching Professionals - FAU</t>
  </si>
  <si>
    <t>Expansion of Programs and Degree Production through Regional 2+2 Campus System - UCF</t>
  </si>
  <si>
    <t>Automated Student Degree Tracking and Communication System to Enhance Graduation Rates and Student Retention - FIU</t>
  </si>
  <si>
    <t>Establishment of a National Model to Improve Student Success Through Tracking, Retention &amp; Time-to-Degree - USF</t>
  </si>
  <si>
    <t>Sophomore Retention &amp; Graduation Rate Increase Initiative (develop &amp; implement programs to address the specific needs of sophomores) - UCF</t>
  </si>
  <si>
    <t>Expansion and Upgrade of Technological Resources - FGCU</t>
  </si>
  <si>
    <t>Life Sciences Program Enhancements and Health Faculty Recruitment Initiative - FIU</t>
  </si>
  <si>
    <t>Expansion of the Mission, Size, and Goals of the UCF Office of Pre-Health Professions Advising - UCF</t>
  </si>
  <si>
    <t>Expansion of Nursing Degree Program through Regional Campus System - UCF</t>
  </si>
  <si>
    <t>Increasing Student Access to Targeted Programs - Nursing, Teachers in Science/Math/Exceptional Students/ESOL/Reading, Alternative Teacher Certification Programs, and Allied Health - UWF</t>
  </si>
  <si>
    <t>Building Capacity in Science, Technology, Engineering and Mathematics (STEM) - USF</t>
  </si>
  <si>
    <t>Florida Institute for Sustainable Energy - UF</t>
  </si>
  <si>
    <t>Energy Sustainability Plan - Coping with Increased University Energy Costs - UCF</t>
  </si>
  <si>
    <t>Establishment of a Center for Research in Community Health to Help Eliminate Health Disparities Among Racial Minorities - FAMU</t>
  </si>
  <si>
    <t>Interdisciplinary Brain Research - Expanding Research Infrastructure in Cognitive and Health-Related Sciences - USF</t>
  </si>
  <si>
    <t>Startup Funding for the Institute for Progressive Land Use (providing education, research, and policy guidance concerning appropriate land use) - NCF</t>
  </si>
  <si>
    <t>Solutions for Water Resource Sustainability - UF</t>
  </si>
  <si>
    <t>Developing Florida's Water Resource Industry - Increase Faculty Needed for Solving the State's Water Resource Problems - UCF</t>
  </si>
  <si>
    <t>Establish Center for the Investigation of High Reliability Quick Response Teams (Readiness through Simulation) - UCF</t>
  </si>
  <si>
    <t>Florida High Tech Corridor Council Matching Funds Program - UF</t>
  </si>
  <si>
    <t>Biophotonics - Continued Program Development - UCF</t>
  </si>
  <si>
    <t>Complete the Development of the Pritzker Marine Biology Research Center (for marine conservation education, research and policy issues) - NCF</t>
  </si>
  <si>
    <t>Simulation and Training - Research Expansion and Workforce Development - UCF</t>
  </si>
  <si>
    <t>Expand the Institute for the Study of Carbon Based Nanomaterials to Focus on the Development and Understanding of Novel Carbon Based Materials - FAMU</t>
  </si>
  <si>
    <t>Nanoscience Institute for Medical and Engineering Technology (NIMET) - UF</t>
  </si>
  <si>
    <t>Minority Biotech Institute - Research Capability Enhancements - FIU</t>
  </si>
  <si>
    <t>Florida Entrepreneurial Climate Study to Assess State and Regional Economic Dynamics - FIU</t>
  </si>
  <si>
    <t>Funding in Support of Branch Campus Individual Strategic Missions and Programs - FAU</t>
  </si>
  <si>
    <t>Annualization of 10/1/06 Salary Increase *</t>
  </si>
  <si>
    <t>Annualization of 3/1/07 Health Insurance Increase *</t>
  </si>
  <si>
    <t>2006-2007 PO&amp;M - Phased-In Space</t>
  </si>
  <si>
    <t>2007-2008 PO&amp;M - New Space (estimated)</t>
  </si>
  <si>
    <t>Ratio of In-State/Out-of-State Students - GR</t>
  </si>
  <si>
    <t xml:space="preserve">Ratio of In-State/Out-of-State Students - TF </t>
  </si>
  <si>
    <t>Annualization of 2006-07 Fee Increase - TF</t>
  </si>
  <si>
    <t>Florida Center for Library Automation</t>
  </si>
  <si>
    <t>Increased Cost of Operations</t>
  </si>
  <si>
    <t>Regional Medical Partnership w/UM - FAU</t>
  </si>
  <si>
    <t xml:space="preserve">IFAS Research / Extension Workload </t>
  </si>
  <si>
    <t>Tuition Increase - 7% UG Resident - TF</t>
  </si>
  <si>
    <t>Student Financial Assistance - Workload</t>
  </si>
  <si>
    <t>Access - 10,061 FTE Students - Total</t>
  </si>
  <si>
    <t>FSU Medical School Phase in - 74 Students - TF</t>
  </si>
  <si>
    <t>FIU Law School Phase-in - 72 FTE - TF</t>
  </si>
  <si>
    <t>Technical Adjustment for Health Insurance (FIU, UWF, FAMU, estimated)</t>
  </si>
  <si>
    <t>Salary Increases</t>
  </si>
  <si>
    <t>Major Gifts Matching</t>
  </si>
  <si>
    <t xml:space="preserve">World Class Graduate Assistants </t>
  </si>
  <si>
    <t>Digital Instructional Resources (Partnership with CC)</t>
  </si>
  <si>
    <t>Building Academic &amp; Administrative Support Infrastructure - NCF</t>
  </si>
  <si>
    <t xml:space="preserve">Critical Needs in Nursing - PhD - year 2 </t>
  </si>
  <si>
    <t>Goal: Access to and production of degrees</t>
  </si>
  <si>
    <t>Outreach and University Access Initiatives</t>
  </si>
  <si>
    <t>Expansion of Student Access Across the Emerald Coast for Military Curricula Delivery, Technology Infrastructure and Teacher Shortage  - UWF</t>
  </si>
  <si>
    <t>Student Financial Aid Funding to Increase Access and Encourage Student Diversity - FAU</t>
  </si>
  <si>
    <t>Community Outreach Program  Focusing on the Adoption of D and F K-12 Schools in Their Region - FSU</t>
  </si>
  <si>
    <t>Outreach Program to Increase Medical Education Opportunities for Underrepresented Populations - FSU-MS</t>
  </si>
  <si>
    <t>Student Tracking, Retention, and Graduation Success Initiatives</t>
  </si>
  <si>
    <t>Improving Student Success Through Better Recruitment, Progression, Retention, and  Graduation - FAMU</t>
  </si>
  <si>
    <t>First-Year and Transfer Programs to Enhance Student Access, Retention &amp; Success  - UWF</t>
  </si>
  <si>
    <t>Enhancing Core Educational Enterprises</t>
  </si>
  <si>
    <t>Business Process Improvement by Better Data Management  - FSU</t>
  </si>
  <si>
    <t>Increase Access to Core Courses: Recruit Additional Science &amp; Math Professors to Reduce Dependency on Adjunct Instructors - FIU</t>
  </si>
  <si>
    <t>Per Diem Increase to Offset the Additional  Cost Anticipated as a Result of the Travel Reimbursent Rate Increase - FSU</t>
  </si>
  <si>
    <t>Goal: Meeting statewide professional and workforce needs</t>
  </si>
  <si>
    <t>Meeting Workforce Needs in Education</t>
  </si>
  <si>
    <t>Increase Production of Teachers for Florida’s Schools - UNF</t>
  </si>
  <si>
    <t>Enhance Teacher Retention and Administrative Interaction: Urban Educational Leadership / Principal's Academy - FIU</t>
  </si>
  <si>
    <t>Enhancing Teacher Education in Mathematics, Science, Exceptional Education, and Reading - USF Sar/Man and Lakeland</t>
  </si>
  <si>
    <t>Enhancing Florida's Future: Building the Scientific &amp; Technical Expertise of K-16 Teachers - USF</t>
  </si>
  <si>
    <t>Meeting Workforce Needs in the Health Care and Life Science Fields</t>
  </si>
  <si>
    <t>FAU/UM Regional Medical Partnership (issue to replace FY 2006-07 non-recurring funds with recurring funding) - FAU</t>
  </si>
  <si>
    <t>Life Sciences - Development of New Degree Programs - UCF</t>
  </si>
  <si>
    <t>Expanding Dental Education Opportunities on the UF-Jacksonville Campus - UF-HSC</t>
  </si>
  <si>
    <t>Nursing Workforce Development - To Address the Shortage of Nurses and Nursing Faculty members - USF-St. Pete &amp; USF-HSC</t>
  </si>
  <si>
    <t>Center for Teaching Excellence in Medical Education - USF-HSC</t>
  </si>
  <si>
    <t xml:space="preserve">Meeting Workforce Needs in Science, Technology, Engineering, Mathematics and Other Targeted Fields </t>
  </si>
  <si>
    <t>Computer-Generation Animation - Create Florida Interactive Entertainment Academy Program Extension - UCF</t>
  </si>
  <si>
    <t>Engineering Program Faculty Enhancement -   Recruitment of  Eminent Scholars - FSU</t>
  </si>
  <si>
    <t>Expansion of the Information &amp; Engineering Technology Programs to Support Ongoing Education and Training in the IT Profession (Lakeland / Sar/Man) - USF</t>
  </si>
  <si>
    <t>Increased Graduation Rates in Science &amp; Engineering (faculty and program expansion) - UCF</t>
  </si>
  <si>
    <t>Goal: Building world-class academic programs and research capacity</t>
  </si>
  <si>
    <t>Recruiting and Retaining World-Class Faculty and Graduate and Professional Students</t>
  </si>
  <si>
    <t>Pathways to Excellence Program - Target and Hire Additional Faculty Members Who are National and International Leaders in Their  Respective Fields - FSU</t>
  </si>
  <si>
    <t>Competitive Graduate Student Support Plan Focusing on Attracting  the Most Talented Graduate Students - FSU</t>
  </si>
  <si>
    <t>Recruit &amp; Retain World-Class Graduate Students by Providing Competitive Stipend Awards - FAU</t>
  </si>
  <si>
    <t>Energy Efficiency and Energy Alternatives Research</t>
  </si>
  <si>
    <t>Renewable Energy Initiative for Ethanol &amp; Biofuel Research &amp; Development - IFAS</t>
  </si>
  <si>
    <t>Expanded Optics Research Initiative within the National High Magnetic Field Lab (NHMFL)  to Study fundamental Interactions in Physics and Chemistry - FSU</t>
  </si>
  <si>
    <t>Renewable Energy &amp; Energy Efficiency - Increase Faculty for Development of New Energy and Fuel Technologies - UCF</t>
  </si>
  <si>
    <t>Health Care Research</t>
  </si>
  <si>
    <t>Interdisciplinary Research Career Development in Aging - UF-HSC</t>
  </si>
  <si>
    <t>Sport Medicine and Athletic Related Trauma Institute (SMART II) - Preventing Childhood Obesity and Related Disorders - USF-HSC and USF Tampa</t>
  </si>
  <si>
    <t>Florida Foods for Optimal Health Resesarch Initiative with FIU - IFAS</t>
  </si>
  <si>
    <t>Cell and Tissue Engineering Initiative involving Multi-disciplinary Collaborations - UF-HSC</t>
  </si>
  <si>
    <t>STOP Stroke Research Initiative at the McKnight Brain Institute - UF-HSC</t>
  </si>
  <si>
    <t>Graduate Program Support in Biomedical Sciences - FSU-MS</t>
  </si>
  <si>
    <t>Pediatric Research to Reduce Learning Disabilities in Children &amp; Youth - USF-HSC</t>
  </si>
  <si>
    <t>Environmental, Climate, and Agricultural Research</t>
  </si>
  <si>
    <t>Development of Citrus Plants Resistant to Citrus Canker, Greening and Other Diseases that Challenge Sustainable Citrus Production in Florida - IFAS</t>
  </si>
  <si>
    <t>Coastal &amp; River Ecological Research Initiative (expand current initiatives in education, environmental engineering and science) - UNF</t>
  </si>
  <si>
    <t>Climate and Weather Decision Tools and Statewide Distance Education System - IFAS</t>
  </si>
  <si>
    <t>Hurricane Risk Assessment &amp; Construction Engineering Research Program Enhancements - Wall of Winds Project - FIU</t>
  </si>
  <si>
    <t>Profitable and Sustainable Alternative Cropping Systems - IFAS</t>
  </si>
  <si>
    <t>Coastal and Marine Lab - Premier Research &amp; Teaching Fac by Making Improvements to the Infrastructure, Admin and Management of the Lab - FSU</t>
  </si>
  <si>
    <t>Marine and Coastal Research Center (New Program to Address Emerging Trends in Ocean and Coastal Communities) - UCF</t>
  </si>
  <si>
    <t>Invasive Species Research and Education Program - IFAS</t>
  </si>
  <si>
    <t>Domestic Security Initiatives</t>
  </si>
  <si>
    <t>Enhancement of Biosecurity Against Emerging Infectious Disease Threats - USF-HSC</t>
  </si>
  <si>
    <t>Integrated Spatial Technologies for Domestic Security &amp; Sustainability - USF</t>
  </si>
  <si>
    <t>Real-time Awareness, Decision-making and Response (RADAR) System for Florida Communities - UF</t>
  </si>
  <si>
    <t>Research Initiative to Establish a Chemical &amp; Biological Sensing for Terrorist Threat Protection Research Center - UCF</t>
  </si>
  <si>
    <t>Other World Class Academic Programs Initiatives</t>
  </si>
  <si>
    <t>Biotechnology &amp; Biomedical Engineering to Promote Ongoing Economic Development - USF</t>
  </si>
  <si>
    <t>Veterinary Medical Center and Equine Sports Medicine Program - UF-HSC</t>
  </si>
  <si>
    <t>Expand the Center for Plasma Science &amp; Technology to Perform Basic Research in the Use of Man Made Plasma - FAMU</t>
  </si>
  <si>
    <t>Florida Center for Imaging Instrumentation in Optics, Astrophysics &amp; Space Science, Bio-Medical, and Advanced Concepts - UF</t>
  </si>
  <si>
    <t>Expand Library Collections &amp; Services to Support Research - FAU</t>
  </si>
  <si>
    <t>Increase Technology Resources &amp; Applications Supporting Teaching &amp; Research - FAU</t>
  </si>
  <si>
    <t>Goal: Meeting community needs and fulfilling unique institutional responsibilities</t>
  </si>
  <si>
    <t>Health Care Research and Service Initiatives</t>
  </si>
  <si>
    <t>Center for Training in the Prevention and Treatment of Childhood Obesity - UF-HSC</t>
  </si>
  <si>
    <t>Increase the Production of Nurses to meet Florida’s Health Care Needs - UNF</t>
  </si>
  <si>
    <t>Expand Operations and Client Services of the Memory &amp; Wellness Center - FAU</t>
  </si>
  <si>
    <t>Focused University and Community Needs</t>
  </si>
  <si>
    <t>Establish a Center for Community Based Learning (for placement of students in service learning, field experiences, and internships) - UNF</t>
  </si>
  <si>
    <t>Entrepreneurship, Innovation &amp; Community Development Initiative - To Enhance the USF Center for Entrepreneurship - USF Tampa and Lakeland</t>
  </si>
  <si>
    <t>Student Counseling &amp; Disability Services Access Expansion - FSU</t>
  </si>
  <si>
    <t>Educational and General, Executive Summary</t>
  </si>
  <si>
    <t>Total Request</t>
  </si>
  <si>
    <t>Salary Increases 10/1/06*</t>
  </si>
  <si>
    <t>Health Insurance Adjustment 3/1/07*</t>
  </si>
  <si>
    <t>2006-2007 Non-recurring Appropriation</t>
  </si>
  <si>
    <t>% Increase over 2006-07Base Approp (line 9)</t>
  </si>
  <si>
    <t>Increase over 2006-2007 Total Approp (line 6)</t>
  </si>
  <si>
    <t>* will be officially calculated by the Governor's Office in August.</t>
  </si>
  <si>
    <t>TF - Student Fee Trust Fund (student tuition)</t>
  </si>
  <si>
    <t>ENLACE, Florida</t>
  </si>
  <si>
    <t>FIU Medical School - Planning Year 1</t>
  </si>
  <si>
    <t>UCF Medical School - Planning Year 1</t>
  </si>
  <si>
    <t>Critical Needs in Engineering - year 1</t>
  </si>
  <si>
    <t xml:space="preserve">       Detail: Amount Funded from General Revenue/Lottery - $106.2 M</t>
  </si>
  <si>
    <t xml:space="preserve">       Detail: Amount Funded from Student Fees due to Growth - $42.1 M</t>
  </si>
  <si>
    <t>Florida Initiative to Address Technology and Policy Needs regarding Energy Production and Delivery - USF</t>
  </si>
  <si>
    <t>Medical School Funding Parity - UF</t>
  </si>
  <si>
    <t>University Issues Supporting the SUS Strategic Plan</t>
  </si>
  <si>
    <t>Other World Class Academic Program and Research Initiatives</t>
  </si>
  <si>
    <t xml:space="preserve">IFAS Increased Research / Extension Workload </t>
  </si>
  <si>
    <t>Sub-total University Initiatives</t>
  </si>
  <si>
    <t>Total Issues</t>
  </si>
  <si>
    <t>2007-2008 E&amp;G Appropriation</t>
  </si>
  <si>
    <t>2007-2008 Non-recurring Appropriation</t>
  </si>
  <si>
    <t>2007-2008 Adjusted Recurring E&amp;G Base</t>
  </si>
  <si>
    <r>
      <t xml:space="preserve">Option 2 - System Issues plus 2% Univ. </t>
    </r>
    <r>
      <rPr>
        <b/>
        <u val="single"/>
        <sz val="12"/>
        <rFont val="Book Antiqua"/>
        <family val="1"/>
      </rPr>
      <t>Issues</t>
    </r>
  </si>
  <si>
    <t>2007-2008 PO&amp;M - Phased-In Space</t>
  </si>
  <si>
    <t>2008-2009 PO&amp;M - New Space (estimated)</t>
  </si>
  <si>
    <t>FIU Law School Student Phase-in - 90 FTE - TF (estimated)</t>
  </si>
  <si>
    <t>FAMU Law School Student Phase in - 37 FTE - TF - (estimated)</t>
  </si>
  <si>
    <t>FSU Medical School Student Phase in - 60 Students - TF (estimated)</t>
  </si>
  <si>
    <t>Major Gifts for Instruction, Research and Libraries</t>
  </si>
  <si>
    <t>Access to Higher Education -xxxxxx (xxxxxx FTE) Students</t>
  </si>
  <si>
    <t xml:space="preserve">       Detail: Amount Funded from General Revenue/Lottery </t>
  </si>
  <si>
    <t xml:space="preserve">       Detail: Amount Funded from Student Fees </t>
  </si>
  <si>
    <t>Performance Incentive Funding</t>
  </si>
  <si>
    <t xml:space="preserve">FIO Research Vessel - Planning </t>
  </si>
  <si>
    <t>University Press of Florida</t>
  </si>
  <si>
    <t>Safety/Security Initiative</t>
  </si>
  <si>
    <t>Medical School Implementation - FIU - Planning Year 2</t>
  </si>
  <si>
    <t>Medical School Implementation - UCF - Planning Year 2</t>
  </si>
  <si>
    <t>Regional Medical Partnership w/UM - FAU - Final Year</t>
  </si>
  <si>
    <t>Base Funding Adjustment - UF and USF</t>
  </si>
  <si>
    <t>Increase over 2007-2008 E&amp;G Approp</t>
  </si>
  <si>
    <t>% Increase over 2007-2008 E&amp;G Approp</t>
  </si>
  <si>
    <t>Increase over 2007-2008 Recurring E&amp;G Base Approp</t>
  </si>
  <si>
    <t>% Increase over 2007-2008 Recurring E&amp;G Base Approp</t>
  </si>
  <si>
    <t>Total 2008-2009 LBR</t>
  </si>
  <si>
    <t>Florida Institute for Global Education</t>
  </si>
  <si>
    <t>FSU Medical School - Replace Non-Recurring Funds</t>
  </si>
  <si>
    <t>Florida Center for Library Automation - Purchase of Digital Material</t>
  </si>
  <si>
    <t>Systemwide Strategic Resources</t>
  </si>
  <si>
    <t>Centers of Excellence - External Evaluation</t>
  </si>
  <si>
    <t>Student Retention, Graduation, Advising, Faculty Retention</t>
  </si>
  <si>
    <t>Ongoing Obligations</t>
  </si>
  <si>
    <t xml:space="preserve">   Sub-Total - Ongoing Obligations</t>
  </si>
  <si>
    <t>Inflationary Cost Adjustment</t>
  </si>
  <si>
    <t>Student Success and Achievement</t>
  </si>
  <si>
    <t>SUS Medical Education</t>
  </si>
  <si>
    <t xml:space="preserve">Sub-total </t>
  </si>
  <si>
    <t>Annualization of 2007-08 Tuition Increases - TF</t>
  </si>
  <si>
    <t>Enterprise Resource Project (ERP) Systems</t>
  </si>
  <si>
    <t>All Potential Budget Issues</t>
  </si>
  <si>
    <t>2008-09</t>
  </si>
  <si>
    <t>Issues</t>
  </si>
  <si>
    <t>2008-2009 Budget Request</t>
  </si>
  <si>
    <t>Foundation for a World Class System</t>
  </si>
  <si>
    <t>FIU/FAMU Law School Student Phase-in - 90/37 FTE - TF (estimated)</t>
  </si>
  <si>
    <t xml:space="preserve">   Sub-Total </t>
  </si>
  <si>
    <t>Student Health Insurance</t>
  </si>
  <si>
    <t xml:space="preserve">       Detail: Amount Funded from Student Tuition</t>
  </si>
  <si>
    <t>FSU Medical School - Replace 2006-07 Non-Recurring Funds</t>
  </si>
  <si>
    <t>Replace 2007-08 Nonrecurring Enrollment Growth Funds</t>
  </si>
  <si>
    <t xml:space="preserve">FL Institute of Oceanography Research Vessel - Planning </t>
  </si>
  <si>
    <t>FL Center for Library Automation - Purchase of Digital Material</t>
  </si>
  <si>
    <t>Centers of Excellence - (including an External Evaluation)</t>
  </si>
  <si>
    <t>FL Initiative for Global Education</t>
  </si>
  <si>
    <t>Operational Cost Increases</t>
  </si>
  <si>
    <t>Financial/HR Management Systems (ERP)</t>
  </si>
  <si>
    <t>Increase over Total 2007-2008 E&amp;G Approp</t>
  </si>
  <si>
    <t>% Increase over Total 2007-2008 E&amp;G Approp</t>
  </si>
  <si>
    <r>
      <t xml:space="preserve">Student </t>
    </r>
    <r>
      <rPr>
        <b/>
        <u val="single"/>
        <sz val="12"/>
        <rFont val="Book Antiqua"/>
        <family val="1"/>
      </rPr>
      <t>Centered LBR - State Funds Only</t>
    </r>
  </si>
  <si>
    <t>State Support</t>
  </si>
  <si>
    <t>Tuition Support</t>
  </si>
  <si>
    <t>Student Success to Meet State Needs</t>
  </si>
  <si>
    <t>Efficiencies Gained Through Shared System Resources</t>
  </si>
  <si>
    <t>Access and Success for Students with Disabilities (Auxiliary Learning Aids)</t>
  </si>
  <si>
    <t>Florida Access and Success Initiative with Support for Traditionally Underrepresented Students</t>
  </si>
  <si>
    <t>Meeting Statewide Needs in Engineering</t>
  </si>
  <si>
    <t>Building Capacity in On-Line Instruction and Student Support</t>
  </si>
  <si>
    <t>Under Develop.</t>
  </si>
  <si>
    <t>Annualization of 2007-08 Grad/Out-of-State Tuition Increases - TF (est.)</t>
  </si>
  <si>
    <t>Base Funding Adjustment - UF/USF Medical Schools</t>
  </si>
  <si>
    <t xml:space="preserve">Student Centered LBR </t>
  </si>
  <si>
    <t>2008-2009 Budget Need</t>
  </si>
  <si>
    <t>Tuition Support Needed Assuming No Tuition Increase</t>
  </si>
  <si>
    <t>State Support Needed</t>
  </si>
  <si>
    <t>Total 2008-2009 Budget Need</t>
  </si>
  <si>
    <t>Special Units and State Initiatives, Executive Summary</t>
  </si>
  <si>
    <t>2007-2008 UF-IFAS Appropriation</t>
  </si>
  <si>
    <t>2007-2008 Adjusted Recurring UF-IFAS Base</t>
  </si>
  <si>
    <t>2008-2009 Need</t>
  </si>
  <si>
    <t>Non-recurring Appropriation</t>
  </si>
  <si>
    <t>UF-IFAS</t>
  </si>
  <si>
    <t>New Needs:</t>
  </si>
  <si>
    <t>UF-HSC</t>
  </si>
  <si>
    <t>2007-2008 UF-HSC Appropriation</t>
  </si>
  <si>
    <t xml:space="preserve">Base Funding Adjustment </t>
  </si>
  <si>
    <t>USF-HSC</t>
  </si>
  <si>
    <t>2007-2008 USF-HSC Appropriation</t>
  </si>
  <si>
    <t>Total UF-HSC Need</t>
  </si>
  <si>
    <t>Total USF-HSC Need</t>
  </si>
  <si>
    <t>FSU-MS</t>
  </si>
  <si>
    <t>2007-2008 FSU-MS Appropriation</t>
  </si>
  <si>
    <t>2007-2008 Adjusted Recurring FSU-MS Base</t>
  </si>
  <si>
    <t>Replace 2006-07 Non-recurring Funds</t>
  </si>
  <si>
    <t>Total FSU-MS Need</t>
  </si>
  <si>
    <t>FIU-MS</t>
  </si>
  <si>
    <t>Year 2 Planning Funds</t>
  </si>
  <si>
    <t>UCF-MS</t>
  </si>
  <si>
    <t>2007-2008 UCF-MS Appropriation</t>
  </si>
  <si>
    <t>2007-2008 FIU-MS Appropriation</t>
  </si>
  <si>
    <t xml:space="preserve">Centers of Excellence </t>
  </si>
  <si>
    <t>Moffitt Cancer Center Operations</t>
  </si>
  <si>
    <t>Challenge Grants</t>
  </si>
  <si>
    <t>Institute of Human &amp; Machine Cognition</t>
  </si>
  <si>
    <t>Total 2008-2009 Special Units and State Initiatives</t>
  </si>
  <si>
    <t>Additional Student Phase-in Costs</t>
  </si>
  <si>
    <t>Total UF-IFAS State Need</t>
  </si>
  <si>
    <t>Total FIU-MS State Need</t>
  </si>
  <si>
    <t>Total UCF-MS State Need</t>
  </si>
  <si>
    <t>Building Academic &amp; Administrative Support Infrastructure - NCF Final Yr</t>
  </si>
  <si>
    <t>Supported with Non-recurring Funds</t>
  </si>
  <si>
    <t>% recurring only</t>
  </si>
  <si>
    <t>FAU Regional Medical Partnership w/UM - Final Year</t>
  </si>
  <si>
    <t>Financial/HR Management Systems</t>
  </si>
  <si>
    <t xml:space="preserve">       Detail: Amount Funded from State Sources</t>
  </si>
  <si>
    <t>Estimated 4% GR Budget Reduction</t>
  </si>
  <si>
    <t xml:space="preserve">2007-2008 State Support </t>
  </si>
  <si>
    <t>2007-2008 Tuition Support</t>
  </si>
  <si>
    <t>2007-2008 Non-recurring GR Appropriation</t>
  </si>
  <si>
    <t>2008-2009 State Support</t>
  </si>
  <si>
    <t>2008-2009 Student Tuition Support</t>
  </si>
  <si>
    <t>Increase in Student Tuition Support (Assuming no Tuition Increase)</t>
  </si>
  <si>
    <t>Total Incremental Increase</t>
  </si>
  <si>
    <t>Access / Success for Students with Disabilities (Auxiliary Learning Aids)</t>
  </si>
  <si>
    <t>Access / Success -  Support for Traditionally Underrepresented Students</t>
  </si>
  <si>
    <t>Student Success Programs</t>
  </si>
  <si>
    <t>Operational Cost Increases for Libraries, Technology, Utilities, etc.</t>
  </si>
  <si>
    <t xml:space="preserve">Student Centered Budget </t>
  </si>
  <si>
    <t>Access/Support for Current Students - 9,800 Students</t>
  </si>
  <si>
    <t>Community College Transfers &amp; Natural Growth</t>
  </si>
  <si>
    <t xml:space="preserve">Flowthrough Enrollments </t>
  </si>
  <si>
    <t>Unfunded Student Enrollments</t>
  </si>
  <si>
    <t>Increase in State Support Needed with No Tuition Increase</t>
  </si>
  <si>
    <t>Total Support</t>
  </si>
  <si>
    <t>Total State Support Requested</t>
  </si>
  <si>
    <t>Total Tuition Support Estimated</t>
  </si>
  <si>
    <t>2008-2009 Educational &amp; General Core Budget</t>
  </si>
  <si>
    <t>Total Budget</t>
  </si>
  <si>
    <t>2007-2008 Recurring Base Budget</t>
  </si>
  <si>
    <t>% Increase over 2007-2008 Total Budget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</si>
</sst>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%"/>
    <numFmt numFmtId="166" formatCode="[$-409]mmmm\ d\,\ yyyy;@"/>
    <numFmt numFmtId="167" formatCode="mmmm\ d\,\ yyyy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&quot;$&quot;#,##0"/>
    <numFmt numFmtId="172" formatCode="_(* #,##0.0_);_(* \(#,##0.0\);_(* &quot;-&quot;??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_);[Red]\(&quot;$&quot;#,##0.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color indexed="18"/>
      <name val="Times New Roman"/>
      <family val="1"/>
    </font>
    <font>
      <sz val="9"/>
      <name val="Bodoni MT"/>
      <family val="1"/>
    </font>
    <font>
      <b/>
      <sz val="12"/>
      <name val="Bodoni MT"/>
      <family val="1"/>
    </font>
    <font>
      <sz val="11"/>
      <name val="Bodoni MT"/>
      <family val="1"/>
    </font>
    <font>
      <b/>
      <sz val="11"/>
      <name val="Bodoni MT"/>
      <family val="1"/>
    </font>
    <font>
      <b/>
      <sz val="10"/>
      <name val="Bodoni MT"/>
      <family val="1"/>
    </font>
    <font>
      <b/>
      <sz val="10"/>
      <color indexed="10"/>
      <name val="Bodoni MT"/>
      <family val="1"/>
    </font>
    <font>
      <sz val="10"/>
      <name val="Bodoni MT"/>
      <family val="1"/>
    </font>
    <font>
      <sz val="7"/>
      <name val="Bodoni MT"/>
      <family val="1"/>
    </font>
    <font>
      <sz val="9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10"/>
      <name val="Book Antiqua"/>
      <family val="1"/>
    </font>
    <font>
      <sz val="7"/>
      <name val="Book Antiqua"/>
      <family val="1"/>
    </font>
    <font>
      <b/>
      <u val="single"/>
      <sz val="12"/>
      <name val="Book Antiqua"/>
      <family val="1"/>
    </font>
    <font>
      <sz val="12"/>
      <name val="Book Antiqua"/>
      <family val="1"/>
    </font>
    <font>
      <u val="single"/>
      <sz val="12"/>
      <name val="Book Antiqua"/>
      <family val="1"/>
    </font>
    <font>
      <sz val="12"/>
      <color indexed="18"/>
      <name val="Book Antiqua"/>
      <family val="1"/>
    </font>
    <font>
      <b/>
      <sz val="11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Book Antiqua"/>
      <family val="1"/>
    </font>
    <font>
      <i/>
      <sz val="12"/>
      <name val="Book Antiqua"/>
      <family val="1"/>
    </font>
    <font>
      <i/>
      <sz val="11"/>
      <name val="Book Antiqua"/>
      <family val="1"/>
    </font>
    <font>
      <b/>
      <i/>
      <sz val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left"/>
    </xf>
    <xf numFmtId="6" fontId="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/>
    </xf>
    <xf numFmtId="6" fontId="4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166" fontId="6" fillId="0" borderId="0" xfId="0" applyNumberFormat="1" applyFont="1" applyFill="1" applyBorder="1" applyAlignment="1">
      <alignment horizontal="center"/>
    </xf>
    <xf numFmtId="6" fontId="5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6" fontId="2" fillId="0" borderId="0" xfId="0" applyNumberFormat="1" applyFont="1" applyFill="1" applyBorder="1" applyAlignment="1">
      <alignment/>
    </xf>
    <xf numFmtId="6" fontId="2" fillId="0" borderId="1" xfId="0" applyNumberFormat="1" applyFont="1" applyFill="1" applyBorder="1" applyAlignment="1">
      <alignment/>
    </xf>
    <xf numFmtId="6" fontId="5" fillId="0" borderId="0" xfId="0" applyNumberFormat="1" applyFont="1" applyFill="1" applyAlignment="1">
      <alignment/>
    </xf>
    <xf numFmtId="6" fontId="9" fillId="0" borderId="0" xfId="0" applyNumberFormat="1" applyFont="1" applyFill="1" applyBorder="1" applyAlignment="1">
      <alignment/>
    </xf>
    <xf numFmtId="6" fontId="9" fillId="0" borderId="1" xfId="0" applyNumberFormat="1" applyFont="1" applyFill="1" applyBorder="1" applyAlignment="1">
      <alignment/>
    </xf>
    <xf numFmtId="6" fontId="9" fillId="0" borderId="0" xfId="0" applyNumberFormat="1" applyFont="1" applyFill="1" applyBorder="1" applyAlignment="1">
      <alignment horizontal="right"/>
    </xf>
    <xf numFmtId="6" fontId="9" fillId="0" borderId="1" xfId="0" applyNumberFormat="1" applyFont="1" applyFill="1" applyBorder="1" applyAlignment="1">
      <alignment horizontal="right"/>
    </xf>
    <xf numFmtId="6" fontId="9" fillId="0" borderId="2" xfId="0" applyNumberFormat="1" applyFont="1" applyFill="1" applyBorder="1" applyAlignment="1">
      <alignment horizontal="right"/>
    </xf>
    <xf numFmtId="6" fontId="9" fillId="0" borderId="3" xfId="0" applyNumberFormat="1" applyFont="1" applyFill="1" applyBorder="1" applyAlignment="1">
      <alignment/>
    </xf>
    <xf numFmtId="6" fontId="9" fillId="0" borderId="4" xfId="0" applyNumberFormat="1" applyFont="1" applyFill="1" applyBorder="1" applyAlignment="1">
      <alignment/>
    </xf>
    <xf numFmtId="6" fontId="2" fillId="0" borderId="3" xfId="0" applyNumberFormat="1" applyFont="1" applyFill="1" applyBorder="1" applyAlignment="1">
      <alignment/>
    </xf>
    <xf numFmtId="6" fontId="9" fillId="0" borderId="2" xfId="0" applyNumberFormat="1" applyFont="1" applyFill="1" applyBorder="1" applyAlignment="1">
      <alignment/>
    </xf>
    <xf numFmtId="6" fontId="9" fillId="0" borderId="5" xfId="0" applyNumberFormat="1" applyFont="1" applyFill="1" applyBorder="1" applyAlignment="1">
      <alignment/>
    </xf>
    <xf numFmtId="6" fontId="5" fillId="0" borderId="0" xfId="0" applyNumberFormat="1" applyFont="1" applyFill="1" applyAlignment="1">
      <alignment horizontal="right"/>
    </xf>
    <xf numFmtId="6" fontId="9" fillId="0" borderId="6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9" fillId="0" borderId="7" xfId="0" applyNumberFormat="1" applyFont="1" applyFill="1" applyBorder="1" applyAlignment="1">
      <alignment/>
    </xf>
    <xf numFmtId="6" fontId="9" fillId="0" borderId="8" xfId="0" applyNumberFormat="1" applyFont="1" applyFill="1" applyBorder="1" applyAlignment="1">
      <alignment/>
    </xf>
    <xf numFmtId="6" fontId="9" fillId="0" borderId="9" xfId="0" applyNumberFormat="1" applyFont="1" applyFill="1" applyBorder="1" applyAlignment="1">
      <alignment/>
    </xf>
    <xf numFmtId="10" fontId="9" fillId="0" borderId="10" xfId="21" applyNumberFormat="1" applyFont="1" applyFill="1" applyBorder="1" applyAlignment="1">
      <alignment/>
    </xf>
    <xf numFmtId="6" fontId="9" fillId="0" borderId="5" xfId="0" applyNumberFormat="1" applyFont="1" applyFill="1" applyBorder="1" applyAlignment="1">
      <alignment horizontal="right"/>
    </xf>
    <xf numFmtId="6" fontId="2" fillId="0" borderId="4" xfId="0" applyNumberFormat="1" applyFont="1" applyFill="1" applyBorder="1" applyAlignment="1">
      <alignment/>
    </xf>
    <xf numFmtId="6" fontId="9" fillId="0" borderId="11" xfId="0" applyNumberFormat="1" applyFont="1" applyFill="1" applyBorder="1" applyAlignment="1">
      <alignment/>
    </xf>
    <xf numFmtId="6" fontId="9" fillId="0" borderId="12" xfId="0" applyNumberFormat="1" applyFont="1" applyFill="1" applyBorder="1" applyAlignment="1">
      <alignment/>
    </xf>
    <xf numFmtId="10" fontId="9" fillId="0" borderId="13" xfId="21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 horizontal="left"/>
    </xf>
    <xf numFmtId="6" fontId="2" fillId="0" borderId="6" xfId="0" applyNumberFormat="1" applyFont="1" applyFill="1" applyBorder="1" applyAlignment="1">
      <alignment/>
    </xf>
    <xf numFmtId="6" fontId="2" fillId="0" borderId="14" xfId="0" applyNumberFormat="1" applyFont="1" applyFill="1" applyBorder="1" applyAlignment="1">
      <alignment/>
    </xf>
    <xf numFmtId="6" fontId="7" fillId="0" borderId="6" xfId="0" applyNumberFormat="1" applyFont="1" applyFill="1" applyBorder="1" applyAlignment="1">
      <alignment/>
    </xf>
    <xf numFmtId="6" fontId="9" fillId="0" borderId="6" xfId="0" applyNumberFormat="1" applyFont="1" applyFill="1" applyBorder="1" applyAlignment="1">
      <alignment horizontal="center"/>
    </xf>
    <xf numFmtId="6" fontId="0" fillId="0" borderId="6" xfId="0" applyNumberFormat="1" applyFont="1" applyFill="1" applyBorder="1" applyAlignment="1">
      <alignment/>
    </xf>
    <xf numFmtId="6" fontId="9" fillId="0" borderId="15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left"/>
    </xf>
    <xf numFmtId="6" fontId="9" fillId="0" borderId="16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2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6" fontId="9" fillId="0" borderId="3" xfId="0" applyNumberFormat="1" applyFont="1" applyFill="1" applyBorder="1" applyAlignment="1">
      <alignment horizontal="right"/>
    </xf>
    <xf numFmtId="6" fontId="2" fillId="0" borderId="13" xfId="0" applyNumberFormat="1" applyFont="1" applyFill="1" applyBorder="1" applyAlignment="1">
      <alignment/>
    </xf>
    <xf numFmtId="6" fontId="9" fillId="0" borderId="19" xfId="0" applyNumberFormat="1" applyFont="1" applyFill="1" applyBorder="1" applyAlignment="1">
      <alignment horizontal="right"/>
    </xf>
    <xf numFmtId="6" fontId="7" fillId="0" borderId="0" xfId="0" applyNumberFormat="1" applyFont="1" applyFill="1" applyBorder="1" applyAlignment="1">
      <alignment/>
    </xf>
    <xf numFmtId="6" fontId="9" fillId="0" borderId="0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left"/>
    </xf>
    <xf numFmtId="6" fontId="9" fillId="0" borderId="13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6" fontId="2" fillId="0" borderId="0" xfId="0" applyNumberFormat="1" applyFont="1" applyFill="1" applyAlignment="1">
      <alignment/>
    </xf>
    <xf numFmtId="6" fontId="9" fillId="0" borderId="6" xfId="0" applyNumberFormat="1" applyFont="1" applyFill="1" applyBorder="1" applyAlignment="1">
      <alignment horizontal="left"/>
    </xf>
    <xf numFmtId="6" fontId="1" fillId="0" borderId="5" xfId="0" applyNumberFormat="1" applyFont="1" applyFill="1" applyBorder="1" applyAlignment="1">
      <alignment horizontal="center"/>
    </xf>
    <xf numFmtId="6" fontId="1" fillId="0" borderId="5" xfId="0" applyNumberFormat="1" applyFont="1" applyFill="1" applyBorder="1" applyAlignment="1">
      <alignment/>
    </xf>
    <xf numFmtId="6" fontId="1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6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6" fontId="9" fillId="0" borderId="0" xfId="0" applyNumberFormat="1" applyFont="1" applyFill="1" applyBorder="1" applyAlignment="1">
      <alignment horizontal="left"/>
    </xf>
    <xf numFmtId="171" fontId="9" fillId="0" borderId="17" xfId="17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6" fontId="4" fillId="0" borderId="13" xfId="0" applyNumberFormat="1" applyFont="1" applyFill="1" applyBorder="1" applyAlignment="1">
      <alignment/>
    </xf>
    <xf numFmtId="6" fontId="3" fillId="0" borderId="13" xfId="0" applyNumberFormat="1" applyFont="1" applyFill="1" applyBorder="1" applyAlignment="1">
      <alignment/>
    </xf>
    <xf numFmtId="6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6" fontId="9" fillId="0" borderId="6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6" fontId="1" fillId="0" borderId="2" xfId="0" applyNumberFormat="1" applyFont="1" applyFill="1" applyBorder="1" applyAlignment="1">
      <alignment horizontal="center"/>
    </xf>
    <xf numFmtId="6" fontId="1" fillId="0" borderId="2" xfId="0" applyNumberFormat="1" applyFont="1" applyFill="1" applyBorder="1" applyAlignment="1">
      <alignment/>
    </xf>
    <xf numFmtId="6" fontId="1" fillId="0" borderId="20" xfId="0" applyNumberFormat="1" applyFont="1" applyFill="1" applyBorder="1" applyAlignment="1">
      <alignment/>
    </xf>
    <xf numFmtId="6" fontId="1" fillId="0" borderId="23" xfId="0" applyNumberFormat="1" applyFont="1" applyFill="1" applyBorder="1" applyAlignment="1">
      <alignment/>
    </xf>
    <xf numFmtId="6" fontId="9" fillId="0" borderId="0" xfId="0" applyNumberFormat="1" applyFont="1" applyFill="1" applyAlignment="1">
      <alignment/>
    </xf>
    <xf numFmtId="6" fontId="9" fillId="0" borderId="24" xfId="0" applyNumberFormat="1" applyFont="1" applyFill="1" applyBorder="1" applyAlignment="1">
      <alignment/>
    </xf>
    <xf numFmtId="6" fontId="9" fillId="0" borderId="25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13" fillId="0" borderId="18" xfId="0" applyFont="1" applyBorder="1" applyAlignment="1">
      <alignment/>
    </xf>
    <xf numFmtId="171" fontId="9" fillId="0" borderId="0" xfId="17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6" fontId="0" fillId="0" borderId="1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164" fontId="8" fillId="0" borderId="0" xfId="0" applyNumberFormat="1" applyFont="1" applyFill="1" applyAlignment="1">
      <alignment horizontal="left" vertical="center"/>
    </xf>
    <xf numFmtId="6" fontId="4" fillId="0" borderId="29" xfId="0" applyNumberFormat="1" applyFont="1" applyFill="1" applyBorder="1" applyAlignment="1">
      <alignment/>
    </xf>
    <xf numFmtId="6" fontId="9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6" fontId="9" fillId="0" borderId="20" xfId="0" applyNumberFormat="1" applyFont="1" applyFill="1" applyBorder="1" applyAlignment="1">
      <alignment/>
    </xf>
    <xf numFmtId="6" fontId="9" fillId="0" borderId="23" xfId="0" applyNumberFormat="1" applyFont="1" applyFill="1" applyBorder="1" applyAlignment="1">
      <alignment/>
    </xf>
    <xf numFmtId="6" fontId="3" fillId="0" borderId="26" xfId="0" applyNumberFormat="1" applyFont="1" applyFill="1" applyBorder="1" applyAlignment="1">
      <alignment/>
    </xf>
    <xf numFmtId="6" fontId="3" fillId="0" borderId="27" xfId="0" applyNumberFormat="1" applyFont="1" applyFill="1" applyBorder="1" applyAlignment="1">
      <alignment/>
    </xf>
    <xf numFmtId="6" fontId="5" fillId="0" borderId="27" xfId="0" applyNumberFormat="1" applyFont="1" applyFill="1" applyBorder="1" applyAlignment="1">
      <alignment/>
    </xf>
    <xf numFmtId="6" fontId="5" fillId="0" borderId="27" xfId="0" applyNumberFormat="1" applyFont="1" applyFill="1" applyBorder="1" applyAlignment="1">
      <alignment horizontal="right"/>
    </xf>
    <xf numFmtId="6" fontId="5" fillId="0" borderId="28" xfId="0" applyNumberFormat="1" applyFont="1" applyFill="1" applyBorder="1" applyAlignment="1">
      <alignment/>
    </xf>
    <xf numFmtId="6" fontId="12" fillId="0" borderId="12" xfId="0" applyNumberFormat="1" applyFont="1" applyFill="1" applyBorder="1" applyAlignment="1">
      <alignment horizontal="center" wrapText="1"/>
    </xf>
    <xf numFmtId="6" fontId="2" fillId="2" borderId="30" xfId="0" applyNumberFormat="1" applyFont="1" applyFill="1" applyBorder="1" applyAlignment="1">
      <alignment horizontal="center" wrapText="1"/>
    </xf>
    <xf numFmtId="6" fontId="12" fillId="3" borderId="12" xfId="0" applyNumberFormat="1" applyFont="1" applyFill="1" applyBorder="1" applyAlignment="1">
      <alignment horizontal="center" wrapText="1"/>
    </xf>
    <xf numFmtId="6" fontId="14" fillId="0" borderId="0" xfId="0" applyNumberFormat="1" applyFont="1" applyFill="1" applyBorder="1" applyAlignment="1">
      <alignment/>
    </xf>
    <xf numFmtId="6" fontId="15" fillId="0" borderId="0" xfId="0" applyNumberFormat="1" applyFont="1" applyFill="1" applyAlignment="1">
      <alignment/>
    </xf>
    <xf numFmtId="6" fontId="2" fillId="0" borderId="30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/>
    </xf>
    <xf numFmtId="6" fontId="9" fillId="0" borderId="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6" fontId="14" fillId="0" borderId="13" xfId="0" applyNumberFormat="1" applyFont="1" applyFill="1" applyBorder="1" applyAlignment="1">
      <alignment/>
    </xf>
    <xf numFmtId="6" fontId="9" fillId="0" borderId="6" xfId="0" applyNumberFormat="1" applyFont="1" applyFill="1" applyBorder="1" applyAlignment="1">
      <alignment wrapText="1"/>
    </xf>
    <xf numFmtId="6" fontId="16" fillId="0" borderId="0" xfId="0" applyNumberFormat="1" applyFont="1" applyFill="1" applyBorder="1" applyAlignment="1">
      <alignment/>
    </xf>
    <xf numFmtId="6" fontId="16" fillId="0" borderId="1" xfId="0" applyNumberFormat="1" applyFont="1" applyFill="1" applyBorder="1" applyAlignment="1">
      <alignment horizontal="right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171" fontId="18" fillId="0" borderId="1" xfId="0" applyNumberFormat="1" applyFont="1" applyBorder="1" applyAlignment="1">
      <alignment horizontal="right" vertical="center" wrapText="1"/>
    </xf>
    <xf numFmtId="171" fontId="18" fillId="0" borderId="9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71" fontId="17" fillId="0" borderId="1" xfId="0" applyNumberFormat="1" applyFont="1" applyFill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 wrapText="1"/>
    </xf>
    <xf numFmtId="171" fontId="18" fillId="0" borderId="1" xfId="0" applyNumberFormat="1" applyFont="1" applyFill="1" applyBorder="1" applyAlignment="1">
      <alignment horizontal="right" vertical="center" wrapText="1"/>
    </xf>
    <xf numFmtId="5" fontId="17" fillId="0" borderId="4" xfId="0" applyNumberFormat="1" applyFont="1" applyFill="1" applyBorder="1" applyAlignment="1">
      <alignment horizontal="right" vertical="center" wrapText="1"/>
    </xf>
    <xf numFmtId="6" fontId="17" fillId="0" borderId="0" xfId="0" applyNumberFormat="1" applyFont="1" applyFill="1" applyBorder="1" applyAlignment="1">
      <alignment/>
    </xf>
    <xf numFmtId="6" fontId="17" fillId="0" borderId="1" xfId="0" applyNumberFormat="1" applyFont="1" applyFill="1" applyBorder="1" applyAlignment="1">
      <alignment horizontal="right"/>
    </xf>
    <xf numFmtId="6" fontId="17" fillId="0" borderId="0" xfId="0" applyNumberFormat="1" applyFont="1" applyFill="1" applyBorder="1" applyAlignment="1">
      <alignment horizontal="left" wrapText="1"/>
    </xf>
    <xf numFmtId="6" fontId="17" fillId="0" borderId="1" xfId="0" applyNumberFormat="1" applyFont="1" applyFill="1" applyBorder="1" applyAlignment="1">
      <alignment horizontal="right" vertical="center"/>
    </xf>
    <xf numFmtId="6" fontId="18" fillId="0" borderId="0" xfId="0" applyNumberFormat="1" applyFont="1" applyFill="1" applyBorder="1" applyAlignment="1">
      <alignment horizontal="center"/>
    </xf>
    <xf numFmtId="6" fontId="18" fillId="0" borderId="5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Border="1" applyAlignment="1">
      <alignment horizontal="center" vertical="center" wrapText="1"/>
    </xf>
    <xf numFmtId="171" fontId="17" fillId="0" borderId="1" xfId="0" applyNumberFormat="1" applyFont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1" fontId="17" fillId="0" borderId="4" xfId="0" applyNumberFormat="1" applyFont="1" applyFill="1" applyBorder="1" applyAlignment="1">
      <alignment horizontal="right" vertical="center" wrapText="1"/>
    </xf>
    <xf numFmtId="6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6" fontId="17" fillId="0" borderId="1" xfId="0" applyNumberFormat="1" applyFont="1" applyFill="1" applyBorder="1" applyAlignment="1">
      <alignment/>
    </xf>
    <xf numFmtId="0" fontId="18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1" fontId="18" fillId="0" borderId="7" xfId="0" applyNumberFormat="1" applyFont="1" applyFill="1" applyBorder="1" applyAlignment="1">
      <alignment horizontal="right" vertical="center" wrapText="1"/>
    </xf>
    <xf numFmtId="10" fontId="18" fillId="0" borderId="10" xfId="21" applyNumberFormat="1" applyFont="1" applyFill="1" applyBorder="1" applyAlignment="1">
      <alignment/>
    </xf>
    <xf numFmtId="10" fontId="18" fillId="0" borderId="4" xfId="21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171" fontId="23" fillId="0" borderId="0" xfId="0" applyNumberFormat="1" applyFont="1" applyBorder="1" applyAlignment="1">
      <alignment horizontal="right" vertical="center" wrapText="1"/>
    </xf>
    <xf numFmtId="174" fontId="23" fillId="0" borderId="0" xfId="17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171" fontId="37" fillId="0" borderId="0" xfId="0" applyNumberFormat="1" applyFont="1" applyFill="1" applyBorder="1" applyAlignment="1">
      <alignment horizontal="right" vertical="center" wrapText="1"/>
    </xf>
    <xf numFmtId="171" fontId="37" fillId="0" borderId="1" xfId="0" applyNumberFormat="1" applyFont="1" applyFill="1" applyBorder="1" applyAlignment="1">
      <alignment horizontal="righ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5" fontId="38" fillId="0" borderId="0" xfId="0" applyNumberFormat="1" applyFont="1" applyFill="1" applyBorder="1" applyAlignment="1">
      <alignment horizontal="right" vertical="center" wrapText="1"/>
    </xf>
    <xf numFmtId="5" fontId="38" fillId="0" borderId="1" xfId="0" applyNumberFormat="1" applyFont="1" applyFill="1" applyBorder="1" applyAlignment="1">
      <alignment horizontal="right" vertical="center" wrapText="1"/>
    </xf>
    <xf numFmtId="171" fontId="30" fillId="0" borderId="3" xfId="0" applyNumberFormat="1" applyFont="1" applyFill="1" applyBorder="1" applyAlignment="1">
      <alignment horizontal="right" vertical="center" wrapText="1"/>
    </xf>
    <xf numFmtId="171" fontId="30" fillId="0" borderId="4" xfId="0" applyNumberFormat="1" applyFont="1" applyFill="1" applyBorder="1" applyAlignment="1">
      <alignment horizontal="right" vertical="center" wrapText="1"/>
    </xf>
    <xf numFmtId="171" fontId="30" fillId="0" borderId="1" xfId="0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6" fontId="37" fillId="0" borderId="0" xfId="0" applyNumberFormat="1" applyFont="1" applyFill="1" applyBorder="1" applyAlignment="1">
      <alignment/>
    </xf>
    <xf numFmtId="6" fontId="37" fillId="0" borderId="0" xfId="0" applyNumberFormat="1" applyFont="1" applyFill="1" applyBorder="1" applyAlignment="1">
      <alignment horizontal="right"/>
    </xf>
    <xf numFmtId="6" fontId="37" fillId="0" borderId="1" xfId="0" applyNumberFormat="1" applyFont="1" applyFill="1" applyBorder="1" applyAlignment="1">
      <alignment horizontal="right"/>
    </xf>
    <xf numFmtId="0" fontId="30" fillId="0" borderId="6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1" xfId="0" applyFont="1" applyBorder="1" applyAlignment="1">
      <alignment horizontal="right" vertical="center" wrapText="1"/>
    </xf>
    <xf numFmtId="6" fontId="30" fillId="0" borderId="0" xfId="0" applyNumberFormat="1" applyFont="1" applyBorder="1" applyAlignment="1">
      <alignment vertical="center" wrapText="1"/>
    </xf>
    <xf numFmtId="6" fontId="30" fillId="0" borderId="1" xfId="0" applyNumberFormat="1" applyFont="1" applyBorder="1" applyAlignment="1">
      <alignment vertical="center" wrapText="1"/>
    </xf>
    <xf numFmtId="171" fontId="30" fillId="0" borderId="0" xfId="0" applyNumberFormat="1" applyFont="1" applyBorder="1" applyAlignment="1">
      <alignment horizontal="right" vertical="center" wrapText="1"/>
    </xf>
    <xf numFmtId="171" fontId="30" fillId="0" borderId="1" xfId="0" applyNumberFormat="1" applyFont="1" applyBorder="1" applyAlignment="1">
      <alignment horizontal="right" vertical="center" wrapText="1"/>
    </xf>
    <xf numFmtId="0" fontId="37" fillId="0" borderId="20" xfId="0" applyFont="1" applyBorder="1" applyAlignment="1">
      <alignment horizontal="right" vertical="center" wrapText="1"/>
    </xf>
    <xf numFmtId="0" fontId="37" fillId="0" borderId="24" xfId="0" applyFont="1" applyBorder="1" applyAlignment="1">
      <alignment horizontal="right" vertical="center" wrapText="1"/>
    </xf>
    <xf numFmtId="171" fontId="30" fillId="0" borderId="11" xfId="0" applyNumberFormat="1" applyFont="1" applyFill="1" applyBorder="1" applyAlignment="1">
      <alignment horizontal="right" vertical="center" wrapText="1"/>
    </xf>
    <xf numFmtId="171" fontId="30" fillId="0" borderId="12" xfId="0" applyNumberFormat="1" applyFont="1" applyBorder="1" applyAlignment="1">
      <alignment horizontal="right" vertical="center" wrapText="1"/>
    </xf>
    <xf numFmtId="171" fontId="30" fillId="0" borderId="9" xfId="0" applyNumberFormat="1" applyFont="1" applyBorder="1" applyAlignment="1">
      <alignment horizontal="right" vertical="center" wrapText="1"/>
    </xf>
    <xf numFmtId="10" fontId="30" fillId="0" borderId="13" xfId="21" applyNumberFormat="1" applyFont="1" applyFill="1" applyBorder="1" applyAlignment="1">
      <alignment/>
    </xf>
    <xf numFmtId="10" fontId="30" fillId="0" borderId="10" xfId="21" applyNumberFormat="1" applyFont="1" applyFill="1" applyBorder="1" applyAlignment="1">
      <alignment/>
    </xf>
    <xf numFmtId="0" fontId="30" fillId="0" borderId="0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10" fontId="30" fillId="0" borderId="3" xfId="21" applyNumberFormat="1" applyFont="1" applyFill="1" applyBorder="1" applyAlignment="1">
      <alignment/>
    </xf>
    <xf numFmtId="10" fontId="30" fillId="0" borderId="4" xfId="21" applyNumberFormat="1" applyFont="1" applyFill="1" applyBorder="1" applyAlignment="1">
      <alignment/>
    </xf>
    <xf numFmtId="0" fontId="37" fillId="0" borderId="0" xfId="0" applyFont="1" applyBorder="1" applyAlignment="1">
      <alignment horizontal="right" vertical="center" wrapText="1"/>
    </xf>
    <xf numFmtId="6" fontId="34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6" fontId="30" fillId="0" borderId="17" xfId="0" applyNumberFormat="1" applyFont="1" applyFill="1" applyBorder="1" applyAlignment="1">
      <alignment horizontal="center"/>
    </xf>
    <xf numFmtId="6" fontId="30" fillId="0" borderId="17" xfId="0" applyNumberFormat="1" applyFont="1" applyFill="1" applyBorder="1" applyAlignment="1">
      <alignment horizontal="right"/>
    </xf>
    <xf numFmtId="6" fontId="30" fillId="0" borderId="30" xfId="0" applyNumberFormat="1" applyFont="1" applyFill="1" applyBorder="1" applyAlignment="1">
      <alignment horizontal="right"/>
    </xf>
    <xf numFmtId="0" fontId="37" fillId="0" borderId="3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6" fontId="30" fillId="0" borderId="17" xfId="0" applyNumberFormat="1" applyFont="1" applyBorder="1" applyAlignment="1">
      <alignment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6" fontId="30" fillId="0" borderId="30" xfId="0" applyNumberFormat="1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textRotation="255" wrapText="1"/>
    </xf>
    <xf numFmtId="0" fontId="30" fillId="0" borderId="2" xfId="0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 wrapText="1"/>
    </xf>
    <xf numFmtId="171" fontId="30" fillId="0" borderId="7" xfId="0" applyNumberFormat="1" applyFont="1" applyFill="1" applyBorder="1" applyAlignment="1">
      <alignment horizontal="righ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6" fontId="37" fillId="0" borderId="1" xfId="0" applyNumberFormat="1" applyFont="1" applyFill="1" applyBorder="1" applyAlignment="1">
      <alignment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6" fillId="0" borderId="6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71" fontId="37" fillId="0" borderId="4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6" fontId="38" fillId="0" borderId="1" xfId="0" applyNumberFormat="1" applyFont="1" applyFill="1" applyBorder="1" applyAlignment="1">
      <alignment horizontal="right"/>
    </xf>
    <xf numFmtId="6" fontId="38" fillId="0" borderId="0" xfId="0" applyNumberFormat="1" applyFont="1" applyFill="1" applyBorder="1" applyAlignment="1">
      <alignment horizontal="right"/>
    </xf>
    <xf numFmtId="6" fontId="38" fillId="0" borderId="0" xfId="0" applyNumberFormat="1" applyFont="1" applyBorder="1" applyAlignment="1">
      <alignment vertical="center" wrapText="1"/>
    </xf>
    <xf numFmtId="6" fontId="31" fillId="0" borderId="0" xfId="0" applyNumberFormat="1" applyFont="1" applyBorder="1" applyAlignment="1">
      <alignment horizontal="right" vertical="center" wrapText="1"/>
    </xf>
    <xf numFmtId="6" fontId="30" fillId="0" borderId="7" xfId="0" applyNumberFormat="1" applyFont="1" applyFill="1" applyBorder="1" applyAlignment="1">
      <alignment horizontal="right"/>
    </xf>
    <xf numFmtId="0" fontId="30" fillId="0" borderId="3" xfId="0" applyFont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5" fontId="37" fillId="0" borderId="1" xfId="0" applyNumberFormat="1" applyFont="1" applyFill="1" applyBorder="1" applyAlignment="1">
      <alignment horizontal="right" vertical="center" wrapText="1"/>
    </xf>
    <xf numFmtId="171" fontId="37" fillId="0" borderId="5" xfId="0" applyNumberFormat="1" applyFont="1" applyFill="1" applyBorder="1" applyAlignment="1">
      <alignment horizontal="right" vertical="center" wrapText="1"/>
    </xf>
    <xf numFmtId="171" fontId="30" fillId="0" borderId="0" xfId="0" applyNumberFormat="1" applyFont="1" applyFill="1" applyBorder="1" applyAlignment="1">
      <alignment horizontal="right" vertical="center" wrapText="1"/>
    </xf>
    <xf numFmtId="6" fontId="30" fillId="0" borderId="9" xfId="0" applyNumberFormat="1" applyFont="1" applyFill="1" applyBorder="1" applyAlignment="1">
      <alignment horizontal="right"/>
    </xf>
    <xf numFmtId="6" fontId="44" fillId="0" borderId="26" xfId="0" applyNumberFormat="1" applyFont="1" applyFill="1" applyBorder="1" applyAlignment="1">
      <alignment horizontal="right"/>
    </xf>
    <xf numFmtId="171" fontId="44" fillId="0" borderId="32" xfId="0" applyNumberFormat="1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171" fontId="44" fillId="0" borderId="27" xfId="0" applyNumberFormat="1" applyFont="1" applyFill="1" applyBorder="1" applyAlignment="1">
      <alignment horizontal="right" vertical="center" wrapText="1"/>
    </xf>
    <xf numFmtId="171" fontId="44" fillId="0" borderId="33" xfId="0" applyNumberFormat="1" applyFont="1" applyFill="1" applyBorder="1" applyAlignment="1">
      <alignment horizontal="righ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171" fontId="46" fillId="0" borderId="28" xfId="0" applyNumberFormat="1" applyFont="1" applyFill="1" applyBorder="1" applyAlignment="1">
      <alignment horizontal="right" vertical="center" wrapText="1"/>
    </xf>
    <xf numFmtId="10" fontId="30" fillId="0" borderId="0" xfId="21" applyNumberFormat="1" applyFont="1" applyFill="1" applyBorder="1" applyAlignment="1">
      <alignment/>
    </xf>
    <xf numFmtId="0" fontId="31" fillId="0" borderId="14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6" fontId="30" fillId="0" borderId="0" xfId="0" applyNumberFormat="1" applyFont="1" applyFill="1" applyBorder="1" applyAlignment="1">
      <alignment horizontal="right"/>
    </xf>
    <xf numFmtId="6" fontId="44" fillId="0" borderId="0" xfId="0" applyNumberFormat="1" applyFont="1" applyFill="1" applyBorder="1" applyAlignment="1">
      <alignment horizontal="right"/>
    </xf>
    <xf numFmtId="171" fontId="44" fillId="0" borderId="0" xfId="0" applyNumberFormat="1" applyFont="1" applyFill="1" applyBorder="1" applyAlignment="1">
      <alignment horizontal="right" vertical="center" wrapText="1"/>
    </xf>
    <xf numFmtId="171" fontId="46" fillId="0" borderId="0" xfId="0" applyNumberFormat="1" applyFont="1" applyFill="1" applyBorder="1" applyAlignment="1">
      <alignment horizontal="right" vertical="center" wrapText="1"/>
    </xf>
    <xf numFmtId="171" fontId="30" fillId="0" borderId="6" xfId="0" applyNumberFormat="1" applyFont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 wrapText="1"/>
    </xf>
    <xf numFmtId="171" fontId="37" fillId="0" borderId="6" xfId="0" applyNumberFormat="1" applyFont="1" applyFill="1" applyBorder="1" applyAlignment="1">
      <alignment horizontal="right" vertical="center" wrapText="1"/>
    </xf>
    <xf numFmtId="5" fontId="38" fillId="0" borderId="6" xfId="0" applyNumberFormat="1" applyFont="1" applyFill="1" applyBorder="1" applyAlignment="1">
      <alignment horizontal="right" vertical="center" wrapText="1"/>
    </xf>
    <xf numFmtId="171" fontId="30" fillId="0" borderId="6" xfId="0" applyNumberFormat="1" applyFont="1" applyFill="1" applyBorder="1" applyAlignment="1">
      <alignment horizontal="right" vertical="center" wrapText="1"/>
    </xf>
    <xf numFmtId="0" fontId="30" fillId="0" borderId="6" xfId="0" applyFont="1" applyFill="1" applyBorder="1" applyAlignment="1">
      <alignment horizontal="right" vertical="center" wrapText="1"/>
    </xf>
    <xf numFmtId="6" fontId="37" fillId="0" borderId="6" xfId="0" applyNumberFormat="1" applyFont="1" applyFill="1" applyBorder="1" applyAlignment="1">
      <alignment horizontal="right"/>
    </xf>
    <xf numFmtId="6" fontId="30" fillId="0" borderId="6" xfId="0" applyNumberFormat="1" applyFont="1" applyBorder="1" applyAlignment="1">
      <alignment vertical="center" wrapText="1"/>
    </xf>
    <xf numFmtId="0" fontId="31" fillId="0" borderId="6" xfId="0" applyFont="1" applyBorder="1" applyAlignment="1">
      <alignment horizontal="right" vertical="center" wrapText="1"/>
    </xf>
    <xf numFmtId="6" fontId="30" fillId="0" borderId="6" xfId="0" applyNumberFormat="1" applyFont="1" applyFill="1" applyBorder="1" applyAlignment="1">
      <alignment horizontal="right"/>
    </xf>
    <xf numFmtId="0" fontId="37" fillId="0" borderId="6" xfId="0" applyFont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167" fontId="4" fillId="2" borderId="12" xfId="0" applyNumberFormat="1" applyFont="1" applyFill="1" applyBorder="1" applyAlignment="1">
      <alignment horizontal="center" wrapText="1"/>
    </xf>
    <xf numFmtId="167" fontId="4" fillId="2" borderId="0" xfId="0" applyNumberFormat="1" applyFont="1" applyFill="1" applyBorder="1" applyAlignment="1">
      <alignment horizontal="center" wrapText="1"/>
    </xf>
    <xf numFmtId="167" fontId="4" fillId="0" borderId="12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6" fontId="37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6" fontId="37" fillId="0" borderId="0" xfId="0" applyNumberFormat="1" applyFont="1" applyFill="1" applyBorder="1" applyAlignment="1">
      <alignment wrapText="1"/>
    </xf>
    <xf numFmtId="6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6" fontId="37" fillId="0" borderId="0" xfId="0" applyNumberFormat="1" applyFont="1" applyFill="1" applyBorder="1" applyAlignment="1">
      <alignment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4</xdr:col>
      <xdr:colOff>1152525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934075" y="0"/>
          <a:ext cx="1123950" cy="8572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DRAFT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49</xdr:row>
      <xdr:rowOff>57150</xdr:rowOff>
    </xdr:from>
    <xdr:to>
      <xdr:col>6</xdr:col>
      <xdr:colOff>9525</xdr:colOff>
      <xdr:row>58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048500" y="10020300"/>
          <a:ext cx="120015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Funds per FTE:
2008-09 - $11,372
2007-08 - $10,883
  (after cuts)
2006-07 - $11,433
1999-00 - $12,348
1989-00 - $14,039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123825</xdr:rowOff>
    </xdr:from>
    <xdr:to>
      <xdr:col>3</xdr:col>
      <xdr:colOff>1066800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733425" y="123825"/>
          <a:ext cx="1123950" cy="8763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DRAFT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BOG\2007%20Legislative%20Budget%20Request\2006-06-27%20LBR-University%20Priority%20Issues%20(Tim's%20Master%20Updat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BOG\2008%20Legislative%20Budget%20Request\LBR%20by%20category%207-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udget\Working\LBR\0809lbr\UNIV%20FUNDING%20MODEL%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v Priorities - Master (5%)"/>
      <sheetName val="Univ Priorities - Master"/>
      <sheetName val="Sorted by Goal"/>
    </sheetNames>
    <sheetDataSet>
      <sheetData sheetId="1">
        <row r="176">
          <cell r="G176">
            <v>536391697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7-08 Univ1"/>
      <sheetName val="07-08 Univ2"/>
      <sheetName val="07-08 Sp Units &amp; Others"/>
    </sheetNames>
    <sheetDataSet>
      <sheetData sheetId="0">
        <row r="37">
          <cell r="J37">
            <v>179689982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oc"/>
      <sheetName val="alloc book"/>
      <sheetName val="summary by univ"/>
      <sheetName val="FTE"/>
      <sheetName val="dollars"/>
      <sheetName val="Sheet4"/>
      <sheetName val="Sheet2"/>
      <sheetName val="alloc doc"/>
      <sheetName val="inflationary inc"/>
      <sheetName val="Salaries"/>
      <sheetName val="Student Services"/>
      <sheetName val="Other areas"/>
      <sheetName val="Other areas fac-ga-fa"/>
      <sheetName val="Stu Fin Aid"/>
      <sheetName val="technology"/>
      <sheetName val="Branches"/>
      <sheetName val="ifas workload"/>
      <sheetName val="Remedial"/>
      <sheetName val="Doctoral Degrees"/>
    </sheetNames>
    <sheetDataSet>
      <sheetData sheetId="4">
        <row r="66">
          <cell r="P66">
            <v>1188191</v>
          </cell>
        </row>
        <row r="68">
          <cell r="P68">
            <v>440866</v>
          </cell>
        </row>
        <row r="70">
          <cell r="P70">
            <v>469271</v>
          </cell>
        </row>
        <row r="74">
          <cell r="P74">
            <v>22020209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"/>
    </sheetView>
  </sheetViews>
  <sheetFormatPr defaultColWidth="10.7109375" defaultRowHeight="12.75"/>
  <cols>
    <col min="1" max="1" width="4.00390625" style="9" customWidth="1"/>
    <col min="2" max="2" width="86.57421875" style="15" customWidth="1"/>
    <col min="3" max="3" width="23.421875" style="15" customWidth="1"/>
    <col min="4" max="4" width="21.28125" style="15" hidden="1" customWidth="1"/>
    <col min="5" max="5" width="21.00390625" style="15" hidden="1" customWidth="1"/>
    <col min="6" max="6" width="21.7109375" style="15" hidden="1" customWidth="1"/>
    <col min="7" max="7" width="21.00390625" style="15" hidden="1" customWidth="1"/>
    <col min="8" max="8" width="21.00390625" style="15" customWidth="1"/>
    <col min="9" max="16384" width="10.7109375" style="15" customWidth="1"/>
  </cols>
  <sheetData>
    <row r="1" spans="1:7" s="2" customFormat="1" ht="15.75">
      <c r="A1" s="1"/>
      <c r="B1" s="336" t="s">
        <v>0</v>
      </c>
      <c r="C1" s="336"/>
      <c r="D1" s="336"/>
      <c r="E1" s="336"/>
      <c r="F1" s="336"/>
      <c r="G1" s="336"/>
    </row>
    <row r="2" spans="1:7" s="2" customFormat="1" ht="15.75">
      <c r="A2" s="1"/>
      <c r="B2" s="336" t="s">
        <v>54</v>
      </c>
      <c r="C2" s="336"/>
      <c r="D2" s="336"/>
      <c r="E2" s="336"/>
      <c r="F2" s="336"/>
      <c r="G2" s="336"/>
    </row>
    <row r="3" spans="1:7" s="2" customFormat="1" ht="15.75">
      <c r="A3" s="1"/>
      <c r="B3" s="336" t="s">
        <v>1</v>
      </c>
      <c r="C3" s="336"/>
      <c r="D3" s="336"/>
      <c r="E3" s="336"/>
      <c r="F3" s="336"/>
      <c r="G3" s="336"/>
    </row>
    <row r="4" spans="1:7" s="2" customFormat="1" ht="15.75">
      <c r="A4" s="1"/>
      <c r="B4" s="336" t="s">
        <v>17</v>
      </c>
      <c r="C4" s="336"/>
      <c r="D4" s="336"/>
      <c r="E4" s="336"/>
      <c r="F4" s="336"/>
      <c r="G4" s="336"/>
    </row>
    <row r="5" spans="1:7" s="2" customFormat="1" ht="15.75">
      <c r="A5" s="1"/>
      <c r="B5" s="335">
        <v>38928</v>
      </c>
      <c r="C5" s="335"/>
      <c r="D5" s="335"/>
      <c r="E5" s="335"/>
      <c r="F5" s="335"/>
      <c r="G5" s="335"/>
    </row>
    <row r="6" spans="1:4" s="7" customFormat="1" ht="15">
      <c r="A6" s="3"/>
      <c r="B6" s="4"/>
      <c r="C6" s="5"/>
      <c r="D6" s="6"/>
    </row>
    <row r="7" spans="1:7" s="7" customFormat="1" ht="55.5" customHeight="1">
      <c r="A7" s="8"/>
      <c r="B7" s="105"/>
      <c r="C7" s="120" t="s">
        <v>53</v>
      </c>
      <c r="D7" s="48" t="s">
        <v>23</v>
      </c>
      <c r="E7" s="48" t="s">
        <v>43</v>
      </c>
      <c r="F7" s="48" t="s">
        <v>44</v>
      </c>
      <c r="G7" s="116" t="s">
        <v>51</v>
      </c>
    </row>
    <row r="8" spans="1:7" s="11" customFormat="1" ht="15.75">
      <c r="A8" s="9"/>
      <c r="B8" s="38"/>
      <c r="C8" s="121"/>
      <c r="D8" s="10"/>
      <c r="E8" s="83"/>
      <c r="F8" s="83"/>
      <c r="G8" s="63"/>
    </row>
    <row r="9" spans="1:7" ht="15.75">
      <c r="A9" s="12">
        <v>1</v>
      </c>
      <c r="B9" s="39" t="s">
        <v>55</v>
      </c>
      <c r="C9" s="14">
        <v>3355607511</v>
      </c>
      <c r="D9" s="13"/>
      <c r="E9" s="13"/>
      <c r="F9" s="13"/>
      <c r="G9" s="14"/>
    </row>
    <row r="10" spans="1:7" ht="10.5" customHeight="1">
      <c r="A10" s="12">
        <f>+A9+1</f>
        <v>2</v>
      </c>
      <c r="B10" s="27"/>
      <c r="C10" s="17"/>
      <c r="D10" s="16"/>
      <c r="E10" s="16"/>
      <c r="F10" s="16"/>
      <c r="G10" s="17"/>
    </row>
    <row r="11" spans="1:7" ht="15">
      <c r="A11" s="12">
        <f aca="true" t="shared" si="0" ref="A11:A105">+A10+1</f>
        <v>3</v>
      </c>
      <c r="B11" s="38" t="s">
        <v>56</v>
      </c>
      <c r="C11" s="17"/>
      <c r="D11" s="16"/>
      <c r="E11" s="16"/>
      <c r="F11" s="16"/>
      <c r="G11" s="17"/>
    </row>
    <row r="12" spans="1:7" ht="15">
      <c r="A12" s="12">
        <f t="shared" si="0"/>
        <v>4</v>
      </c>
      <c r="B12" s="27" t="s">
        <v>70</v>
      </c>
      <c r="C12" s="19"/>
      <c r="D12" s="18"/>
      <c r="E12" s="18"/>
      <c r="F12" s="18"/>
      <c r="G12" s="19"/>
    </row>
    <row r="13" spans="1:7" ht="15">
      <c r="A13" s="12">
        <f t="shared" si="0"/>
        <v>5</v>
      </c>
      <c r="B13" s="27" t="s">
        <v>71</v>
      </c>
      <c r="C13" s="19"/>
      <c r="D13" s="18"/>
      <c r="E13" s="18"/>
      <c r="F13" s="18"/>
      <c r="G13" s="19"/>
    </row>
    <row r="14" spans="1:7" ht="15">
      <c r="A14" s="12">
        <f t="shared" si="0"/>
        <v>6</v>
      </c>
      <c r="B14" s="27" t="s">
        <v>57</v>
      </c>
      <c r="C14" s="33">
        <f>SUM(C9:C13)</f>
        <v>3355607511</v>
      </c>
      <c r="D14" s="20">
        <f>SUM(D9:D13)</f>
        <v>0</v>
      </c>
      <c r="E14" s="20">
        <f>SUM(E9:E13)</f>
        <v>0</v>
      </c>
      <c r="F14" s="20">
        <f>SUM(F9:F13)</f>
        <v>0</v>
      </c>
      <c r="G14" s="33">
        <f>SUM(G9:G13)</f>
        <v>0</v>
      </c>
    </row>
    <row r="15" spans="1:7" ht="9.75" customHeight="1">
      <c r="A15" s="12">
        <f t="shared" si="0"/>
        <v>7</v>
      </c>
      <c r="B15" s="27"/>
      <c r="C15" s="17"/>
      <c r="D15" s="16"/>
      <c r="E15" s="16"/>
      <c r="F15" s="16"/>
      <c r="G15" s="17"/>
    </row>
    <row r="16" spans="1:7" ht="15">
      <c r="A16" s="12">
        <f t="shared" si="0"/>
        <v>8</v>
      </c>
      <c r="B16" s="27" t="s">
        <v>58</v>
      </c>
      <c r="C16" s="22">
        <v>-103750000</v>
      </c>
      <c r="D16" s="21">
        <v>-72000000</v>
      </c>
      <c r="E16" s="21"/>
      <c r="F16" s="21"/>
      <c r="G16" s="22"/>
    </row>
    <row r="17" spans="1:7" ht="15.75">
      <c r="A17" s="12">
        <f t="shared" si="0"/>
        <v>9</v>
      </c>
      <c r="B17" s="40" t="s">
        <v>59</v>
      </c>
      <c r="C17" s="34">
        <f>SUM(C14:C16)</f>
        <v>3251857511</v>
      </c>
      <c r="D17" s="23">
        <f>SUM(D14:D16)</f>
        <v>-72000000</v>
      </c>
      <c r="E17" s="23">
        <f>SUM(E14:E16)</f>
        <v>0</v>
      </c>
      <c r="F17" s="23">
        <f>SUM(F14:F16)</f>
        <v>0</v>
      </c>
      <c r="G17" s="34">
        <f>SUM(G14:G16)</f>
        <v>0</v>
      </c>
    </row>
    <row r="18" spans="1:7" ht="9" customHeight="1">
      <c r="A18" s="12">
        <f t="shared" si="0"/>
        <v>10</v>
      </c>
      <c r="B18" s="27"/>
      <c r="C18" s="17"/>
      <c r="D18" s="16"/>
      <c r="E18" s="84"/>
      <c r="F18" s="84"/>
      <c r="G18" s="64"/>
    </row>
    <row r="19" spans="1:7" ht="15">
      <c r="A19" s="12">
        <f t="shared" si="0"/>
        <v>11</v>
      </c>
      <c r="B19" s="41" t="s">
        <v>2</v>
      </c>
      <c r="C19" s="17"/>
      <c r="D19" s="16"/>
      <c r="E19" s="47"/>
      <c r="F19" s="47"/>
      <c r="G19" s="65"/>
    </row>
    <row r="20" spans="1:7" ht="15">
      <c r="A20" s="12">
        <f t="shared" si="0"/>
        <v>12</v>
      </c>
      <c r="B20" s="27" t="s">
        <v>72</v>
      </c>
      <c r="C20" s="19"/>
      <c r="D20" s="18">
        <v>6063958</v>
      </c>
      <c r="E20" s="18"/>
      <c r="F20" s="18"/>
      <c r="G20" s="19"/>
    </row>
    <row r="21" spans="1:7" ht="15">
      <c r="A21" s="12">
        <f t="shared" si="0"/>
        <v>13</v>
      </c>
      <c r="B21" s="27" t="s">
        <v>73</v>
      </c>
      <c r="C21" s="19"/>
      <c r="D21" s="18">
        <v>5651212</v>
      </c>
      <c r="E21" s="18"/>
      <c r="F21" s="18"/>
      <c r="G21" s="19"/>
    </row>
    <row r="22" spans="1:7" ht="15">
      <c r="A22" s="12">
        <f t="shared" si="0"/>
        <v>14</v>
      </c>
      <c r="B22" s="27" t="s">
        <v>60</v>
      </c>
      <c r="C22" s="17">
        <v>6485241</v>
      </c>
      <c r="D22" s="16">
        <v>6286768</v>
      </c>
      <c r="E22" s="16"/>
      <c r="F22" s="16"/>
      <c r="G22" s="17"/>
    </row>
    <row r="23" spans="1:7" ht="15">
      <c r="A23" s="12">
        <f t="shared" si="0"/>
        <v>15</v>
      </c>
      <c r="B23" s="27" t="s">
        <v>67</v>
      </c>
      <c r="C23" s="17">
        <v>10000000</v>
      </c>
      <c r="D23" s="16">
        <v>7170640</v>
      </c>
      <c r="E23" s="16"/>
      <c r="F23" s="16"/>
      <c r="G23" s="17"/>
    </row>
    <row r="24" spans="1:7" ht="15">
      <c r="A24" s="12">
        <f t="shared" si="0"/>
        <v>16</v>
      </c>
      <c r="B24" s="27" t="s">
        <v>3</v>
      </c>
      <c r="C24" s="17"/>
      <c r="D24" s="16">
        <v>0</v>
      </c>
      <c r="E24" s="16"/>
      <c r="F24" s="16"/>
      <c r="G24" s="17"/>
    </row>
    <row r="25" spans="1:7" ht="15">
      <c r="A25" s="12">
        <f t="shared" si="0"/>
        <v>17</v>
      </c>
      <c r="B25" s="27" t="s">
        <v>19</v>
      </c>
      <c r="C25" s="17"/>
      <c r="D25" s="16">
        <v>0</v>
      </c>
      <c r="E25" s="16"/>
      <c r="F25" s="16"/>
      <c r="G25" s="17"/>
    </row>
    <row r="26" spans="1:7" ht="15">
      <c r="A26" s="12">
        <f t="shared" si="0"/>
        <v>18</v>
      </c>
      <c r="B26" s="27" t="s">
        <v>61</v>
      </c>
      <c r="C26" s="17"/>
      <c r="D26" s="16">
        <v>5462398</v>
      </c>
      <c r="E26" s="16"/>
      <c r="F26" s="16"/>
      <c r="G26" s="17"/>
    </row>
    <row r="27" spans="1:7" ht="15">
      <c r="A27" s="12">
        <f t="shared" si="0"/>
        <v>19</v>
      </c>
      <c r="B27" s="27" t="s">
        <v>68</v>
      </c>
      <c r="C27" s="17">
        <v>5236285</v>
      </c>
      <c r="D27" s="16">
        <v>0</v>
      </c>
      <c r="E27" s="16"/>
      <c r="F27" s="16"/>
      <c r="G27" s="17"/>
    </row>
    <row r="28" spans="1:7" ht="15">
      <c r="A28" s="104">
        <f t="shared" si="0"/>
        <v>20</v>
      </c>
      <c r="B28" s="81" t="s">
        <v>78</v>
      </c>
      <c r="C28" s="122"/>
      <c r="D28" s="79">
        <v>0</v>
      </c>
      <c r="E28" s="79"/>
      <c r="F28" s="79"/>
      <c r="G28" s="17"/>
    </row>
    <row r="29" spans="1:7" ht="15">
      <c r="A29" s="12">
        <f t="shared" si="0"/>
        <v>21</v>
      </c>
      <c r="B29" s="27" t="s">
        <v>123</v>
      </c>
      <c r="C29" s="17">
        <v>2100000</v>
      </c>
      <c r="D29" s="16">
        <v>0</v>
      </c>
      <c r="E29" s="16"/>
      <c r="F29" s="16"/>
      <c r="G29" s="17"/>
    </row>
    <row r="30" spans="1:7" ht="15">
      <c r="A30" s="12">
        <f t="shared" si="0"/>
        <v>22</v>
      </c>
      <c r="B30" s="27"/>
      <c r="C30" s="17"/>
      <c r="D30" s="16">
        <v>-389175</v>
      </c>
      <c r="E30" s="16"/>
      <c r="F30" s="16"/>
      <c r="G30" s="17"/>
    </row>
    <row r="31" spans="1:7" ht="15">
      <c r="A31" s="12">
        <f t="shared" si="0"/>
        <v>23</v>
      </c>
      <c r="B31" s="27" t="s">
        <v>4</v>
      </c>
      <c r="C31" s="17">
        <v>1742853</v>
      </c>
      <c r="D31" s="16">
        <v>0</v>
      </c>
      <c r="E31" s="16"/>
      <c r="F31" s="16"/>
      <c r="G31" s="17"/>
    </row>
    <row r="32" spans="1:7" ht="15">
      <c r="A32" s="12">
        <f t="shared" si="0"/>
        <v>24</v>
      </c>
      <c r="B32" s="27"/>
      <c r="C32" s="17"/>
      <c r="D32" s="16">
        <v>0</v>
      </c>
      <c r="E32" s="16"/>
      <c r="F32" s="16"/>
      <c r="G32" s="17"/>
    </row>
    <row r="33" spans="1:7" ht="15">
      <c r="A33" s="12">
        <f t="shared" si="0"/>
        <v>25</v>
      </c>
      <c r="B33" s="27" t="s">
        <v>20</v>
      </c>
      <c r="C33" s="17"/>
      <c r="D33" s="16">
        <v>0</v>
      </c>
      <c r="E33" s="16"/>
      <c r="F33" s="16"/>
      <c r="G33" s="17"/>
    </row>
    <row r="34" spans="1:7" ht="15">
      <c r="A34" s="12">
        <f t="shared" si="0"/>
        <v>26</v>
      </c>
      <c r="B34" s="27"/>
      <c r="C34" s="17"/>
      <c r="D34" s="16">
        <v>18500000</v>
      </c>
      <c r="E34" s="16"/>
      <c r="F34" s="16"/>
      <c r="G34" s="17"/>
    </row>
    <row r="35" spans="1:7" ht="15">
      <c r="A35" s="12">
        <f t="shared" si="0"/>
        <v>27</v>
      </c>
      <c r="B35" s="27" t="s">
        <v>22</v>
      </c>
      <c r="C35" s="17"/>
      <c r="D35" s="16">
        <v>0</v>
      </c>
      <c r="E35" s="16"/>
      <c r="F35" s="16"/>
      <c r="G35" s="17"/>
    </row>
    <row r="36" spans="1:7" ht="15">
      <c r="A36" s="12">
        <f t="shared" si="0"/>
        <v>28</v>
      </c>
      <c r="B36" s="27" t="s">
        <v>18</v>
      </c>
      <c r="C36" s="17"/>
      <c r="D36" s="16">
        <v>1011460</v>
      </c>
      <c r="E36" s="16"/>
      <c r="F36" s="16"/>
      <c r="G36" s="17"/>
    </row>
    <row r="37" spans="1:7" s="26" customFormat="1" ht="15">
      <c r="A37" s="12">
        <f t="shared" si="0"/>
        <v>29</v>
      </c>
      <c r="B37" s="42" t="s">
        <v>5</v>
      </c>
      <c r="C37" s="25">
        <f>SUM(C20:C36)</f>
        <v>25564379</v>
      </c>
      <c r="D37" s="24">
        <f>SUM(D20:D36)</f>
        <v>49757261</v>
      </c>
      <c r="E37" s="24">
        <f>SUM(E20:E36)</f>
        <v>0</v>
      </c>
      <c r="F37" s="24">
        <f>SUM(F20:F36)</f>
        <v>0</v>
      </c>
      <c r="G37" s="25">
        <f>SUM(G20:G36)</f>
        <v>0</v>
      </c>
    </row>
    <row r="38" spans="1:7" ht="8.25" customHeight="1">
      <c r="A38" s="12">
        <f t="shared" si="0"/>
        <v>30</v>
      </c>
      <c r="B38" s="27"/>
      <c r="C38" s="17"/>
      <c r="D38" s="16"/>
      <c r="E38" s="47"/>
      <c r="F38" s="16"/>
      <c r="G38" s="17"/>
    </row>
    <row r="39" spans="1:7" ht="15">
      <c r="A39" s="12">
        <f t="shared" si="0"/>
        <v>31</v>
      </c>
      <c r="B39" s="41" t="s">
        <v>6</v>
      </c>
      <c r="C39" s="17"/>
      <c r="D39" s="16"/>
      <c r="E39" s="47"/>
      <c r="F39" s="16"/>
      <c r="G39" s="17"/>
    </row>
    <row r="40" spans="1:7" ht="15">
      <c r="A40" s="12">
        <f t="shared" si="0"/>
        <v>32</v>
      </c>
      <c r="B40" s="27" t="s">
        <v>69</v>
      </c>
      <c r="C40" s="17"/>
      <c r="D40" s="16">
        <v>113815731</v>
      </c>
      <c r="E40" s="16">
        <f>+E41+E42</f>
        <v>0</v>
      </c>
      <c r="F40" s="16">
        <f>+F41+F42</f>
        <v>0</v>
      </c>
      <c r="G40" s="17">
        <f>+G41+G42</f>
        <v>0</v>
      </c>
    </row>
    <row r="41" spans="1:7" ht="12.75">
      <c r="A41" s="12">
        <f t="shared" si="0"/>
        <v>33</v>
      </c>
      <c r="B41" s="43" t="s">
        <v>48</v>
      </c>
      <c r="C41" s="101"/>
      <c r="D41" s="28">
        <f>33460122+16800000</f>
        <v>50260122</v>
      </c>
      <c r="E41" s="28"/>
      <c r="F41" s="28"/>
      <c r="G41" s="101"/>
    </row>
    <row r="42" spans="1:7" ht="12.75">
      <c r="A42" s="12">
        <f t="shared" si="0"/>
        <v>34</v>
      </c>
      <c r="B42" s="43" t="s">
        <v>47</v>
      </c>
      <c r="C42" s="101"/>
      <c r="D42" s="28">
        <f>+C42</f>
        <v>0</v>
      </c>
      <c r="E42" s="28"/>
      <c r="F42" s="28"/>
      <c r="G42" s="101"/>
    </row>
    <row r="43" spans="1:7" ht="15">
      <c r="A43" s="12">
        <f t="shared" si="0"/>
        <v>35</v>
      </c>
      <c r="B43" s="27" t="s">
        <v>110</v>
      </c>
      <c r="C43" s="17">
        <f>5500000+9351890</f>
        <v>14851890</v>
      </c>
      <c r="D43" s="28"/>
      <c r="E43" s="28"/>
      <c r="F43" s="28"/>
      <c r="G43" s="101"/>
    </row>
    <row r="44" spans="1:7" ht="15">
      <c r="A44" s="12">
        <f t="shared" si="0"/>
        <v>36</v>
      </c>
      <c r="B44" s="27" t="s">
        <v>75</v>
      </c>
      <c r="C44" s="17"/>
      <c r="D44" s="16">
        <f>2299700+965723</f>
        <v>3265423</v>
      </c>
      <c r="E44" s="16"/>
      <c r="F44" s="16"/>
      <c r="G44" s="17"/>
    </row>
    <row r="45" spans="1:7" ht="15">
      <c r="A45" s="12">
        <f t="shared" si="0"/>
        <v>37</v>
      </c>
      <c r="B45" s="27" t="s">
        <v>76</v>
      </c>
      <c r="C45" s="17"/>
      <c r="D45" s="16">
        <f>1887500+733221</f>
        <v>2620721</v>
      </c>
      <c r="E45" s="16"/>
      <c r="F45" s="16"/>
      <c r="G45" s="17"/>
    </row>
    <row r="46" spans="1:7" ht="15">
      <c r="A46" s="12">
        <f t="shared" si="0"/>
        <v>38</v>
      </c>
      <c r="B46" s="27" t="s">
        <v>77</v>
      </c>
      <c r="C46" s="17"/>
      <c r="D46" s="16">
        <v>642150</v>
      </c>
      <c r="E46" s="16"/>
      <c r="F46" s="16"/>
      <c r="G46" s="17"/>
    </row>
    <row r="47" spans="1:7" ht="15">
      <c r="A47" s="12">
        <f t="shared" si="0"/>
        <v>39</v>
      </c>
      <c r="B47" s="27" t="s">
        <v>84</v>
      </c>
      <c r="C47" s="17">
        <v>1803900</v>
      </c>
      <c r="D47" s="16">
        <v>0</v>
      </c>
      <c r="E47" s="16"/>
      <c r="F47" s="16"/>
      <c r="G47" s="17"/>
    </row>
    <row r="48" spans="1:7" ht="15">
      <c r="A48" s="12">
        <f t="shared" si="0"/>
        <v>40</v>
      </c>
      <c r="B48" s="27" t="s">
        <v>85</v>
      </c>
      <c r="C48" s="17">
        <v>2500000</v>
      </c>
      <c r="D48" s="16"/>
      <c r="E48" s="16"/>
      <c r="F48" s="16"/>
      <c r="G48" s="17"/>
    </row>
    <row r="49" spans="1:7" ht="15">
      <c r="A49" s="12">
        <f t="shared" si="0"/>
        <v>41</v>
      </c>
      <c r="B49" s="27" t="s">
        <v>86</v>
      </c>
      <c r="C49" s="17">
        <v>316143</v>
      </c>
      <c r="D49" s="16"/>
      <c r="E49" s="16"/>
      <c r="F49" s="16"/>
      <c r="G49" s="17"/>
    </row>
    <row r="50" spans="1:7" ht="15">
      <c r="A50" s="12">
        <f t="shared" si="0"/>
        <v>42</v>
      </c>
      <c r="B50" s="27" t="s">
        <v>87</v>
      </c>
      <c r="C50" s="17">
        <v>100000</v>
      </c>
      <c r="D50" s="16"/>
      <c r="E50" s="16"/>
      <c r="F50" s="16"/>
      <c r="G50" s="17"/>
    </row>
    <row r="51" spans="1:7" ht="15">
      <c r="A51" s="12">
        <f t="shared" si="0"/>
        <v>43</v>
      </c>
      <c r="B51" s="27" t="s">
        <v>88</v>
      </c>
      <c r="C51" s="17">
        <v>500000</v>
      </c>
      <c r="D51" s="16"/>
      <c r="E51" s="16"/>
      <c r="F51" s="16"/>
      <c r="G51" s="17"/>
    </row>
    <row r="52" spans="1:7" ht="15">
      <c r="A52" s="12">
        <f t="shared" si="0"/>
        <v>44</v>
      </c>
      <c r="B52" s="27" t="s">
        <v>89</v>
      </c>
      <c r="C52" s="17">
        <v>500000</v>
      </c>
      <c r="D52" s="16"/>
      <c r="E52" s="16"/>
      <c r="F52" s="16"/>
      <c r="G52" s="17"/>
    </row>
    <row r="53" spans="1:7" ht="15">
      <c r="A53" s="12">
        <f t="shared" si="0"/>
        <v>45</v>
      </c>
      <c r="B53" s="27" t="s">
        <v>90</v>
      </c>
      <c r="C53" s="17">
        <v>1771476</v>
      </c>
      <c r="D53" s="16"/>
      <c r="E53" s="16"/>
      <c r="F53" s="16"/>
      <c r="G53" s="17"/>
    </row>
    <row r="54" spans="1:7" ht="15">
      <c r="A54" s="12">
        <f t="shared" si="0"/>
        <v>46</v>
      </c>
      <c r="B54" s="27" t="s">
        <v>91</v>
      </c>
      <c r="C54" s="17">
        <v>4834678</v>
      </c>
      <c r="D54" s="16">
        <v>0</v>
      </c>
      <c r="E54" s="16"/>
      <c r="F54" s="16"/>
      <c r="G54" s="17"/>
    </row>
    <row r="55" spans="1:7" ht="15">
      <c r="A55" s="12">
        <f t="shared" si="0"/>
        <v>47</v>
      </c>
      <c r="B55" s="27" t="s">
        <v>92</v>
      </c>
      <c r="C55" s="17">
        <v>1483932</v>
      </c>
      <c r="D55" s="16"/>
      <c r="E55" s="16"/>
      <c r="F55" s="16"/>
      <c r="G55" s="17"/>
    </row>
    <row r="56" spans="1:7" ht="15">
      <c r="A56" s="12">
        <f t="shared" si="0"/>
        <v>48</v>
      </c>
      <c r="B56" s="27" t="s">
        <v>93</v>
      </c>
      <c r="C56" s="17">
        <v>1483982</v>
      </c>
      <c r="D56" s="16"/>
      <c r="E56" s="16"/>
      <c r="F56" s="16"/>
      <c r="G56" s="17"/>
    </row>
    <row r="57" spans="1:7" ht="15">
      <c r="A57" s="12">
        <f t="shared" si="0"/>
        <v>49</v>
      </c>
      <c r="B57" s="27" t="s">
        <v>94</v>
      </c>
      <c r="C57" s="17">
        <v>967337</v>
      </c>
      <c r="D57" s="16"/>
      <c r="E57" s="16"/>
      <c r="F57" s="16"/>
      <c r="G57" s="17"/>
    </row>
    <row r="58" spans="1:7" ht="15">
      <c r="A58" s="12">
        <f t="shared" si="0"/>
        <v>50</v>
      </c>
      <c r="B58" s="27" t="s">
        <v>95</v>
      </c>
      <c r="C58" s="17">
        <v>439699</v>
      </c>
      <c r="D58" s="16"/>
      <c r="E58" s="16"/>
      <c r="F58" s="16"/>
      <c r="G58" s="17"/>
    </row>
    <row r="59" spans="1:7" ht="15">
      <c r="A59" s="12">
        <f t="shared" si="0"/>
        <v>51</v>
      </c>
      <c r="B59" s="27" t="s">
        <v>96</v>
      </c>
      <c r="C59" s="17">
        <v>623205</v>
      </c>
      <c r="D59" s="16"/>
      <c r="E59" s="16"/>
      <c r="F59" s="16"/>
      <c r="G59" s="17"/>
    </row>
    <row r="60" spans="1:7" ht="15">
      <c r="A60" s="12">
        <f t="shared" si="0"/>
        <v>52</v>
      </c>
      <c r="B60" s="27" t="s">
        <v>97</v>
      </c>
      <c r="C60" s="17">
        <v>3500000</v>
      </c>
      <c r="D60" s="16">
        <v>0</v>
      </c>
      <c r="E60" s="16"/>
      <c r="F60" s="16"/>
      <c r="G60" s="17"/>
    </row>
    <row r="61" spans="1:7" ht="15">
      <c r="A61" s="12">
        <f t="shared" si="0"/>
        <v>53</v>
      </c>
      <c r="B61" s="27" t="s">
        <v>98</v>
      </c>
      <c r="C61" s="17">
        <v>1537201</v>
      </c>
      <c r="D61" s="16"/>
      <c r="E61" s="16"/>
      <c r="F61" s="16"/>
      <c r="G61" s="17"/>
    </row>
    <row r="62" spans="1:7" ht="15">
      <c r="A62" s="12">
        <f t="shared" si="0"/>
        <v>54</v>
      </c>
      <c r="B62" s="27" t="s">
        <v>99</v>
      </c>
      <c r="C62" s="17">
        <v>1400000</v>
      </c>
      <c r="D62" s="16"/>
      <c r="E62" s="16"/>
      <c r="F62" s="16"/>
      <c r="G62" s="17"/>
    </row>
    <row r="63" spans="1:7" ht="15">
      <c r="A63" s="12">
        <f t="shared" si="0"/>
        <v>55</v>
      </c>
      <c r="B63" s="27" t="s">
        <v>100</v>
      </c>
      <c r="C63" s="17">
        <v>800000</v>
      </c>
      <c r="D63" s="16"/>
      <c r="E63" s="16"/>
      <c r="F63" s="16"/>
      <c r="G63" s="17"/>
    </row>
    <row r="64" spans="1:7" ht="15">
      <c r="A64" s="12">
        <f t="shared" si="0"/>
        <v>56</v>
      </c>
      <c r="B64" s="27" t="s">
        <v>101</v>
      </c>
      <c r="C64" s="17">
        <v>2000000</v>
      </c>
      <c r="D64" s="16"/>
      <c r="E64" s="16"/>
      <c r="F64" s="16"/>
      <c r="G64" s="17"/>
    </row>
    <row r="65" spans="1:7" ht="15">
      <c r="A65" s="12">
        <f t="shared" si="0"/>
        <v>57</v>
      </c>
      <c r="B65" s="27" t="s">
        <v>102</v>
      </c>
      <c r="C65" s="17">
        <v>3462000</v>
      </c>
      <c r="D65" s="16"/>
      <c r="E65" s="16"/>
      <c r="F65" s="16"/>
      <c r="G65" s="17"/>
    </row>
    <row r="66" spans="1:7" ht="15">
      <c r="A66" s="12">
        <f t="shared" si="0"/>
        <v>58</v>
      </c>
      <c r="B66" s="27" t="s">
        <v>103</v>
      </c>
      <c r="C66" s="17">
        <v>1582640</v>
      </c>
      <c r="D66" s="16"/>
      <c r="E66" s="16"/>
      <c r="F66" s="16"/>
      <c r="G66" s="17"/>
    </row>
    <row r="67" spans="1:7" ht="15">
      <c r="A67" s="12">
        <f t="shared" si="0"/>
        <v>59</v>
      </c>
      <c r="B67" s="27" t="s">
        <v>104</v>
      </c>
      <c r="C67" s="17">
        <v>398187</v>
      </c>
      <c r="D67" s="16"/>
      <c r="E67" s="16"/>
      <c r="F67" s="16"/>
      <c r="G67" s="17"/>
    </row>
    <row r="68" spans="1:7" ht="15">
      <c r="A68" s="12">
        <f t="shared" si="0"/>
        <v>60</v>
      </c>
      <c r="B68" s="27" t="s">
        <v>105</v>
      </c>
      <c r="C68" s="17">
        <v>1000000</v>
      </c>
      <c r="D68" s="16"/>
      <c r="E68" s="16"/>
      <c r="F68" s="16"/>
      <c r="G68" s="17"/>
    </row>
    <row r="69" spans="1:7" ht="15">
      <c r="A69" s="12">
        <f t="shared" si="0"/>
        <v>61</v>
      </c>
      <c r="B69" s="27" t="s">
        <v>106</v>
      </c>
      <c r="C69" s="17">
        <v>500000</v>
      </c>
      <c r="D69" s="16"/>
      <c r="E69" s="16"/>
      <c r="F69" s="16"/>
      <c r="G69" s="17"/>
    </row>
    <row r="70" spans="1:7" ht="15">
      <c r="A70" s="12">
        <f t="shared" si="0"/>
        <v>62</v>
      </c>
      <c r="B70" s="27" t="s">
        <v>109</v>
      </c>
      <c r="C70" s="17">
        <v>2900000</v>
      </c>
      <c r="D70" s="16"/>
      <c r="E70" s="16"/>
      <c r="F70" s="16"/>
      <c r="G70" s="17"/>
    </row>
    <row r="71" spans="1:7" ht="15">
      <c r="A71" s="12">
        <f t="shared" si="0"/>
        <v>63</v>
      </c>
      <c r="B71" s="27" t="s">
        <v>107</v>
      </c>
      <c r="C71" s="17">
        <v>1000000</v>
      </c>
      <c r="D71" s="16"/>
      <c r="E71" s="16"/>
      <c r="F71" s="16"/>
      <c r="G71" s="17"/>
    </row>
    <row r="72" spans="1:7" ht="15">
      <c r="A72" s="12">
        <f t="shared" si="0"/>
        <v>64</v>
      </c>
      <c r="B72" s="27" t="s">
        <v>108</v>
      </c>
      <c r="C72" s="17">
        <v>1700000</v>
      </c>
      <c r="D72" s="16"/>
      <c r="E72" s="16"/>
      <c r="F72" s="16"/>
      <c r="G72" s="17"/>
    </row>
    <row r="73" spans="1:7" ht="15">
      <c r="A73" s="12">
        <f t="shared" si="0"/>
        <v>65</v>
      </c>
      <c r="B73" s="27" t="s">
        <v>111</v>
      </c>
      <c r="C73" s="17">
        <v>4360000</v>
      </c>
      <c r="D73" s="16"/>
      <c r="E73" s="16"/>
      <c r="F73" s="16"/>
      <c r="G73" s="17"/>
    </row>
    <row r="74" spans="1:7" ht="15">
      <c r="A74" s="12">
        <f t="shared" si="0"/>
        <v>66</v>
      </c>
      <c r="B74" s="42" t="s">
        <v>5</v>
      </c>
      <c r="C74" s="25">
        <f>SUM(C40:C73)</f>
        <v>58316270</v>
      </c>
      <c r="D74" s="24">
        <f>SUM(D41:D73)</f>
        <v>56788416</v>
      </c>
      <c r="E74" s="24">
        <f>SUM(E41:E73)</f>
        <v>0</v>
      </c>
      <c r="F74" s="24">
        <f>SUM(F41:F73)</f>
        <v>0</v>
      </c>
      <c r="G74" s="25">
        <f>SUM(G41:G73)</f>
        <v>0</v>
      </c>
    </row>
    <row r="75" spans="1:7" ht="10.5" customHeight="1">
      <c r="A75" s="12">
        <f t="shared" si="0"/>
        <v>67</v>
      </c>
      <c r="B75" s="27"/>
      <c r="C75" s="17"/>
      <c r="D75" s="16"/>
      <c r="E75" s="47"/>
      <c r="F75" s="16"/>
      <c r="G75" s="17"/>
    </row>
    <row r="76" spans="1:7" ht="15">
      <c r="A76" s="12">
        <f t="shared" si="0"/>
        <v>68</v>
      </c>
      <c r="B76" s="41" t="s">
        <v>7</v>
      </c>
      <c r="C76" s="17"/>
      <c r="D76" s="16"/>
      <c r="E76" s="47"/>
      <c r="F76" s="16"/>
      <c r="G76" s="17"/>
    </row>
    <row r="77" spans="1:7" ht="15">
      <c r="A77" s="12">
        <f t="shared" si="0"/>
        <v>69</v>
      </c>
      <c r="B77" s="27" t="s">
        <v>8</v>
      </c>
      <c r="C77" s="17"/>
      <c r="D77" s="16">
        <v>0</v>
      </c>
      <c r="E77" s="16"/>
      <c r="F77" s="16"/>
      <c r="G77" s="17"/>
    </row>
    <row r="78" spans="1:7" ht="15">
      <c r="A78" s="12">
        <f t="shared" si="0"/>
        <v>70</v>
      </c>
      <c r="B78" s="27" t="s">
        <v>9</v>
      </c>
      <c r="C78" s="17"/>
      <c r="D78" s="16">
        <v>0</v>
      </c>
      <c r="E78" s="16"/>
      <c r="F78" s="16"/>
      <c r="G78" s="17"/>
    </row>
    <row r="79" spans="1:7" ht="15">
      <c r="A79" s="12">
        <f t="shared" si="0"/>
        <v>71</v>
      </c>
      <c r="B79" s="27" t="s">
        <v>10</v>
      </c>
      <c r="C79" s="17"/>
      <c r="D79" s="16">
        <v>0</v>
      </c>
      <c r="E79" s="16"/>
      <c r="F79" s="16"/>
      <c r="G79" s="17"/>
    </row>
    <row r="80" spans="1:7" ht="15">
      <c r="A80" s="12">
        <f t="shared" si="0"/>
        <v>72</v>
      </c>
      <c r="B80" s="27" t="s">
        <v>112</v>
      </c>
      <c r="C80" s="17">
        <v>1500000</v>
      </c>
      <c r="D80" s="16">
        <v>0</v>
      </c>
      <c r="E80" s="16"/>
      <c r="F80" s="16"/>
      <c r="G80" s="17"/>
    </row>
    <row r="81" spans="1:7" ht="15">
      <c r="A81" s="12">
        <f t="shared" si="0"/>
        <v>73</v>
      </c>
      <c r="B81" s="27" t="s">
        <v>113</v>
      </c>
      <c r="C81" s="17">
        <v>2850000</v>
      </c>
      <c r="D81" s="16">
        <v>5000000</v>
      </c>
      <c r="E81" s="16"/>
      <c r="F81" s="16"/>
      <c r="G81" s="17"/>
    </row>
    <row r="82" spans="1:7" ht="15">
      <c r="A82" s="12">
        <f t="shared" si="0"/>
        <v>74</v>
      </c>
      <c r="B82" s="62" t="s">
        <v>114</v>
      </c>
      <c r="C82" s="17">
        <v>2555624</v>
      </c>
      <c r="D82" s="16">
        <v>0</v>
      </c>
      <c r="E82" s="16"/>
      <c r="F82" s="16"/>
      <c r="G82" s="17"/>
    </row>
    <row r="83" spans="1:7" ht="15">
      <c r="A83" s="12">
        <f t="shared" si="0"/>
        <v>75</v>
      </c>
      <c r="B83" s="62" t="s">
        <v>115</v>
      </c>
      <c r="C83" s="17">
        <v>545444</v>
      </c>
      <c r="D83" s="16">
        <v>0</v>
      </c>
      <c r="E83" s="16"/>
      <c r="F83" s="16"/>
      <c r="G83" s="17"/>
    </row>
    <row r="84" spans="1:7" ht="15">
      <c r="A84" s="12">
        <f t="shared" si="0"/>
        <v>76</v>
      </c>
      <c r="B84" s="27" t="s">
        <v>11</v>
      </c>
      <c r="C84" s="17">
        <v>2600000</v>
      </c>
      <c r="D84" s="16">
        <v>0</v>
      </c>
      <c r="E84" s="16"/>
      <c r="F84" s="16"/>
      <c r="G84" s="17"/>
    </row>
    <row r="85" spans="1:7" ht="15">
      <c r="A85" s="12">
        <f t="shared" si="0"/>
        <v>77</v>
      </c>
      <c r="B85" s="27" t="s">
        <v>116</v>
      </c>
      <c r="C85" s="17">
        <v>171943</v>
      </c>
      <c r="D85" s="16">
        <v>-2000000</v>
      </c>
      <c r="E85" s="16"/>
      <c r="F85" s="16"/>
      <c r="G85" s="17"/>
    </row>
    <row r="86" spans="1:7" ht="15">
      <c r="A86" s="12">
        <f t="shared" si="0"/>
        <v>78</v>
      </c>
      <c r="B86" s="27" t="s">
        <v>117</v>
      </c>
      <c r="C86" s="17">
        <v>2350000</v>
      </c>
      <c r="D86" s="16">
        <v>0</v>
      </c>
      <c r="E86" s="16"/>
      <c r="F86" s="16"/>
      <c r="G86" s="17"/>
    </row>
    <row r="87" spans="1:7" ht="15">
      <c r="A87" s="12">
        <f t="shared" si="0"/>
        <v>79</v>
      </c>
      <c r="B87" s="27" t="s">
        <v>120</v>
      </c>
      <c r="C87" s="17">
        <v>325085</v>
      </c>
      <c r="D87" s="16">
        <v>0</v>
      </c>
      <c r="E87" s="16"/>
      <c r="F87" s="16"/>
      <c r="G87" s="17"/>
    </row>
    <row r="88" spans="1:7" ht="15">
      <c r="A88" s="12">
        <f t="shared" si="0"/>
        <v>80</v>
      </c>
      <c r="B88" s="27" t="s">
        <v>119</v>
      </c>
      <c r="C88" s="17">
        <v>729555</v>
      </c>
      <c r="D88" s="16">
        <v>0</v>
      </c>
      <c r="E88" s="16"/>
      <c r="F88" s="16"/>
      <c r="G88" s="17"/>
    </row>
    <row r="89" spans="1:7" ht="15">
      <c r="A89" s="12">
        <f t="shared" si="0"/>
        <v>81</v>
      </c>
      <c r="B89" s="27" t="s">
        <v>118</v>
      </c>
      <c r="C89" s="17">
        <v>2187051</v>
      </c>
      <c r="D89" s="16">
        <v>-1000000</v>
      </c>
      <c r="E89" s="16"/>
      <c r="F89" s="16"/>
      <c r="G89" s="17"/>
    </row>
    <row r="90" spans="1:7" ht="15">
      <c r="A90" s="12">
        <f t="shared" si="0"/>
        <v>82</v>
      </c>
      <c r="B90" s="27" t="s">
        <v>121</v>
      </c>
      <c r="C90" s="17">
        <v>413149</v>
      </c>
      <c r="D90" s="16">
        <v>0</v>
      </c>
      <c r="E90" s="16"/>
      <c r="F90" s="16"/>
      <c r="G90" s="17"/>
    </row>
    <row r="91" spans="1:7" ht="15">
      <c r="A91" s="12">
        <f t="shared" si="0"/>
        <v>83</v>
      </c>
      <c r="B91" s="27" t="s">
        <v>122</v>
      </c>
      <c r="C91" s="17">
        <v>500000</v>
      </c>
      <c r="D91" s="16">
        <v>-9000000</v>
      </c>
      <c r="E91" s="16"/>
      <c r="F91" s="16"/>
      <c r="G91" s="17"/>
    </row>
    <row r="92" spans="1:7" ht="15">
      <c r="A92" s="12">
        <f t="shared" si="0"/>
        <v>84</v>
      </c>
      <c r="B92" s="27" t="s">
        <v>124</v>
      </c>
      <c r="C92" s="17">
        <v>3188320</v>
      </c>
      <c r="D92" s="16"/>
      <c r="E92" s="16"/>
      <c r="F92" s="16"/>
      <c r="G92" s="17"/>
    </row>
    <row r="93" spans="1:7" ht="15">
      <c r="A93" s="12">
        <f t="shared" si="0"/>
        <v>85</v>
      </c>
      <c r="B93" s="27" t="s">
        <v>125</v>
      </c>
      <c r="C93" s="17">
        <v>2500000</v>
      </c>
      <c r="D93" s="16"/>
      <c r="E93" s="16"/>
      <c r="F93" s="16"/>
      <c r="G93" s="17"/>
    </row>
    <row r="94" spans="1:7" ht="15">
      <c r="A94" s="12">
        <f t="shared" si="0"/>
        <v>86</v>
      </c>
      <c r="B94" s="27" t="s">
        <v>126</v>
      </c>
      <c r="C94" s="17">
        <v>1500000</v>
      </c>
      <c r="D94" s="16"/>
      <c r="E94" s="16"/>
      <c r="F94" s="16"/>
      <c r="G94" s="17"/>
    </row>
    <row r="95" spans="1:7" ht="15">
      <c r="A95" s="12">
        <f t="shared" si="0"/>
        <v>87</v>
      </c>
      <c r="B95" s="27" t="s">
        <v>127</v>
      </c>
      <c r="C95" s="17">
        <v>1500000</v>
      </c>
      <c r="D95" s="16"/>
      <c r="E95" s="16"/>
      <c r="F95" s="16"/>
      <c r="G95" s="17"/>
    </row>
    <row r="96" spans="1:7" ht="15">
      <c r="A96" s="12">
        <f t="shared" si="0"/>
        <v>88</v>
      </c>
      <c r="B96" s="27" t="s">
        <v>128</v>
      </c>
      <c r="C96" s="17">
        <v>500000</v>
      </c>
      <c r="D96" s="16"/>
      <c r="E96" s="16"/>
      <c r="F96" s="16"/>
      <c r="G96" s="17"/>
    </row>
    <row r="97" spans="1:7" ht="15">
      <c r="A97" s="12">
        <f t="shared" si="0"/>
        <v>89</v>
      </c>
      <c r="B97" s="27" t="s">
        <v>129</v>
      </c>
      <c r="C97" s="17">
        <v>1000000</v>
      </c>
      <c r="D97" s="16"/>
      <c r="E97" s="16"/>
      <c r="F97" s="16"/>
      <c r="G97" s="17"/>
    </row>
    <row r="98" spans="1:7" ht="15">
      <c r="A98" s="12">
        <f t="shared" si="0"/>
        <v>90</v>
      </c>
      <c r="B98" s="27" t="s">
        <v>130</v>
      </c>
      <c r="C98" s="17">
        <v>4000000</v>
      </c>
      <c r="D98" s="16"/>
      <c r="E98" s="16"/>
      <c r="F98" s="16"/>
      <c r="G98" s="17"/>
    </row>
    <row r="99" spans="1:7" ht="15">
      <c r="A99" s="12">
        <f t="shared" si="0"/>
        <v>91</v>
      </c>
      <c r="B99" s="27" t="s">
        <v>131</v>
      </c>
      <c r="C99" s="17">
        <v>1502763</v>
      </c>
      <c r="D99" s="16"/>
      <c r="E99" s="16"/>
      <c r="F99" s="16"/>
      <c r="G99" s="17"/>
    </row>
    <row r="100" spans="1:7" ht="15">
      <c r="A100" s="12">
        <f t="shared" si="0"/>
        <v>92</v>
      </c>
      <c r="B100" s="42" t="s">
        <v>5</v>
      </c>
      <c r="C100" s="25">
        <f>SUM(C80:C99)</f>
        <v>32418934</v>
      </c>
      <c r="D100" s="24">
        <f>SUM(D77:D91)</f>
        <v>-7000000</v>
      </c>
      <c r="E100" s="24">
        <f>SUM(E77:E91)</f>
        <v>0</v>
      </c>
      <c r="F100" s="24">
        <f>SUM(F77:F91)</f>
        <v>0</v>
      </c>
      <c r="G100" s="25">
        <f>SUM(G77:G91)</f>
        <v>0</v>
      </c>
    </row>
    <row r="101" spans="1:7" ht="11.25" customHeight="1">
      <c r="A101" s="12">
        <f t="shared" si="0"/>
        <v>93</v>
      </c>
      <c r="B101" s="39"/>
      <c r="C101" s="14"/>
      <c r="D101" s="13"/>
      <c r="E101" s="47"/>
      <c r="F101" s="16"/>
      <c r="G101" s="17"/>
    </row>
    <row r="102" spans="1:7" ht="15">
      <c r="A102" s="12">
        <f t="shared" si="0"/>
        <v>94</v>
      </c>
      <c r="B102" s="41" t="s">
        <v>12</v>
      </c>
      <c r="C102" s="17"/>
      <c r="D102" s="16"/>
      <c r="E102" s="47"/>
      <c r="F102" s="16"/>
      <c r="G102" s="17"/>
    </row>
    <row r="103" spans="1:7" ht="15">
      <c r="A103" s="12">
        <f t="shared" si="0"/>
        <v>95</v>
      </c>
      <c r="B103" s="27" t="s">
        <v>13</v>
      </c>
      <c r="C103" s="17"/>
      <c r="D103" s="16">
        <v>0</v>
      </c>
      <c r="E103" s="16"/>
      <c r="F103" s="16"/>
      <c r="G103" s="17"/>
    </row>
    <row r="104" spans="1:7" ht="15">
      <c r="A104" s="12">
        <f t="shared" si="0"/>
        <v>96</v>
      </c>
      <c r="B104" s="27" t="s">
        <v>14</v>
      </c>
      <c r="C104" s="17"/>
      <c r="D104" s="16">
        <v>40000000</v>
      </c>
      <c r="E104" s="16"/>
      <c r="F104" s="16"/>
      <c r="G104" s="17"/>
    </row>
    <row r="105" spans="1:7" ht="15">
      <c r="A105" s="12">
        <f t="shared" si="0"/>
        <v>97</v>
      </c>
      <c r="B105" s="27" t="s">
        <v>15</v>
      </c>
      <c r="C105" s="17">
        <v>18837000</v>
      </c>
      <c r="D105" s="16">
        <v>0</v>
      </c>
      <c r="E105" s="16"/>
      <c r="F105" s="16"/>
      <c r="G105" s="17"/>
    </row>
    <row r="106" spans="1:7" ht="15">
      <c r="A106" s="12">
        <f aca="true" t="shared" si="1" ref="A106:A169">+A105+1</f>
        <v>98</v>
      </c>
      <c r="B106" s="27" t="s">
        <v>132</v>
      </c>
      <c r="C106" s="17">
        <v>3000000</v>
      </c>
      <c r="D106" s="16">
        <v>0</v>
      </c>
      <c r="E106" s="16"/>
      <c r="F106" s="16"/>
      <c r="G106" s="17"/>
    </row>
    <row r="107" spans="1:7" ht="15">
      <c r="A107" s="12">
        <f t="shared" si="1"/>
        <v>99</v>
      </c>
      <c r="B107" s="27" t="s">
        <v>133</v>
      </c>
      <c r="C107" s="17">
        <v>4912868</v>
      </c>
      <c r="D107" s="16"/>
      <c r="E107" s="16"/>
      <c r="F107" s="16"/>
      <c r="G107" s="17"/>
    </row>
    <row r="108" spans="1:7" ht="15">
      <c r="A108" s="12">
        <f t="shared" si="1"/>
        <v>100</v>
      </c>
      <c r="B108" s="27" t="s">
        <v>140</v>
      </c>
      <c r="C108" s="17">
        <f>3582000+1194000</f>
        <v>4776000</v>
      </c>
      <c r="D108" s="16"/>
      <c r="E108" s="16"/>
      <c r="F108" s="16"/>
      <c r="G108" s="17"/>
    </row>
    <row r="109" spans="1:7" ht="15">
      <c r="A109" s="12">
        <f t="shared" si="1"/>
        <v>101</v>
      </c>
      <c r="B109" s="27" t="s">
        <v>134</v>
      </c>
      <c r="C109" s="17">
        <v>2220000</v>
      </c>
      <c r="D109" s="16"/>
      <c r="E109" s="16"/>
      <c r="F109" s="16"/>
      <c r="G109" s="17"/>
    </row>
    <row r="110" spans="1:7" ht="15">
      <c r="A110" s="12">
        <f t="shared" si="1"/>
        <v>102</v>
      </c>
      <c r="B110" s="27" t="s">
        <v>135</v>
      </c>
      <c r="C110" s="17">
        <v>6000000</v>
      </c>
      <c r="D110" s="16"/>
      <c r="E110" s="16"/>
      <c r="F110" s="16"/>
      <c r="G110" s="17"/>
    </row>
    <row r="111" spans="1:7" ht="15">
      <c r="A111" s="12">
        <f t="shared" si="1"/>
        <v>103</v>
      </c>
      <c r="B111" s="27" t="s">
        <v>139</v>
      </c>
      <c r="C111" s="17">
        <f>345000+239964+1715036</f>
        <v>2300000</v>
      </c>
      <c r="D111" s="16"/>
      <c r="E111" s="16"/>
      <c r="F111" s="16"/>
      <c r="G111" s="17"/>
    </row>
    <row r="112" spans="1:7" ht="15">
      <c r="A112" s="12">
        <f t="shared" si="1"/>
        <v>104</v>
      </c>
      <c r="B112" s="27" t="s">
        <v>143</v>
      </c>
      <c r="C112" s="17">
        <v>2000000</v>
      </c>
      <c r="D112" s="16"/>
      <c r="E112" s="16"/>
      <c r="F112" s="16"/>
      <c r="G112" s="17"/>
    </row>
    <row r="113" spans="1:7" ht="15">
      <c r="A113" s="12">
        <f t="shared" si="1"/>
        <v>105</v>
      </c>
      <c r="B113" s="27" t="s">
        <v>141</v>
      </c>
      <c r="C113" s="17">
        <v>1500000</v>
      </c>
      <c r="D113" s="16"/>
      <c r="E113" s="16"/>
      <c r="F113" s="16"/>
      <c r="G113" s="17"/>
    </row>
    <row r="114" spans="1:7" ht="15">
      <c r="A114" s="12">
        <f t="shared" si="1"/>
        <v>106</v>
      </c>
      <c r="B114" s="27" t="s">
        <v>142</v>
      </c>
      <c r="C114" s="17">
        <v>1200000</v>
      </c>
      <c r="D114" s="16"/>
      <c r="E114" s="16"/>
      <c r="F114" s="16"/>
      <c r="G114" s="17"/>
    </row>
    <row r="115" spans="1:7" ht="15">
      <c r="A115" s="12">
        <f t="shared" si="1"/>
        <v>107</v>
      </c>
      <c r="B115" s="27" t="s">
        <v>144</v>
      </c>
      <c r="C115" s="17">
        <v>1035000</v>
      </c>
      <c r="D115" s="16">
        <v>0</v>
      </c>
      <c r="E115" s="16"/>
      <c r="F115" s="16"/>
      <c r="G115" s="17"/>
    </row>
    <row r="116" spans="1:7" ht="15">
      <c r="A116" s="12">
        <f t="shared" si="1"/>
        <v>108</v>
      </c>
      <c r="B116" s="27" t="s">
        <v>145</v>
      </c>
      <c r="C116" s="17">
        <v>1240000</v>
      </c>
      <c r="D116" s="16">
        <v>0</v>
      </c>
      <c r="E116" s="16"/>
      <c r="F116" s="16"/>
      <c r="G116" s="17"/>
    </row>
    <row r="117" spans="1:7" ht="15">
      <c r="A117" s="12">
        <f t="shared" si="1"/>
        <v>109</v>
      </c>
      <c r="B117" s="27" t="s">
        <v>136</v>
      </c>
      <c r="C117" s="17">
        <v>2632000</v>
      </c>
      <c r="D117" s="16"/>
      <c r="E117" s="16"/>
      <c r="F117" s="16"/>
      <c r="G117" s="17"/>
    </row>
    <row r="118" spans="1:7" ht="15">
      <c r="A118" s="12">
        <f t="shared" si="1"/>
        <v>110</v>
      </c>
      <c r="B118" s="27" t="s">
        <v>137</v>
      </c>
      <c r="C118" s="17">
        <v>1000000</v>
      </c>
      <c r="D118" s="16"/>
      <c r="E118" s="16"/>
      <c r="F118" s="16"/>
      <c r="G118" s="17"/>
    </row>
    <row r="119" spans="1:7" ht="15">
      <c r="A119" s="12">
        <f t="shared" si="1"/>
        <v>111</v>
      </c>
      <c r="B119" s="27" t="s">
        <v>138</v>
      </c>
      <c r="C119" s="17">
        <v>1000000</v>
      </c>
      <c r="D119" s="16">
        <v>0</v>
      </c>
      <c r="E119" s="16"/>
      <c r="F119" s="16"/>
      <c r="G119" s="17"/>
    </row>
    <row r="120" spans="1:7" ht="15">
      <c r="A120" s="12">
        <f t="shared" si="1"/>
        <v>112</v>
      </c>
      <c r="B120" s="27" t="s">
        <v>146</v>
      </c>
      <c r="C120" s="17">
        <v>11700000</v>
      </c>
      <c r="D120" s="16"/>
      <c r="E120" s="16"/>
      <c r="F120" s="16"/>
      <c r="G120" s="17"/>
    </row>
    <row r="121" spans="1:7" ht="15">
      <c r="A121" s="12">
        <f t="shared" si="1"/>
        <v>113</v>
      </c>
      <c r="B121" s="27" t="s">
        <v>147</v>
      </c>
      <c r="C121" s="17">
        <v>471500</v>
      </c>
      <c r="D121" s="16"/>
      <c r="E121" s="16"/>
      <c r="F121" s="16"/>
      <c r="G121" s="17"/>
    </row>
    <row r="122" spans="1:7" ht="15">
      <c r="A122" s="12">
        <f t="shared" si="1"/>
        <v>114</v>
      </c>
      <c r="B122" s="27" t="s">
        <v>148</v>
      </c>
      <c r="C122" s="17">
        <v>128500</v>
      </c>
      <c r="D122" s="16"/>
      <c r="E122" s="16"/>
      <c r="F122" s="16"/>
      <c r="G122" s="17"/>
    </row>
    <row r="123" spans="1:7" ht="15">
      <c r="A123" s="12">
        <f t="shared" si="1"/>
        <v>115</v>
      </c>
      <c r="B123" s="27" t="s">
        <v>149</v>
      </c>
      <c r="C123" s="17">
        <v>2536766</v>
      </c>
      <c r="D123" s="16"/>
      <c r="E123" s="16"/>
      <c r="F123" s="16"/>
      <c r="G123" s="17"/>
    </row>
    <row r="124" spans="1:7" ht="15">
      <c r="A124" s="12">
        <f t="shared" si="1"/>
        <v>116</v>
      </c>
      <c r="B124" s="27" t="s">
        <v>152</v>
      </c>
      <c r="C124" s="17">
        <v>2500000</v>
      </c>
      <c r="D124" s="16"/>
      <c r="E124" s="16"/>
      <c r="F124" s="16"/>
      <c r="G124" s="17"/>
    </row>
    <row r="125" spans="1:7" ht="15">
      <c r="A125" s="12">
        <f t="shared" si="1"/>
        <v>117</v>
      </c>
      <c r="B125" s="27" t="s">
        <v>150</v>
      </c>
      <c r="C125" s="17">
        <v>1000000</v>
      </c>
      <c r="D125" s="16"/>
      <c r="E125" s="16"/>
      <c r="F125" s="16"/>
      <c r="G125" s="17"/>
    </row>
    <row r="126" spans="1:7" ht="15">
      <c r="A126" s="12">
        <f t="shared" si="1"/>
        <v>118</v>
      </c>
      <c r="B126" s="27" t="s">
        <v>151</v>
      </c>
      <c r="C126" s="17">
        <v>1732200</v>
      </c>
      <c r="D126" s="16">
        <v>0</v>
      </c>
      <c r="E126" s="16"/>
      <c r="F126" s="16"/>
      <c r="G126" s="17"/>
    </row>
    <row r="127" spans="1:7" ht="15">
      <c r="A127" s="12">
        <f t="shared" si="1"/>
        <v>119</v>
      </c>
      <c r="B127" s="27" t="s">
        <v>159</v>
      </c>
      <c r="C127" s="16">
        <f>1000000+3006675</f>
        <v>4006675</v>
      </c>
      <c r="D127" s="21">
        <v>-2000000</v>
      </c>
      <c r="E127" s="21"/>
      <c r="F127" s="16"/>
      <c r="G127" s="17"/>
    </row>
    <row r="128" spans="1:7" ht="15">
      <c r="A128" s="12">
        <f t="shared" si="1"/>
        <v>120</v>
      </c>
      <c r="B128" s="27" t="s">
        <v>153</v>
      </c>
      <c r="C128" s="17">
        <v>3900000</v>
      </c>
      <c r="D128" s="16"/>
      <c r="E128" s="16"/>
      <c r="F128" s="16"/>
      <c r="G128" s="17"/>
    </row>
    <row r="129" spans="1:7" ht="15">
      <c r="A129" s="12">
        <f t="shared" si="1"/>
        <v>121</v>
      </c>
      <c r="B129" s="27" t="s">
        <v>154</v>
      </c>
      <c r="C129" s="17">
        <v>1900000</v>
      </c>
      <c r="D129" s="16"/>
      <c r="E129" s="16"/>
      <c r="F129" s="16"/>
      <c r="G129" s="17"/>
    </row>
    <row r="130" spans="1:7" ht="15">
      <c r="A130" s="12">
        <f t="shared" si="1"/>
        <v>122</v>
      </c>
      <c r="B130" s="27" t="s">
        <v>155</v>
      </c>
      <c r="C130" s="17">
        <v>1100000</v>
      </c>
      <c r="D130" s="16"/>
      <c r="E130" s="16"/>
      <c r="F130" s="16"/>
      <c r="G130" s="17"/>
    </row>
    <row r="131" spans="1:7" ht="15">
      <c r="A131" s="12">
        <f t="shared" si="1"/>
        <v>123</v>
      </c>
      <c r="B131" s="27" t="s">
        <v>156</v>
      </c>
      <c r="C131" s="17">
        <v>3000000</v>
      </c>
      <c r="D131" s="16"/>
      <c r="E131" s="16"/>
      <c r="F131" s="16"/>
      <c r="G131" s="17"/>
    </row>
    <row r="132" spans="1:7" ht="15">
      <c r="A132" s="12">
        <f t="shared" si="1"/>
        <v>124</v>
      </c>
      <c r="B132" s="27" t="s">
        <v>157</v>
      </c>
      <c r="C132" s="17">
        <v>661997</v>
      </c>
      <c r="D132" s="16"/>
      <c r="E132" s="16"/>
      <c r="F132" s="16"/>
      <c r="G132" s="17"/>
    </row>
    <row r="133" spans="1:7" ht="15">
      <c r="A133" s="12">
        <f t="shared" si="1"/>
        <v>125</v>
      </c>
      <c r="B133" s="27" t="s">
        <v>158</v>
      </c>
      <c r="C133" s="17">
        <v>444870</v>
      </c>
      <c r="D133" s="16"/>
      <c r="E133" s="16"/>
      <c r="F133" s="16"/>
      <c r="G133" s="17"/>
    </row>
    <row r="134" spans="1:7" ht="15">
      <c r="A134" s="12">
        <f t="shared" si="1"/>
        <v>126</v>
      </c>
      <c r="B134" s="27" t="s">
        <v>160</v>
      </c>
      <c r="C134" s="17">
        <v>1556250</v>
      </c>
      <c r="D134" s="16"/>
      <c r="E134" s="16"/>
      <c r="F134" s="16"/>
      <c r="G134" s="17"/>
    </row>
    <row r="135" spans="1:7" ht="15">
      <c r="A135" s="12">
        <f t="shared" si="1"/>
        <v>127</v>
      </c>
      <c r="B135" s="27" t="s">
        <v>161</v>
      </c>
      <c r="C135" s="17">
        <v>1100000</v>
      </c>
      <c r="D135" s="16"/>
      <c r="E135" s="16"/>
      <c r="F135" s="16"/>
      <c r="G135" s="17"/>
    </row>
    <row r="136" spans="1:7" ht="15">
      <c r="A136" s="12">
        <f t="shared" si="1"/>
        <v>128</v>
      </c>
      <c r="B136" s="27" t="s">
        <v>162</v>
      </c>
      <c r="C136" s="17">
        <v>1000000</v>
      </c>
      <c r="D136" s="16"/>
      <c r="E136" s="16"/>
      <c r="F136" s="16"/>
      <c r="G136" s="17"/>
    </row>
    <row r="137" spans="1:7" ht="15">
      <c r="A137" s="12">
        <f t="shared" si="1"/>
        <v>129</v>
      </c>
      <c r="B137" s="27" t="s">
        <v>163</v>
      </c>
      <c r="C137" s="17">
        <v>2500000</v>
      </c>
      <c r="D137" s="16"/>
      <c r="E137" s="16"/>
      <c r="F137" s="16"/>
      <c r="G137" s="17"/>
    </row>
    <row r="138" spans="1:7" ht="15">
      <c r="A138" s="12">
        <f t="shared" si="1"/>
        <v>130</v>
      </c>
      <c r="B138" s="27" t="s">
        <v>164</v>
      </c>
      <c r="C138" s="17">
        <v>2500000</v>
      </c>
      <c r="D138" s="16"/>
      <c r="E138" s="16"/>
      <c r="F138" s="16"/>
      <c r="G138" s="17"/>
    </row>
    <row r="139" spans="1:7" ht="15">
      <c r="A139" s="12">
        <f t="shared" si="1"/>
        <v>131</v>
      </c>
      <c r="B139" s="27" t="s">
        <v>165</v>
      </c>
      <c r="C139" s="17">
        <v>1321906</v>
      </c>
      <c r="D139" s="16"/>
      <c r="E139" s="16"/>
      <c r="F139" s="16"/>
      <c r="G139" s="17"/>
    </row>
    <row r="140" spans="1:7" ht="15">
      <c r="A140" s="12">
        <f t="shared" si="1"/>
        <v>132</v>
      </c>
      <c r="B140" s="27" t="s">
        <v>166</v>
      </c>
      <c r="C140" s="17">
        <v>1200000</v>
      </c>
      <c r="D140" s="16"/>
      <c r="E140" s="16"/>
      <c r="F140" s="16"/>
      <c r="G140" s="17"/>
    </row>
    <row r="141" spans="1:7" ht="15">
      <c r="A141" s="12">
        <f t="shared" si="1"/>
        <v>133</v>
      </c>
      <c r="B141" s="27" t="s">
        <v>167</v>
      </c>
      <c r="C141" s="17">
        <v>1000000</v>
      </c>
      <c r="D141" s="16"/>
      <c r="E141" s="16"/>
      <c r="F141" s="16"/>
      <c r="G141" s="17"/>
    </row>
    <row r="142" spans="1:7" ht="15">
      <c r="A142" s="12">
        <f t="shared" si="1"/>
        <v>134</v>
      </c>
      <c r="B142" s="27" t="s">
        <v>168</v>
      </c>
      <c r="C142" s="17">
        <v>1000000</v>
      </c>
      <c r="D142" s="16"/>
      <c r="E142" s="16"/>
      <c r="F142" s="16"/>
      <c r="G142" s="17"/>
    </row>
    <row r="143" spans="1:7" ht="15">
      <c r="A143" s="12">
        <f t="shared" si="1"/>
        <v>135</v>
      </c>
      <c r="B143" s="27" t="s">
        <v>169</v>
      </c>
      <c r="C143" s="17">
        <v>2900000</v>
      </c>
      <c r="D143" s="16"/>
      <c r="E143" s="16"/>
      <c r="F143" s="16"/>
      <c r="G143" s="17"/>
    </row>
    <row r="144" spans="1:7" ht="15">
      <c r="A144" s="12">
        <f t="shared" si="1"/>
        <v>136</v>
      </c>
      <c r="B144" s="27" t="s">
        <v>170</v>
      </c>
      <c r="C144" s="17">
        <v>2000000</v>
      </c>
      <c r="D144" s="16"/>
      <c r="E144" s="16"/>
      <c r="F144" s="16"/>
      <c r="G144" s="17"/>
    </row>
    <row r="145" spans="1:7" ht="15">
      <c r="A145" s="12">
        <f t="shared" si="1"/>
        <v>137</v>
      </c>
      <c r="B145" s="27" t="s">
        <v>171</v>
      </c>
      <c r="C145" s="17">
        <v>700000</v>
      </c>
      <c r="D145" s="16"/>
      <c r="E145" s="16"/>
      <c r="F145" s="16"/>
      <c r="G145" s="17"/>
    </row>
    <row r="146" spans="1:7" ht="15">
      <c r="A146" s="12">
        <f t="shared" si="1"/>
        <v>138</v>
      </c>
      <c r="B146" s="27" t="s">
        <v>172</v>
      </c>
      <c r="C146" s="17">
        <v>1939600</v>
      </c>
      <c r="D146" s="16"/>
      <c r="E146" s="16"/>
      <c r="F146" s="16"/>
      <c r="G146" s="17"/>
    </row>
    <row r="147" spans="1:7" ht="15">
      <c r="A147" s="12">
        <f t="shared" si="1"/>
        <v>139</v>
      </c>
      <c r="B147" s="27" t="s">
        <v>173</v>
      </c>
      <c r="C147" s="22">
        <v>1800000</v>
      </c>
      <c r="D147" s="16"/>
      <c r="E147" s="16"/>
      <c r="F147" s="16"/>
      <c r="G147" s="17"/>
    </row>
    <row r="148" spans="1:7" ht="15">
      <c r="A148" s="12">
        <f t="shared" si="1"/>
        <v>140</v>
      </c>
      <c r="B148" s="42" t="s">
        <v>174</v>
      </c>
      <c r="C148" s="17">
        <f>SUM(C105:C147)</f>
        <v>111253132</v>
      </c>
      <c r="D148" s="24">
        <f>SUM(D103:D127)</f>
        <v>38000000</v>
      </c>
      <c r="E148" s="24">
        <f>SUM(E103:E127)</f>
        <v>0</v>
      </c>
      <c r="F148" s="24">
        <f>SUM(F103:F127)</f>
        <v>0</v>
      </c>
      <c r="G148" s="25">
        <f>SUM(G103:G127)</f>
        <v>0</v>
      </c>
    </row>
    <row r="149" spans="1:7" ht="9.75" customHeight="1">
      <c r="A149" s="12">
        <f t="shared" si="1"/>
        <v>141</v>
      </c>
      <c r="B149" s="42"/>
      <c r="C149" s="17"/>
      <c r="D149" s="16"/>
      <c r="E149" s="47"/>
      <c r="F149" s="16"/>
      <c r="G149" s="17"/>
    </row>
    <row r="150" spans="1:7" ht="15">
      <c r="A150" s="12">
        <f t="shared" si="1"/>
        <v>142</v>
      </c>
      <c r="B150" s="41" t="s">
        <v>16</v>
      </c>
      <c r="C150" s="17"/>
      <c r="D150" s="16"/>
      <c r="E150" s="47"/>
      <c r="F150" s="16"/>
      <c r="G150" s="17"/>
    </row>
    <row r="151" spans="1:7" ht="30">
      <c r="A151" s="12">
        <f t="shared" si="1"/>
        <v>143</v>
      </c>
      <c r="B151" s="125" t="s">
        <v>175</v>
      </c>
      <c r="C151" s="17">
        <v>3934775</v>
      </c>
      <c r="D151" s="16"/>
      <c r="E151" s="47"/>
      <c r="F151" s="16"/>
      <c r="G151" s="17"/>
    </row>
    <row r="152" spans="1:7" ht="15">
      <c r="A152" s="12">
        <f t="shared" si="1"/>
        <v>144</v>
      </c>
      <c r="B152" s="125" t="s">
        <v>176</v>
      </c>
      <c r="C152" s="17">
        <f>1668783+819432</f>
        <v>2488215</v>
      </c>
      <c r="D152" s="16"/>
      <c r="E152" s="47"/>
      <c r="F152" s="16"/>
      <c r="G152" s="17"/>
    </row>
    <row r="153" spans="1:7" ht="15">
      <c r="A153" s="12">
        <f t="shared" si="1"/>
        <v>145</v>
      </c>
      <c r="B153" s="125" t="s">
        <v>177</v>
      </c>
      <c r="C153" s="17">
        <v>2606127</v>
      </c>
      <c r="D153" s="16"/>
      <c r="E153" s="47"/>
      <c r="F153" s="16"/>
      <c r="G153" s="17"/>
    </row>
    <row r="154" spans="1:7" ht="15">
      <c r="A154" s="12">
        <f t="shared" si="1"/>
        <v>146</v>
      </c>
      <c r="B154" s="27" t="s">
        <v>178</v>
      </c>
      <c r="C154" s="17">
        <v>1000000</v>
      </c>
      <c r="D154" s="16"/>
      <c r="E154" s="47"/>
      <c r="F154" s="16"/>
      <c r="G154" s="17"/>
    </row>
    <row r="155" spans="1:7" ht="15">
      <c r="A155" s="12">
        <f t="shared" si="1"/>
        <v>147</v>
      </c>
      <c r="B155" s="27" t="s">
        <v>179</v>
      </c>
      <c r="C155" s="17">
        <v>500000</v>
      </c>
      <c r="D155" s="16"/>
      <c r="E155" s="47"/>
      <c r="F155" s="16"/>
      <c r="G155" s="17"/>
    </row>
    <row r="156" spans="1:7" ht="15">
      <c r="A156" s="12">
        <f t="shared" si="1"/>
        <v>148</v>
      </c>
      <c r="B156" s="27" t="s">
        <v>180</v>
      </c>
      <c r="C156" s="17">
        <v>1080124</v>
      </c>
      <c r="D156" s="16"/>
      <c r="E156" s="47"/>
      <c r="F156" s="16"/>
      <c r="G156" s="17"/>
    </row>
    <row r="157" spans="1:7" ht="15">
      <c r="A157" s="12">
        <f t="shared" si="1"/>
        <v>149</v>
      </c>
      <c r="B157" s="27" t="s">
        <v>181</v>
      </c>
      <c r="C157" s="17">
        <v>200000</v>
      </c>
      <c r="D157" s="16"/>
      <c r="E157" s="47"/>
      <c r="F157" s="16"/>
      <c r="G157" s="17"/>
    </row>
    <row r="158" spans="1:7" ht="15">
      <c r="A158" s="12">
        <f t="shared" si="1"/>
        <v>150</v>
      </c>
      <c r="B158" s="27" t="s">
        <v>182</v>
      </c>
      <c r="C158" s="17">
        <v>1900000</v>
      </c>
      <c r="D158" s="16"/>
      <c r="E158" s="47"/>
      <c r="F158" s="16"/>
      <c r="G158" s="17"/>
    </row>
    <row r="159" spans="1:7" ht="15">
      <c r="A159" s="12">
        <f t="shared" si="1"/>
        <v>151</v>
      </c>
      <c r="B159" s="27" t="s">
        <v>183</v>
      </c>
      <c r="C159" s="17">
        <v>1000000</v>
      </c>
      <c r="D159" s="16">
        <v>0</v>
      </c>
      <c r="E159" s="16"/>
      <c r="F159" s="16"/>
      <c r="G159" s="17"/>
    </row>
    <row r="160" spans="1:7" ht="15">
      <c r="A160" s="12">
        <f t="shared" si="1"/>
        <v>152</v>
      </c>
      <c r="B160" s="27" t="s">
        <v>184</v>
      </c>
      <c r="C160" s="17">
        <v>4476835</v>
      </c>
      <c r="D160" s="16">
        <v>0</v>
      </c>
      <c r="E160" s="16"/>
      <c r="F160" s="16"/>
      <c r="G160" s="17"/>
    </row>
    <row r="161" spans="1:7" ht="15">
      <c r="A161" s="12">
        <f t="shared" si="1"/>
        <v>153</v>
      </c>
      <c r="B161" s="27" t="s">
        <v>185</v>
      </c>
      <c r="C161" s="17">
        <v>1362000</v>
      </c>
      <c r="D161" s="16">
        <v>0</v>
      </c>
      <c r="E161" s="16"/>
      <c r="F161" s="16"/>
      <c r="G161" s="17"/>
    </row>
    <row r="162" spans="1:7" ht="15">
      <c r="A162" s="12">
        <f t="shared" si="1"/>
        <v>154</v>
      </c>
      <c r="B162" s="27" t="s">
        <v>186</v>
      </c>
      <c r="C162" s="17">
        <v>1062000</v>
      </c>
      <c r="D162" s="16">
        <v>0</v>
      </c>
      <c r="E162" s="16"/>
      <c r="F162" s="16"/>
      <c r="G162" s="17"/>
    </row>
    <row r="163" spans="1:7" ht="15">
      <c r="A163" s="12">
        <f t="shared" si="1"/>
        <v>155</v>
      </c>
      <c r="B163" s="27" t="s">
        <v>187</v>
      </c>
      <c r="C163" s="17">
        <v>472000</v>
      </c>
      <c r="D163" s="16">
        <v>0</v>
      </c>
      <c r="E163" s="16"/>
      <c r="F163" s="16"/>
      <c r="G163" s="17"/>
    </row>
    <row r="164" spans="1:7" ht="15">
      <c r="A164" s="12">
        <f t="shared" si="1"/>
        <v>156</v>
      </c>
      <c r="B164" s="27" t="s">
        <v>188</v>
      </c>
      <c r="C164" s="22">
        <v>840000</v>
      </c>
      <c r="D164" s="16">
        <v>0</v>
      </c>
      <c r="E164" s="16"/>
      <c r="F164" s="16"/>
      <c r="G164" s="17"/>
    </row>
    <row r="165" spans="1:7" ht="15">
      <c r="A165" s="12">
        <f t="shared" si="1"/>
        <v>157</v>
      </c>
      <c r="B165" s="42" t="s">
        <v>5</v>
      </c>
      <c r="C165" s="17">
        <f>SUM(C151:C164)</f>
        <v>22922076</v>
      </c>
      <c r="D165" s="24">
        <f>SUM(D159:D164)</f>
        <v>0</v>
      </c>
      <c r="E165" s="24">
        <f>SUM(E159:E164)</f>
        <v>0</v>
      </c>
      <c r="F165" s="24">
        <f>SUM(F159:F164)</f>
        <v>0</v>
      </c>
      <c r="G165" s="25">
        <f>SUM(G159:G164)</f>
        <v>0</v>
      </c>
    </row>
    <row r="166" spans="1:7" ht="15">
      <c r="A166" s="12">
        <f t="shared" si="1"/>
        <v>158</v>
      </c>
      <c r="B166" s="42"/>
      <c r="C166" s="17"/>
      <c r="D166" s="16"/>
      <c r="E166" s="16"/>
      <c r="F166" s="16"/>
      <c r="G166" s="17"/>
    </row>
    <row r="167" spans="1:7" ht="15">
      <c r="A167" s="12">
        <f t="shared" si="1"/>
        <v>159</v>
      </c>
      <c r="B167" s="62"/>
      <c r="C167" s="17"/>
      <c r="D167" s="16"/>
      <c r="E167" s="16"/>
      <c r="F167" s="16"/>
      <c r="G167" s="17"/>
    </row>
    <row r="168" spans="1:7" ht="12" customHeight="1" thickBot="1">
      <c r="A168" s="12">
        <f t="shared" si="1"/>
        <v>160</v>
      </c>
      <c r="B168" s="44"/>
      <c r="C168" s="17"/>
      <c r="D168" s="16"/>
      <c r="E168" s="85"/>
      <c r="F168" s="108"/>
      <c r="G168" s="88"/>
    </row>
    <row r="169" spans="1:8" ht="16.5" thickBot="1" thickTop="1">
      <c r="A169" s="12">
        <f t="shared" si="1"/>
        <v>161</v>
      </c>
      <c r="B169" s="45" t="s">
        <v>62</v>
      </c>
      <c r="C169" s="29">
        <f>SUM(C17,C37,C74,C100,C148,C165)</f>
        <v>3502332302</v>
      </c>
      <c r="D169" s="35">
        <f>+D165+D100+D74+D37+D17+D148</f>
        <v>65545677</v>
      </c>
      <c r="E169" s="35">
        <f>+E165+E100+E74+E37+E17+E148</f>
        <v>0</v>
      </c>
      <c r="F169" s="35" t="e">
        <f>+F165+F100+F74+F37+F17+F148+#REF!</f>
        <v>#REF!</v>
      </c>
      <c r="G169" s="29" t="e">
        <f>+G165+G100+G74+G37+G17+G148+#REF!</f>
        <v>#REF!</v>
      </c>
      <c r="H169" s="87"/>
    </row>
    <row r="170" spans="1:7" ht="12" customHeight="1" thickBot="1" thickTop="1">
      <c r="A170" s="12">
        <f aca="true" t="shared" si="2" ref="A170:A175">+A169+1</f>
        <v>162</v>
      </c>
      <c r="B170" s="27"/>
      <c r="C170" s="17"/>
      <c r="D170" s="16"/>
      <c r="E170" s="86"/>
      <c r="F170" s="109"/>
      <c r="G170" s="89"/>
    </row>
    <row r="171" spans="1:7" ht="15">
      <c r="A171" s="12">
        <f t="shared" si="2"/>
        <v>163</v>
      </c>
      <c r="B171" s="30" t="s">
        <v>63</v>
      </c>
      <c r="C171" s="31">
        <f>C169-C14</f>
        <v>146724791</v>
      </c>
      <c r="D171" s="36">
        <f>+D169-D14</f>
        <v>65545677</v>
      </c>
      <c r="E171" s="36">
        <f>+E169-E14</f>
        <v>0</v>
      </c>
      <c r="F171" s="36" t="e">
        <f>+F169-F14</f>
        <v>#REF!</v>
      </c>
      <c r="G171" s="31" t="e">
        <f>+G169-G14</f>
        <v>#REF!</v>
      </c>
    </row>
    <row r="172" spans="1:7" ht="15.75" thickBot="1">
      <c r="A172" s="12">
        <f t="shared" si="2"/>
        <v>164</v>
      </c>
      <c r="B172" s="46" t="s">
        <v>64</v>
      </c>
      <c r="C172" s="32">
        <f>ROUND(((C169/C14)),4)-1</f>
        <v>0.04370000000000007</v>
      </c>
      <c r="D172" s="37" t="e">
        <f>ROUND(((D169/D14)),4)-1</f>
        <v>#DIV/0!</v>
      </c>
      <c r="E172" s="37" t="e">
        <f>ROUND(((E169/E14)),4)-1</f>
        <v>#DIV/0!</v>
      </c>
      <c r="F172" s="37" t="e">
        <f>ROUND(((F169/F14)),4)-1</f>
        <v>#REF!</v>
      </c>
      <c r="G172" s="32" t="e">
        <f>ROUND(((G169/G14)),4)-1</f>
        <v>#REF!</v>
      </c>
    </row>
    <row r="173" spans="1:7" ht="9.75" customHeight="1" thickBot="1">
      <c r="A173" s="12">
        <f t="shared" si="2"/>
        <v>165</v>
      </c>
      <c r="B173" s="27"/>
      <c r="C173" s="17"/>
      <c r="D173" s="16"/>
      <c r="E173" s="16"/>
      <c r="F173" s="16"/>
      <c r="G173" s="17"/>
    </row>
    <row r="174" spans="1:7" ht="15">
      <c r="A174" s="12">
        <f t="shared" si="2"/>
        <v>166</v>
      </c>
      <c r="B174" s="30" t="s">
        <v>65</v>
      </c>
      <c r="C174" s="31">
        <f>C169-C17</f>
        <v>250474791</v>
      </c>
      <c r="D174" s="36">
        <f>+D169-D17</f>
        <v>137545677</v>
      </c>
      <c r="E174" s="36">
        <f>+E169-E17</f>
        <v>0</v>
      </c>
      <c r="F174" s="36" t="e">
        <f>+F169-F17</f>
        <v>#REF!</v>
      </c>
      <c r="G174" s="31" t="e">
        <f>+G169-G17</f>
        <v>#REF!</v>
      </c>
    </row>
    <row r="175" spans="1:7" ht="15.75" thickBot="1">
      <c r="A175" s="12">
        <f t="shared" si="2"/>
        <v>167</v>
      </c>
      <c r="B175" s="46" t="s">
        <v>66</v>
      </c>
      <c r="C175" s="32">
        <f>ROUND(((C169/C17)),4)-1</f>
        <v>0.07699999999999996</v>
      </c>
      <c r="D175" s="37">
        <f>ROUND(((D169/D17)),4)-1</f>
        <v>-1.9104</v>
      </c>
      <c r="E175" s="37" t="e">
        <f>ROUND(((E169/E17)),4)-1</f>
        <v>#DIV/0!</v>
      </c>
      <c r="F175" s="37" t="e">
        <f>ROUND(((F169/F17)),4)-1</f>
        <v>#REF!</v>
      </c>
      <c r="G175" s="32" t="e">
        <f>ROUND(((G169/G17)),4)-1</f>
        <v>#REF!</v>
      </c>
    </row>
    <row r="176" spans="1:7" ht="12.75">
      <c r="A176" s="12">
        <f>+A175+1</f>
        <v>168</v>
      </c>
      <c r="B176" s="28"/>
      <c r="C176" s="2"/>
      <c r="D176" s="2"/>
      <c r="E176" s="2"/>
      <c r="F176" s="2"/>
      <c r="G176" s="2"/>
    </row>
    <row r="177" spans="1:7" ht="14.25">
      <c r="A177" s="12"/>
      <c r="B177" s="118" t="s">
        <v>74</v>
      </c>
      <c r="C177" s="2"/>
      <c r="D177" s="2"/>
      <c r="E177" s="2"/>
      <c r="F177" s="2"/>
      <c r="G177" s="2"/>
    </row>
    <row r="178" spans="1:7" ht="15">
      <c r="A178" s="12">
        <f>+A176+1</f>
        <v>169</v>
      </c>
      <c r="B178" s="118" t="s">
        <v>21</v>
      </c>
      <c r="C178" s="119"/>
      <c r="D178" s="119"/>
      <c r="E178" s="119"/>
      <c r="F178" s="2"/>
      <c r="G178" s="2"/>
    </row>
    <row r="179" spans="1:7" ht="12.75">
      <c r="A179" s="12"/>
      <c r="B179" s="28"/>
      <c r="C179" s="2"/>
      <c r="D179" s="2"/>
      <c r="E179" s="2"/>
      <c r="F179" s="2"/>
      <c r="G179" s="2"/>
    </row>
    <row r="180" spans="2:6" ht="12.75">
      <c r="B180" s="47"/>
      <c r="C180" s="28"/>
      <c r="D180" s="2"/>
      <c r="E180" s="2"/>
      <c r="F180" s="2"/>
    </row>
    <row r="181" spans="2:6" ht="12.75">
      <c r="B181" s="28"/>
      <c r="C181" s="28"/>
      <c r="D181" s="2"/>
      <c r="E181" s="2"/>
      <c r="F181" s="2"/>
    </row>
    <row r="182" spans="2:6" ht="12.75">
      <c r="B182" s="107"/>
      <c r="C182" s="28"/>
      <c r="D182" s="2"/>
      <c r="E182" s="2"/>
      <c r="F182" s="2"/>
    </row>
    <row r="183" spans="2:6" ht="12.75">
      <c r="B183" s="28"/>
      <c r="C183" s="28"/>
      <c r="D183" s="2"/>
      <c r="E183" s="2"/>
      <c r="F183" s="2"/>
    </row>
    <row r="184" spans="2:6" ht="12.75">
      <c r="B184" s="47"/>
      <c r="C184" s="28"/>
      <c r="D184" s="2"/>
      <c r="E184" s="2"/>
      <c r="F184" s="2"/>
    </row>
    <row r="185" spans="2:6" ht="12.75">
      <c r="B185" s="47"/>
      <c r="C185" s="28"/>
      <c r="D185" s="2"/>
      <c r="E185" s="2"/>
      <c r="F185" s="2"/>
    </row>
    <row r="186" spans="2:6" ht="12.75">
      <c r="B186" s="47"/>
      <c r="C186" s="47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</sheetData>
  <mergeCells count="5">
    <mergeCell ref="B5:G5"/>
    <mergeCell ref="B1:G1"/>
    <mergeCell ref="B2:G2"/>
    <mergeCell ref="B3:G3"/>
    <mergeCell ref="B4:G4"/>
  </mergeCells>
  <printOptions horizontalCentered="1"/>
  <pageMargins left="0" right="0" top="0.75" bottom="0.75" header="0.5" footer="0.5"/>
  <pageSetup horizontalDpi="600" verticalDpi="600" orientation="portrait" scale="75" r:id="rId1"/>
  <headerFooter alignWithMargins="0">
    <oddFooter>&amp;R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xSplit="2" ySplit="6" topLeftCell="C22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20" sqref="B20"/>
    </sheetView>
  </sheetViews>
  <sheetFormatPr defaultColWidth="9.140625" defaultRowHeight="12.75"/>
  <cols>
    <col min="1" max="1" width="3.140625" style="66" customWidth="1"/>
    <col min="2" max="2" width="57.8515625" style="66" customWidth="1"/>
    <col min="3" max="3" width="15.7109375" style="66" customWidth="1"/>
    <col min="4" max="4" width="14.140625" style="66" hidden="1" customWidth="1"/>
    <col min="5" max="6" width="15.421875" style="66" hidden="1" customWidth="1"/>
    <col min="7" max="7" width="1.57421875" style="66" customWidth="1"/>
    <col min="8" max="16384" width="9.140625" style="66" customWidth="1"/>
  </cols>
  <sheetData>
    <row r="1" spans="2:6" ht="15.75">
      <c r="B1" s="336" t="s">
        <v>0</v>
      </c>
      <c r="C1" s="336"/>
      <c r="D1" s="336"/>
      <c r="E1" s="336"/>
      <c r="F1" s="67"/>
    </row>
    <row r="2" spans="2:6" ht="15.75">
      <c r="B2" s="336" t="s">
        <v>79</v>
      </c>
      <c r="C2" s="336"/>
      <c r="D2" s="336"/>
      <c r="E2" s="336"/>
      <c r="F2" s="67"/>
    </row>
    <row r="3" spans="2:6" ht="15.75">
      <c r="B3" s="336" t="s">
        <v>1</v>
      </c>
      <c r="C3" s="336"/>
      <c r="D3" s="336"/>
      <c r="E3" s="336"/>
      <c r="F3" s="67"/>
    </row>
    <row r="4" spans="2:5" ht="15.75">
      <c r="B4" s="335">
        <f>+SUS!B5</f>
        <v>38928</v>
      </c>
      <c r="C4" s="335"/>
      <c r="D4" s="335"/>
      <c r="E4" s="335"/>
    </row>
    <row r="5" spans="2:4" ht="15.75" thickBot="1">
      <c r="B5" s="68"/>
      <c r="C5" s="68"/>
      <c r="D5" s="68"/>
    </row>
    <row r="6" spans="1:7" ht="15.75">
      <c r="A6" s="90"/>
      <c r="B6" s="91"/>
      <c r="C6" s="123" t="s">
        <v>34</v>
      </c>
      <c r="D6" s="115" t="s">
        <v>39</v>
      </c>
      <c r="E6" s="115" t="s">
        <v>40</v>
      </c>
      <c r="F6" s="117" t="s">
        <v>42</v>
      </c>
      <c r="G6" s="92"/>
    </row>
    <row r="7" spans="1:7" ht="15">
      <c r="A7" s="93"/>
      <c r="B7" s="69"/>
      <c r="C7" s="69"/>
      <c r="D7" s="69"/>
      <c r="E7" s="94"/>
      <c r="F7" s="94"/>
      <c r="G7" s="95"/>
    </row>
    <row r="8" spans="1:7" ht="15">
      <c r="A8" s="96">
        <v>1</v>
      </c>
      <c r="B8" s="16" t="s">
        <v>14</v>
      </c>
      <c r="C8" s="16"/>
      <c r="D8" s="97"/>
      <c r="E8" s="97"/>
      <c r="F8" s="97"/>
      <c r="G8" s="95"/>
    </row>
    <row r="9" spans="1:7" ht="15">
      <c r="A9" s="96">
        <f>+A8+1</f>
        <v>2</v>
      </c>
      <c r="B9" s="70"/>
      <c r="C9" s="70"/>
      <c r="D9" s="97"/>
      <c r="E9" s="97"/>
      <c r="F9" s="97"/>
      <c r="G9" s="95"/>
    </row>
    <row r="10" spans="1:7" ht="15">
      <c r="A10" s="96">
        <f aca="true" t="shared" si="0" ref="A10:A61">+A9+1</f>
        <v>3</v>
      </c>
      <c r="B10" s="70"/>
      <c r="C10" s="70"/>
      <c r="D10" s="97"/>
      <c r="E10" s="97"/>
      <c r="F10" s="97"/>
      <c r="G10" s="95"/>
    </row>
    <row r="11" spans="1:7" ht="15">
      <c r="A11" s="96">
        <f t="shared" si="0"/>
        <v>4</v>
      </c>
      <c r="B11" s="70"/>
      <c r="C11" s="70"/>
      <c r="D11" s="97"/>
      <c r="E11" s="97"/>
      <c r="F11" s="97"/>
      <c r="G11" s="95"/>
    </row>
    <row r="12" spans="1:7" ht="15">
      <c r="A12" s="96">
        <f t="shared" si="0"/>
        <v>5</v>
      </c>
      <c r="B12" s="70"/>
      <c r="C12" s="70"/>
      <c r="D12" s="97"/>
      <c r="E12" s="97"/>
      <c r="F12" s="97"/>
      <c r="G12" s="95"/>
    </row>
    <row r="13" spans="1:7" ht="15">
      <c r="A13" s="96">
        <f t="shared" si="0"/>
        <v>6</v>
      </c>
      <c r="B13" s="70"/>
      <c r="C13" s="70"/>
      <c r="D13" s="97"/>
      <c r="E13" s="97"/>
      <c r="F13" s="97"/>
      <c r="G13" s="95"/>
    </row>
    <row r="14" spans="1:7" ht="15">
      <c r="A14" s="96">
        <f t="shared" si="0"/>
        <v>7</v>
      </c>
      <c r="B14" s="70"/>
      <c r="C14" s="70"/>
      <c r="D14" s="97"/>
      <c r="E14" s="97"/>
      <c r="F14" s="97"/>
      <c r="G14" s="95"/>
    </row>
    <row r="15" spans="1:7" ht="15">
      <c r="A15" s="96">
        <f t="shared" si="0"/>
        <v>8</v>
      </c>
      <c r="B15" s="70"/>
      <c r="C15" s="70"/>
      <c r="D15" s="97"/>
      <c r="E15" s="97"/>
      <c r="F15" s="97"/>
      <c r="G15" s="95"/>
    </row>
    <row r="16" spans="1:7" ht="15">
      <c r="A16" s="96">
        <f t="shared" si="0"/>
        <v>9</v>
      </c>
      <c r="B16" s="70"/>
      <c r="C16" s="70"/>
      <c r="D16" s="97"/>
      <c r="E16" s="97"/>
      <c r="F16" s="97"/>
      <c r="G16" s="95"/>
    </row>
    <row r="17" spans="1:7" ht="15">
      <c r="A17" s="96">
        <f t="shared" si="0"/>
        <v>10</v>
      </c>
      <c r="B17" s="70"/>
      <c r="C17" s="70"/>
      <c r="D17" s="97"/>
      <c r="E17" s="97"/>
      <c r="F17" s="97"/>
      <c r="G17" s="95"/>
    </row>
    <row r="18" spans="1:7" ht="15">
      <c r="A18" s="96">
        <f t="shared" si="0"/>
        <v>11</v>
      </c>
      <c r="B18" s="16"/>
      <c r="C18" s="16"/>
      <c r="D18" s="97"/>
      <c r="E18" s="97"/>
      <c r="F18" s="97"/>
      <c r="G18" s="95"/>
    </row>
    <row r="19" spans="1:7" ht="15">
      <c r="A19" s="96">
        <f t="shared" si="0"/>
        <v>12</v>
      </c>
      <c r="B19" s="70"/>
      <c r="C19" s="70"/>
      <c r="D19" s="97"/>
      <c r="E19" s="97"/>
      <c r="F19" s="97"/>
      <c r="G19" s="95"/>
    </row>
    <row r="20" spans="1:7" ht="15">
      <c r="A20" s="96">
        <f t="shared" si="0"/>
        <v>13</v>
      </c>
      <c r="B20" s="70"/>
      <c r="C20" s="70"/>
      <c r="D20" s="97"/>
      <c r="E20" s="97"/>
      <c r="F20" s="97"/>
      <c r="G20" s="95"/>
    </row>
    <row r="21" spans="1:7" ht="15">
      <c r="A21" s="96">
        <f t="shared" si="0"/>
        <v>14</v>
      </c>
      <c r="B21" s="70"/>
      <c r="C21" s="70"/>
      <c r="D21" s="97"/>
      <c r="E21" s="97"/>
      <c r="F21" s="97"/>
      <c r="G21" s="95"/>
    </row>
    <row r="22" spans="1:7" ht="15">
      <c r="A22" s="96">
        <f t="shared" si="0"/>
        <v>15</v>
      </c>
      <c r="B22" s="70"/>
      <c r="C22" s="70"/>
      <c r="D22" s="97"/>
      <c r="E22" s="97"/>
      <c r="F22" s="97"/>
      <c r="G22" s="95"/>
    </row>
    <row r="23" spans="1:7" ht="15">
      <c r="A23" s="96">
        <f t="shared" si="0"/>
        <v>16</v>
      </c>
      <c r="B23" s="70"/>
      <c r="C23" s="70"/>
      <c r="D23" s="97"/>
      <c r="E23" s="97"/>
      <c r="F23" s="97"/>
      <c r="G23" s="95"/>
    </row>
    <row r="24" spans="1:7" ht="15">
      <c r="A24" s="96">
        <f t="shared" si="0"/>
        <v>17</v>
      </c>
      <c r="B24" s="70"/>
      <c r="C24" s="70"/>
      <c r="D24" s="97"/>
      <c r="E24" s="97"/>
      <c r="F24" s="97"/>
      <c r="G24" s="95"/>
    </row>
    <row r="25" spans="1:7" ht="15">
      <c r="A25" s="96">
        <f t="shared" si="0"/>
        <v>18</v>
      </c>
      <c r="B25" s="70"/>
      <c r="C25" s="70"/>
      <c r="D25" s="97"/>
      <c r="E25" s="97"/>
      <c r="F25" s="97"/>
      <c r="G25" s="95"/>
    </row>
    <row r="26" spans="1:7" ht="15">
      <c r="A26" s="96">
        <f t="shared" si="0"/>
        <v>19</v>
      </c>
      <c r="B26" s="70"/>
      <c r="C26" s="70"/>
      <c r="D26" s="97"/>
      <c r="E26" s="97"/>
      <c r="F26" s="97"/>
      <c r="G26" s="95"/>
    </row>
    <row r="27" spans="1:7" ht="15">
      <c r="A27" s="96">
        <f t="shared" si="0"/>
        <v>20</v>
      </c>
      <c r="B27" s="16"/>
      <c r="C27" s="16"/>
      <c r="D27" s="97"/>
      <c r="E27" s="97"/>
      <c r="F27" s="97"/>
      <c r="G27" s="95"/>
    </row>
    <row r="28" spans="1:7" ht="15">
      <c r="A28" s="96">
        <f t="shared" si="0"/>
        <v>21</v>
      </c>
      <c r="B28" s="70"/>
      <c r="C28" s="70"/>
      <c r="D28" s="97"/>
      <c r="E28" s="97"/>
      <c r="F28" s="97"/>
      <c r="G28" s="95"/>
    </row>
    <row r="29" spans="1:7" ht="15">
      <c r="A29" s="96">
        <f t="shared" si="0"/>
        <v>22</v>
      </c>
      <c r="B29" s="70"/>
      <c r="C29" s="70"/>
      <c r="D29" s="97"/>
      <c r="E29" s="97"/>
      <c r="F29" s="97"/>
      <c r="G29" s="95"/>
    </row>
    <row r="30" spans="1:7" ht="15">
      <c r="A30" s="96">
        <f t="shared" si="0"/>
        <v>23</v>
      </c>
      <c r="B30" s="70"/>
      <c r="C30" s="70"/>
      <c r="D30" s="97"/>
      <c r="E30" s="97"/>
      <c r="F30" s="97"/>
      <c r="G30" s="95"/>
    </row>
    <row r="31" spans="1:7" ht="15">
      <c r="A31" s="96">
        <f t="shared" si="0"/>
        <v>24</v>
      </c>
      <c r="B31" s="70"/>
      <c r="C31" s="70"/>
      <c r="D31" s="97"/>
      <c r="E31" s="97"/>
      <c r="F31" s="97"/>
      <c r="G31" s="95"/>
    </row>
    <row r="32" spans="1:7" ht="15">
      <c r="A32" s="96">
        <f t="shared" si="0"/>
        <v>25</v>
      </c>
      <c r="B32" s="70"/>
      <c r="C32" s="70"/>
      <c r="D32" s="97"/>
      <c r="E32" s="97"/>
      <c r="F32" s="97"/>
      <c r="G32" s="95"/>
    </row>
    <row r="33" spans="1:7" ht="15">
      <c r="A33" s="96">
        <f t="shared" si="0"/>
        <v>26</v>
      </c>
      <c r="B33" s="70"/>
      <c r="C33" s="70"/>
      <c r="D33" s="97"/>
      <c r="E33" s="97"/>
      <c r="F33" s="97"/>
      <c r="G33" s="95"/>
    </row>
    <row r="34" spans="1:7" ht="15">
      <c r="A34" s="96">
        <f t="shared" si="0"/>
        <v>27</v>
      </c>
      <c r="B34" s="70"/>
      <c r="C34" s="70"/>
      <c r="D34" s="97"/>
      <c r="E34" s="97"/>
      <c r="F34" s="97"/>
      <c r="G34" s="95"/>
    </row>
    <row r="35" spans="1:7" ht="15">
      <c r="A35" s="96">
        <f t="shared" si="0"/>
        <v>28</v>
      </c>
      <c r="B35" s="70"/>
      <c r="C35" s="70"/>
      <c r="D35" s="97"/>
      <c r="E35" s="97"/>
      <c r="F35" s="97"/>
      <c r="G35" s="95"/>
    </row>
    <row r="36" spans="1:7" ht="15">
      <c r="A36" s="96">
        <f>+A34+1</f>
        <v>28</v>
      </c>
      <c r="B36" s="70"/>
      <c r="C36" s="70"/>
      <c r="D36" s="97"/>
      <c r="E36" s="97"/>
      <c r="F36" s="97"/>
      <c r="G36" s="95"/>
    </row>
    <row r="37" spans="1:7" ht="15">
      <c r="A37" s="96">
        <f t="shared" si="0"/>
        <v>29</v>
      </c>
      <c r="B37" s="70"/>
      <c r="C37" s="70"/>
      <c r="D37" s="97"/>
      <c r="E37" s="97"/>
      <c r="F37" s="97"/>
      <c r="G37" s="95"/>
    </row>
    <row r="38" spans="1:7" ht="15">
      <c r="A38" s="96">
        <f t="shared" si="0"/>
        <v>30</v>
      </c>
      <c r="B38" s="70"/>
      <c r="C38" s="70"/>
      <c r="D38" s="97"/>
      <c r="E38" s="97"/>
      <c r="F38" s="97"/>
      <c r="G38" s="95"/>
    </row>
    <row r="39" spans="1:7" ht="15">
      <c r="A39" s="96">
        <f t="shared" si="0"/>
        <v>31</v>
      </c>
      <c r="B39" s="70"/>
      <c r="C39" s="70"/>
      <c r="D39" s="97"/>
      <c r="E39" s="97"/>
      <c r="F39" s="97"/>
      <c r="G39" s="95"/>
    </row>
    <row r="40" spans="1:7" ht="15">
      <c r="A40" s="96">
        <f t="shared" si="0"/>
        <v>32</v>
      </c>
      <c r="B40" s="16"/>
      <c r="C40" s="16"/>
      <c r="D40" s="97"/>
      <c r="E40" s="97"/>
      <c r="F40" s="97"/>
      <c r="G40" s="95"/>
    </row>
    <row r="41" spans="1:7" ht="15">
      <c r="A41" s="96">
        <f t="shared" si="0"/>
        <v>33</v>
      </c>
      <c r="B41" s="16"/>
      <c r="C41" s="16"/>
      <c r="D41" s="97"/>
      <c r="E41" s="97"/>
      <c r="F41" s="97"/>
      <c r="G41" s="95"/>
    </row>
    <row r="42" spans="1:7" ht="15">
      <c r="A42" s="96">
        <f t="shared" si="0"/>
        <v>34</v>
      </c>
      <c r="B42" s="70"/>
      <c r="C42" s="70"/>
      <c r="D42" s="97"/>
      <c r="E42" s="97"/>
      <c r="F42" s="97"/>
      <c r="G42" s="95"/>
    </row>
    <row r="43" spans="1:7" ht="15">
      <c r="A43" s="96">
        <f t="shared" si="0"/>
        <v>35</v>
      </c>
      <c r="B43" s="16"/>
      <c r="C43" s="16"/>
      <c r="D43" s="97"/>
      <c r="E43" s="97"/>
      <c r="F43" s="97"/>
      <c r="G43" s="95"/>
    </row>
    <row r="44" spans="1:7" ht="15">
      <c r="A44" s="96">
        <f t="shared" si="0"/>
        <v>36</v>
      </c>
      <c r="B44" s="70"/>
      <c r="C44" s="70"/>
      <c r="D44" s="97"/>
      <c r="E44" s="97"/>
      <c r="F44" s="97"/>
      <c r="G44" s="95"/>
    </row>
    <row r="45" spans="1:7" ht="15">
      <c r="A45" s="96">
        <f t="shared" si="0"/>
        <v>37</v>
      </c>
      <c r="B45" s="16"/>
      <c r="C45" s="16"/>
      <c r="D45" s="97"/>
      <c r="E45" s="97"/>
      <c r="F45" s="97"/>
      <c r="G45" s="95"/>
    </row>
    <row r="46" spans="1:7" ht="15">
      <c r="A46" s="96">
        <f t="shared" si="0"/>
        <v>38</v>
      </c>
      <c r="B46" s="70"/>
      <c r="C46" s="70"/>
      <c r="D46" s="97"/>
      <c r="E46" s="97"/>
      <c r="F46" s="97"/>
      <c r="G46" s="95"/>
    </row>
    <row r="47" spans="1:7" ht="15">
      <c r="A47" s="96">
        <f t="shared" si="0"/>
        <v>39</v>
      </c>
      <c r="B47" s="70"/>
      <c r="C47" s="70"/>
      <c r="D47" s="97"/>
      <c r="E47" s="97"/>
      <c r="F47" s="97"/>
      <c r="G47" s="95"/>
    </row>
    <row r="48" spans="1:7" ht="15">
      <c r="A48" s="96">
        <f t="shared" si="0"/>
        <v>40</v>
      </c>
      <c r="B48" s="70"/>
      <c r="C48" s="70"/>
      <c r="D48" s="97"/>
      <c r="E48" s="97"/>
      <c r="F48" s="97"/>
      <c r="G48" s="95"/>
    </row>
    <row r="49" spans="1:7" ht="15">
      <c r="A49" s="96">
        <f>+A48+1</f>
        <v>41</v>
      </c>
      <c r="B49" s="16"/>
      <c r="C49" s="16"/>
      <c r="D49" s="97"/>
      <c r="E49" s="97"/>
      <c r="F49" s="97"/>
      <c r="G49" s="95"/>
    </row>
    <row r="50" spans="1:7" ht="15">
      <c r="A50" s="96">
        <f>+A48+1</f>
        <v>41</v>
      </c>
      <c r="B50" s="16"/>
      <c r="C50" s="16"/>
      <c r="D50" s="97"/>
      <c r="E50" s="97"/>
      <c r="F50" s="97"/>
      <c r="G50" s="95"/>
    </row>
    <row r="51" spans="1:7" ht="15">
      <c r="A51" s="96">
        <f t="shared" si="0"/>
        <v>42</v>
      </c>
      <c r="B51" s="70"/>
      <c r="C51" s="70"/>
      <c r="D51" s="97"/>
      <c r="E51" s="97"/>
      <c r="F51" s="97"/>
      <c r="G51" s="95"/>
    </row>
    <row r="52" spans="1:7" ht="15">
      <c r="A52" s="96">
        <f t="shared" si="0"/>
        <v>43</v>
      </c>
      <c r="B52" s="70"/>
      <c r="C52" s="70"/>
      <c r="D52" s="97"/>
      <c r="E52" s="97"/>
      <c r="F52" s="97"/>
      <c r="G52" s="95"/>
    </row>
    <row r="53" spans="1:7" ht="15">
      <c r="A53" s="96">
        <f t="shared" si="0"/>
        <v>44</v>
      </c>
      <c r="B53" s="70"/>
      <c r="C53" s="70"/>
      <c r="D53" s="97"/>
      <c r="E53" s="97"/>
      <c r="F53" s="97"/>
      <c r="G53" s="95"/>
    </row>
    <row r="54" spans="1:7" ht="15">
      <c r="A54" s="96">
        <f t="shared" si="0"/>
        <v>45</v>
      </c>
      <c r="B54" s="16"/>
      <c r="C54" s="16"/>
      <c r="D54" s="97"/>
      <c r="E54" s="97"/>
      <c r="F54" s="97"/>
      <c r="G54" s="95"/>
    </row>
    <row r="55" spans="1:7" ht="15">
      <c r="A55" s="96">
        <f t="shared" si="0"/>
        <v>46</v>
      </c>
      <c r="B55" s="16"/>
      <c r="C55" s="16"/>
      <c r="D55" s="97"/>
      <c r="E55" s="97"/>
      <c r="F55" s="97"/>
      <c r="G55" s="95"/>
    </row>
    <row r="56" spans="1:7" ht="15">
      <c r="A56" s="96">
        <f t="shared" si="0"/>
        <v>47</v>
      </c>
      <c r="B56" s="16"/>
      <c r="C56" s="16"/>
      <c r="D56" s="97"/>
      <c r="E56" s="97"/>
      <c r="F56" s="97"/>
      <c r="G56" s="95"/>
    </row>
    <row r="57" spans="1:7" ht="15">
      <c r="A57" s="96">
        <f t="shared" si="0"/>
        <v>48</v>
      </c>
      <c r="B57" s="16"/>
      <c r="C57" s="16"/>
      <c r="D57" s="97"/>
      <c r="E57" s="97"/>
      <c r="F57" s="97"/>
      <c r="G57" s="95"/>
    </row>
    <row r="58" spans="1:7" ht="15">
      <c r="A58" s="96">
        <f t="shared" si="0"/>
        <v>49</v>
      </c>
      <c r="B58" s="70"/>
      <c r="C58" s="70"/>
      <c r="D58" s="97"/>
      <c r="E58" s="97"/>
      <c r="F58" s="97"/>
      <c r="G58" s="95"/>
    </row>
    <row r="59" spans="1:7" ht="15">
      <c r="A59" s="96">
        <f t="shared" si="0"/>
        <v>50</v>
      </c>
      <c r="B59" s="70"/>
      <c r="C59" s="70"/>
      <c r="D59" s="97"/>
      <c r="E59" s="97"/>
      <c r="F59" s="97"/>
      <c r="G59" s="95"/>
    </row>
    <row r="60" spans="1:7" ht="15">
      <c r="A60" s="96">
        <f t="shared" si="0"/>
        <v>51</v>
      </c>
      <c r="B60" s="70"/>
      <c r="C60" s="70"/>
      <c r="D60" s="97"/>
      <c r="E60" s="97"/>
      <c r="F60" s="97"/>
      <c r="G60" s="95"/>
    </row>
    <row r="61" spans="1:7" ht="15">
      <c r="A61" s="96">
        <f t="shared" si="0"/>
        <v>52</v>
      </c>
      <c r="B61" s="106" t="s">
        <v>34</v>
      </c>
      <c r="C61" s="106"/>
      <c r="D61" s="71">
        <f>SUM(D8:D52)</f>
        <v>0</v>
      </c>
      <c r="E61" s="71">
        <f>SUM(E8:E60)</f>
        <v>0</v>
      </c>
      <c r="F61" s="71">
        <f>SUM(F8:F60)</f>
        <v>0</v>
      </c>
      <c r="G61" s="95"/>
    </row>
    <row r="62" spans="1:7" ht="13.5" thickBot="1">
      <c r="A62" s="98"/>
      <c r="B62" s="99"/>
      <c r="C62" s="99"/>
      <c r="D62" s="102"/>
      <c r="E62" s="99"/>
      <c r="F62" s="99"/>
      <c r="G62" s="100"/>
    </row>
    <row r="63" spans="1:4" ht="12.75">
      <c r="A63" s="94"/>
      <c r="D63" s="103"/>
    </row>
    <row r="69" spans="2:3" ht="12.75">
      <c r="B69" s="82"/>
      <c r="C69" s="82"/>
    </row>
    <row r="70" spans="4:6" ht="12.75">
      <c r="D70" s="80"/>
      <c r="E70" s="80"/>
      <c r="F70" s="80"/>
    </row>
  </sheetData>
  <mergeCells count="4">
    <mergeCell ref="B3:E3"/>
    <mergeCell ref="B4:E4"/>
    <mergeCell ref="B1:E1"/>
    <mergeCell ref="B2:E2"/>
  </mergeCells>
  <printOptions horizontalCentered="1"/>
  <pageMargins left="0" right="0" top="0.5" bottom="0.5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workbookViewId="0" topLeftCell="A1">
      <pane xSplit="2" ySplit="7" topLeftCell="C30" activePane="bottomRight" state="frozen"/>
      <selection pane="topLeft" activeCell="E109" sqref="E109"/>
      <selection pane="topRight" activeCell="E109" sqref="E109"/>
      <selection pane="bottomLeft" activeCell="E109" sqref="E109"/>
      <selection pane="bottomRight" activeCell="K16" sqref="K16"/>
    </sheetView>
  </sheetViews>
  <sheetFormatPr defaultColWidth="10.7109375" defaultRowHeight="12.75"/>
  <cols>
    <col min="1" max="1" width="4.140625" style="60" customWidth="1"/>
    <col min="2" max="2" width="56.140625" style="61" bestFit="1" customWidth="1"/>
    <col min="3" max="3" width="16.8515625" style="61" bestFit="1" customWidth="1"/>
    <col min="4" max="5" width="21.421875" style="61" hidden="1" customWidth="1"/>
    <col min="6" max="6" width="20.8515625" style="15" hidden="1" customWidth="1"/>
    <col min="7" max="7" width="21.140625" style="15" hidden="1" customWidth="1"/>
    <col min="8" max="8" width="2.7109375" style="15" customWidth="1"/>
    <col min="9" max="16384" width="10.7109375" style="15" customWidth="1"/>
  </cols>
  <sheetData>
    <row r="1" spans="1:7" s="2" customFormat="1" ht="15.75">
      <c r="A1" s="74"/>
      <c r="B1" s="336" t="s">
        <v>38</v>
      </c>
      <c r="C1" s="336"/>
      <c r="D1" s="336"/>
      <c r="E1" s="336"/>
      <c r="F1" s="336"/>
      <c r="G1" s="336"/>
    </row>
    <row r="2" spans="1:7" s="2" customFormat="1" ht="15.75">
      <c r="A2" s="74"/>
      <c r="B2" s="336" t="s">
        <v>54</v>
      </c>
      <c r="C2" s="336"/>
      <c r="D2" s="336"/>
      <c r="E2" s="336"/>
      <c r="F2" s="336"/>
      <c r="G2" s="336"/>
    </row>
    <row r="3" spans="1:7" s="2" customFormat="1" ht="15.75">
      <c r="A3" s="74"/>
      <c r="B3" s="336" t="s">
        <v>17</v>
      </c>
      <c r="C3" s="336"/>
      <c r="D3" s="336"/>
      <c r="E3" s="336"/>
      <c r="F3" s="336"/>
      <c r="G3" s="336"/>
    </row>
    <row r="4" spans="1:7" s="2" customFormat="1" ht="15.75">
      <c r="A4" s="74"/>
      <c r="B4" s="335">
        <f>+'SUS NR'!B4:E4</f>
        <v>38928</v>
      </c>
      <c r="C4" s="335"/>
      <c r="D4" s="335"/>
      <c r="E4" s="335"/>
      <c r="F4" s="335"/>
      <c r="G4" s="335"/>
    </row>
    <row r="5" spans="1:6" s="7" customFormat="1" ht="15.75" thickBot="1">
      <c r="A5" s="75"/>
      <c r="B5" s="76"/>
      <c r="C5" s="77"/>
      <c r="D5" s="77"/>
      <c r="E5" s="77"/>
      <c r="F5" s="78"/>
    </row>
    <row r="6" spans="1:8" s="7" customFormat="1" ht="15" customHeight="1">
      <c r="A6" s="72"/>
      <c r="B6" s="73"/>
      <c r="C6" s="339" t="s">
        <v>32</v>
      </c>
      <c r="D6" s="339" t="s">
        <v>33</v>
      </c>
      <c r="E6" s="339" t="s">
        <v>45</v>
      </c>
      <c r="F6" s="339" t="s">
        <v>46</v>
      </c>
      <c r="G6" s="337" t="s">
        <v>52</v>
      </c>
      <c r="H6" s="110"/>
    </row>
    <row r="7" spans="1:8" s="7" customFormat="1" ht="31.5" customHeight="1">
      <c r="A7" s="49"/>
      <c r="B7" s="4"/>
      <c r="C7" s="340"/>
      <c r="D7" s="340"/>
      <c r="E7" s="340"/>
      <c r="F7" s="340"/>
      <c r="G7" s="338" t="s">
        <v>41</v>
      </c>
      <c r="H7" s="111"/>
    </row>
    <row r="8" spans="1:8" ht="15.75">
      <c r="A8" s="50">
        <v>1</v>
      </c>
      <c r="B8" s="13" t="s">
        <v>80</v>
      </c>
      <c r="C8" s="16">
        <v>6885881</v>
      </c>
      <c r="D8" s="16"/>
      <c r="E8" s="16"/>
      <c r="F8" s="16"/>
      <c r="G8" s="16"/>
      <c r="H8" s="112"/>
    </row>
    <row r="9" spans="1:8" ht="10.5" customHeight="1">
      <c r="A9" s="50">
        <f aca="true" t="shared" si="0" ref="A9:A14">+A8+1</f>
        <v>2</v>
      </c>
      <c r="B9" s="16"/>
      <c r="C9" s="16"/>
      <c r="D9" s="16"/>
      <c r="E9" s="16"/>
      <c r="F9" s="16"/>
      <c r="G9" s="16"/>
      <c r="H9" s="112"/>
    </row>
    <row r="10" spans="1:8" ht="15">
      <c r="A10" s="50">
        <f t="shared" si="0"/>
        <v>3</v>
      </c>
      <c r="B10" s="51" t="s">
        <v>56</v>
      </c>
      <c r="C10" s="16"/>
      <c r="D10" s="16"/>
      <c r="E10" s="16"/>
      <c r="F10" s="16"/>
      <c r="G10" s="16"/>
      <c r="H10" s="112"/>
    </row>
    <row r="11" spans="1:8" ht="15">
      <c r="A11" s="50">
        <f t="shared" si="0"/>
        <v>4</v>
      </c>
      <c r="B11" s="16" t="s">
        <v>70</v>
      </c>
      <c r="C11" s="18"/>
      <c r="D11" s="18"/>
      <c r="E11" s="18"/>
      <c r="F11" s="18"/>
      <c r="G11" s="18"/>
      <c r="H11" s="112"/>
    </row>
    <row r="12" spans="1:8" ht="15">
      <c r="A12" s="50">
        <f t="shared" si="0"/>
        <v>5</v>
      </c>
      <c r="B12" s="16" t="s">
        <v>71</v>
      </c>
      <c r="C12" s="18"/>
      <c r="D12" s="18"/>
      <c r="E12" s="18"/>
      <c r="F12" s="18"/>
      <c r="G12" s="18"/>
      <c r="H12" s="112"/>
    </row>
    <row r="13" spans="1:8" ht="15">
      <c r="A13" s="50">
        <f t="shared" si="0"/>
        <v>6</v>
      </c>
      <c r="B13" s="16"/>
      <c r="C13" s="18"/>
      <c r="D13" s="52"/>
      <c r="E13" s="52"/>
      <c r="F13" s="52"/>
      <c r="G13" s="52"/>
      <c r="H13" s="112"/>
    </row>
    <row r="14" spans="1:8" ht="16.5" thickBot="1">
      <c r="A14" s="50">
        <f t="shared" si="0"/>
        <v>7</v>
      </c>
      <c r="B14" s="13" t="s">
        <v>81</v>
      </c>
      <c r="C14" s="54">
        <f>SUM(C8:C13)</f>
        <v>6885881</v>
      </c>
      <c r="D14" s="54">
        <f>SUM(D8:D13)</f>
        <v>0</v>
      </c>
      <c r="E14" s="54">
        <f>SUM(E8:E13)</f>
        <v>0</v>
      </c>
      <c r="F14" s="54">
        <f>SUM(F8:F13)</f>
        <v>0</v>
      </c>
      <c r="G14" s="54">
        <f>SUM(G8:G13)</f>
        <v>0</v>
      </c>
      <c r="H14" s="112"/>
    </row>
    <row r="15" spans="1:8" ht="15">
      <c r="A15" s="50">
        <f aca="true" t="shared" si="1" ref="A15:A39">+A14+1</f>
        <v>8</v>
      </c>
      <c r="B15" s="16"/>
      <c r="C15" s="16"/>
      <c r="D15" s="16"/>
      <c r="E15" s="16"/>
      <c r="F15" s="47"/>
      <c r="G15" s="47"/>
      <c r="H15" s="112"/>
    </row>
    <row r="16" spans="1:8" ht="15">
      <c r="A16" s="50">
        <f t="shared" si="1"/>
        <v>9</v>
      </c>
      <c r="B16" s="55" t="s">
        <v>24</v>
      </c>
      <c r="C16" s="16"/>
      <c r="D16" s="16"/>
      <c r="E16" s="16"/>
      <c r="F16" s="47"/>
      <c r="G16" s="47"/>
      <c r="H16" s="112"/>
    </row>
    <row r="17" spans="1:8" ht="15">
      <c r="A17" s="50">
        <f t="shared" si="1"/>
        <v>10</v>
      </c>
      <c r="B17" s="16" t="s">
        <v>72</v>
      </c>
      <c r="C17" s="18"/>
      <c r="D17" s="18"/>
      <c r="E17" s="18"/>
      <c r="F17" s="18"/>
      <c r="G17" s="18"/>
      <c r="H17" s="112"/>
    </row>
    <row r="18" spans="1:8" ht="15">
      <c r="A18" s="50">
        <f t="shared" si="1"/>
        <v>11</v>
      </c>
      <c r="B18" s="16" t="s">
        <v>73</v>
      </c>
      <c r="C18" s="18"/>
      <c r="D18" s="18"/>
      <c r="E18" s="18"/>
      <c r="F18" s="18"/>
      <c r="G18" s="18"/>
      <c r="H18" s="112"/>
    </row>
    <row r="19" spans="1:8" ht="15">
      <c r="A19" s="50">
        <f t="shared" si="1"/>
        <v>12</v>
      </c>
      <c r="B19" s="16"/>
      <c r="C19" s="18"/>
      <c r="D19" s="18"/>
      <c r="E19" s="18"/>
      <c r="F19" s="18"/>
      <c r="G19" s="18"/>
      <c r="H19" s="112"/>
    </row>
    <row r="20" spans="1:8" s="26" customFormat="1" ht="15">
      <c r="A20" s="50">
        <f t="shared" si="1"/>
        <v>13</v>
      </c>
      <c r="B20" s="56" t="s">
        <v>5</v>
      </c>
      <c r="C20" s="24">
        <f>SUM(C17:C19)</f>
        <v>0</v>
      </c>
      <c r="D20" s="24">
        <f>SUM(D17:D19)</f>
        <v>0</v>
      </c>
      <c r="E20" s="24">
        <f>SUM(E17:E19)</f>
        <v>0</v>
      </c>
      <c r="F20" s="24">
        <f>SUM(F17:F19)</f>
        <v>0</v>
      </c>
      <c r="G20" s="24">
        <f>SUM(G17:G19)</f>
        <v>0</v>
      </c>
      <c r="H20" s="113"/>
    </row>
    <row r="21" spans="1:8" ht="15">
      <c r="A21" s="50">
        <f t="shared" si="1"/>
        <v>14</v>
      </c>
      <c r="B21" s="16"/>
      <c r="C21" s="16"/>
      <c r="D21" s="16"/>
      <c r="E21" s="16"/>
      <c r="F21" s="47"/>
      <c r="G21" s="47"/>
      <c r="H21" s="112"/>
    </row>
    <row r="22" spans="1:8" ht="15">
      <c r="A22" s="50">
        <f t="shared" si="1"/>
        <v>15</v>
      </c>
      <c r="B22" s="55" t="s">
        <v>25</v>
      </c>
      <c r="C22" s="16"/>
      <c r="D22" s="16"/>
      <c r="E22" s="16"/>
      <c r="F22" s="47"/>
      <c r="G22" s="47"/>
      <c r="H22" s="112"/>
    </row>
    <row r="23" spans="1:8" ht="15">
      <c r="A23" s="50">
        <f t="shared" si="1"/>
        <v>16</v>
      </c>
      <c r="B23" s="16" t="s">
        <v>26</v>
      </c>
      <c r="C23" s="16"/>
      <c r="D23" s="16"/>
      <c r="E23" s="16"/>
      <c r="F23" s="16"/>
      <c r="G23" s="16"/>
      <c r="H23" s="112"/>
    </row>
    <row r="24" spans="1:8" ht="15">
      <c r="A24" s="50">
        <f t="shared" si="1"/>
        <v>17</v>
      </c>
      <c r="B24" s="16" t="s">
        <v>27</v>
      </c>
      <c r="C24" s="16"/>
      <c r="D24" s="16"/>
      <c r="E24" s="16"/>
      <c r="F24" s="16"/>
      <c r="G24" s="16"/>
      <c r="H24" s="112"/>
    </row>
    <row r="25" spans="1:8" ht="15">
      <c r="A25" s="50">
        <f t="shared" si="1"/>
        <v>18</v>
      </c>
      <c r="B25" s="16" t="s">
        <v>28</v>
      </c>
      <c r="C25" s="16"/>
      <c r="D25" s="16"/>
      <c r="E25" s="16"/>
      <c r="F25" s="16"/>
      <c r="G25" s="16"/>
      <c r="H25" s="112"/>
    </row>
    <row r="26" spans="1:8" ht="15">
      <c r="A26" s="50">
        <f t="shared" si="1"/>
        <v>19</v>
      </c>
      <c r="B26" s="16" t="s">
        <v>29</v>
      </c>
      <c r="C26" s="16"/>
      <c r="D26" s="16"/>
      <c r="E26" s="16"/>
      <c r="F26" s="16"/>
      <c r="G26" s="16"/>
      <c r="H26" s="112"/>
    </row>
    <row r="27" spans="1:8" ht="15">
      <c r="A27" s="50">
        <f t="shared" si="1"/>
        <v>20</v>
      </c>
      <c r="B27" s="16" t="s">
        <v>50</v>
      </c>
      <c r="C27" s="16"/>
      <c r="D27" s="16"/>
      <c r="E27" s="16"/>
      <c r="F27" s="16"/>
      <c r="G27" s="16"/>
      <c r="H27" s="112"/>
    </row>
    <row r="28" spans="1:8" ht="15">
      <c r="A28" s="50">
        <f t="shared" si="1"/>
        <v>21</v>
      </c>
      <c r="B28" s="16" t="s">
        <v>30</v>
      </c>
      <c r="C28" s="16"/>
      <c r="D28" s="16"/>
      <c r="E28" s="16"/>
      <c r="F28" s="16"/>
      <c r="G28" s="16"/>
      <c r="H28" s="112"/>
    </row>
    <row r="29" spans="1:8" ht="15">
      <c r="A29" s="50">
        <f t="shared" si="1"/>
        <v>22</v>
      </c>
      <c r="B29" s="16" t="s">
        <v>31</v>
      </c>
      <c r="C29" s="16"/>
      <c r="D29" s="16"/>
      <c r="E29" s="16"/>
      <c r="F29" s="16"/>
      <c r="G29" s="16"/>
      <c r="H29" s="112"/>
    </row>
    <row r="30" spans="1:8" ht="15">
      <c r="A30" s="50">
        <f t="shared" si="1"/>
        <v>23</v>
      </c>
      <c r="B30" s="16" t="s">
        <v>35</v>
      </c>
      <c r="C30" s="16"/>
      <c r="D30" s="16"/>
      <c r="E30" s="16"/>
      <c r="F30" s="16"/>
      <c r="G30" s="16"/>
      <c r="H30" s="112"/>
    </row>
    <row r="31" spans="1:8" ht="15">
      <c r="A31" s="50">
        <f t="shared" si="1"/>
        <v>24</v>
      </c>
      <c r="B31" s="70" t="s">
        <v>49</v>
      </c>
      <c r="C31" s="79"/>
      <c r="D31" s="79"/>
      <c r="E31" s="79"/>
      <c r="F31" s="16"/>
      <c r="G31" s="16"/>
      <c r="H31" s="112"/>
    </row>
    <row r="32" spans="1:8" ht="15">
      <c r="A32" s="50">
        <f t="shared" si="1"/>
        <v>25</v>
      </c>
      <c r="B32" s="16" t="s">
        <v>37</v>
      </c>
      <c r="C32" s="16"/>
      <c r="D32" s="16"/>
      <c r="E32" s="16"/>
      <c r="F32" s="16"/>
      <c r="G32" s="16"/>
      <c r="H32" s="112"/>
    </row>
    <row r="33" spans="1:8" ht="15">
      <c r="A33" s="50">
        <f t="shared" si="1"/>
        <v>26</v>
      </c>
      <c r="B33" s="16" t="s">
        <v>36</v>
      </c>
      <c r="C33" s="16"/>
      <c r="D33" s="16"/>
      <c r="E33" s="16"/>
      <c r="F33" s="16"/>
      <c r="G33" s="16"/>
      <c r="H33" s="112"/>
    </row>
    <row r="34" spans="1:8" ht="15">
      <c r="A34" s="50">
        <f t="shared" si="1"/>
        <v>27</v>
      </c>
      <c r="B34" s="56" t="s">
        <v>5</v>
      </c>
      <c r="C34" s="24">
        <f>SUM(C23:C33)</f>
        <v>0</v>
      </c>
      <c r="D34" s="24">
        <f>SUM(D23:D33)</f>
        <v>0</v>
      </c>
      <c r="E34" s="24">
        <f>SUM(E23:E33)</f>
        <v>0</v>
      </c>
      <c r="F34" s="24">
        <f>SUM(F23:F33)</f>
        <v>0</v>
      </c>
      <c r="G34" s="24">
        <f>SUM(G23:G33)</f>
        <v>0</v>
      </c>
      <c r="H34" s="112"/>
    </row>
    <row r="35" spans="1:8" ht="15.75" thickBot="1">
      <c r="A35" s="50">
        <f t="shared" si="1"/>
        <v>28</v>
      </c>
      <c r="B35" s="16"/>
      <c r="C35" s="16"/>
      <c r="D35" s="16"/>
      <c r="E35" s="16"/>
      <c r="F35" s="16"/>
      <c r="G35" s="16"/>
      <c r="H35" s="112"/>
    </row>
    <row r="36" spans="1:8" ht="16.5" thickBot="1" thickTop="1">
      <c r="A36" s="50">
        <f t="shared" si="1"/>
        <v>29</v>
      </c>
      <c r="B36" s="57" t="s">
        <v>62</v>
      </c>
      <c r="C36" s="35">
        <f>+C34+C20+C14</f>
        <v>6885881</v>
      </c>
      <c r="D36" s="35">
        <f>+D34+D20+D14</f>
        <v>0</v>
      </c>
      <c r="E36" s="35">
        <f>+E34+E20+E14</f>
        <v>0</v>
      </c>
      <c r="F36" s="35">
        <f>+F34+F20+F14</f>
        <v>0</v>
      </c>
      <c r="G36" s="35">
        <f>+G34+G20+G14</f>
        <v>0</v>
      </c>
      <c r="H36" s="112"/>
    </row>
    <row r="37" spans="1:8" ht="16.5" thickBot="1" thickTop="1">
      <c r="A37" s="50">
        <f t="shared" si="1"/>
        <v>30</v>
      </c>
      <c r="B37" s="16"/>
      <c r="C37" s="16"/>
      <c r="D37" s="16"/>
      <c r="E37" s="16"/>
      <c r="F37" s="16"/>
      <c r="G37" s="16"/>
      <c r="H37" s="112"/>
    </row>
    <row r="38" spans="1:8" ht="15">
      <c r="A38" s="50">
        <f t="shared" si="1"/>
        <v>31</v>
      </c>
      <c r="B38" s="36" t="s">
        <v>82</v>
      </c>
      <c r="C38" s="36">
        <f>+C36-C14</f>
        <v>0</v>
      </c>
      <c r="D38" s="36">
        <f>+D36-D14</f>
        <v>0</v>
      </c>
      <c r="E38" s="36">
        <f>+E36-E14</f>
        <v>0</v>
      </c>
      <c r="F38" s="36">
        <f>+F36-F14</f>
        <v>0</v>
      </c>
      <c r="G38" s="36">
        <f>+G36-G14</f>
        <v>0</v>
      </c>
      <c r="H38" s="112"/>
    </row>
    <row r="39" spans="1:8" ht="15.75" thickBot="1">
      <c r="A39" s="50">
        <f t="shared" si="1"/>
        <v>32</v>
      </c>
      <c r="B39" s="58" t="s">
        <v>83</v>
      </c>
      <c r="C39" s="37">
        <f>ROUND(((C36/C14)),4)-1</f>
        <v>0</v>
      </c>
      <c r="D39" s="37" t="e">
        <f>ROUND(((D36/D14)),4)-1</f>
        <v>#DIV/0!</v>
      </c>
      <c r="E39" s="37" t="e">
        <f>ROUND(((E36/E14)),4)-1</f>
        <v>#DIV/0!</v>
      </c>
      <c r="F39" s="37" t="e">
        <f>ROUND(((F36/F14)),4)-1</f>
        <v>#DIV/0!</v>
      </c>
      <c r="G39" s="37" t="e">
        <f>ROUND(((G36/G14)),4)-1</f>
        <v>#DIV/0!</v>
      </c>
      <c r="H39" s="112"/>
    </row>
    <row r="40" spans="1:8" ht="17.25" customHeight="1">
      <c r="A40" s="50"/>
      <c r="B40" s="13"/>
      <c r="C40" s="13"/>
      <c r="D40" s="13"/>
      <c r="E40" s="13"/>
      <c r="F40" s="16"/>
      <c r="G40" s="16"/>
      <c r="H40" s="112"/>
    </row>
    <row r="41" spans="1:8" ht="16.5" thickBot="1">
      <c r="A41" s="59"/>
      <c r="B41" s="124" t="s">
        <v>74</v>
      </c>
      <c r="C41" s="53"/>
      <c r="D41" s="53"/>
      <c r="E41" s="53"/>
      <c r="F41" s="58"/>
      <c r="G41" s="58"/>
      <c r="H41" s="114"/>
    </row>
    <row r="42" spans="6:7" ht="15.75">
      <c r="F42" s="87"/>
      <c r="G42" s="87"/>
    </row>
  </sheetData>
  <mergeCells count="9">
    <mergeCell ref="B1:G1"/>
    <mergeCell ref="G6:G7"/>
    <mergeCell ref="B2:G2"/>
    <mergeCell ref="B3:G3"/>
    <mergeCell ref="B4:G4"/>
    <mergeCell ref="F6:F7"/>
    <mergeCell ref="E6:E7"/>
    <mergeCell ref="C6:C7"/>
    <mergeCell ref="D6:D7"/>
  </mergeCells>
  <printOptions horizontalCentered="1"/>
  <pageMargins left="0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3"/>
  <sheetViews>
    <sheetView zoomScale="90" zoomScaleNormal="90" workbookViewId="0" topLeftCell="A5">
      <pane xSplit="1" ySplit="2" topLeftCell="B7" activePane="bottomRight" state="frozen"/>
      <selection pane="topLeft" activeCell="A5" sqref="A5"/>
      <selection pane="topRight" activeCell="B5" sqref="B5"/>
      <selection pane="bottomLeft" activeCell="A7" sqref="A7"/>
      <selection pane="bottomRight" activeCell="E186" sqref="E186"/>
    </sheetView>
  </sheetViews>
  <sheetFormatPr defaultColWidth="9.140625" defaultRowHeight="12.75"/>
  <cols>
    <col min="1" max="1" width="3.57421875" style="169" bestFit="1" customWidth="1"/>
    <col min="2" max="2" width="3.00390625" style="176" customWidth="1"/>
    <col min="3" max="3" width="2.8515625" style="178" customWidth="1"/>
    <col min="4" max="4" width="67.140625" style="179" customWidth="1"/>
    <col min="5" max="5" width="16.00390625" style="180" bestFit="1" customWidth="1"/>
    <col min="6" max="16384" width="9.140625" style="170" customWidth="1"/>
  </cols>
  <sheetData>
    <row r="1" spans="2:5" ht="15" customHeight="1">
      <c r="B1" s="319" t="s">
        <v>0</v>
      </c>
      <c r="C1" s="319"/>
      <c r="D1" s="319"/>
      <c r="E1" s="319"/>
    </row>
    <row r="2" spans="2:5" ht="15" customHeight="1">
      <c r="B2" s="319" t="s">
        <v>54</v>
      </c>
      <c r="C2" s="319"/>
      <c r="D2" s="319"/>
      <c r="E2" s="319"/>
    </row>
    <row r="3" spans="2:5" ht="15">
      <c r="B3" s="299" t="s">
        <v>325</v>
      </c>
      <c r="C3" s="299"/>
      <c r="D3" s="299"/>
      <c r="E3" s="299"/>
    </row>
    <row r="4" spans="2:5" ht="15">
      <c r="B4" s="171"/>
      <c r="C4" s="171"/>
      <c r="D4" s="172"/>
      <c r="E4" s="173"/>
    </row>
    <row r="5" spans="2:5" ht="15.75" customHeight="1">
      <c r="B5" s="300"/>
      <c r="C5" s="301"/>
      <c r="D5" s="301"/>
      <c r="E5" s="174"/>
    </row>
    <row r="6" spans="2:5" ht="14.25" customHeight="1">
      <c r="B6" s="137"/>
      <c r="C6" s="138"/>
      <c r="D6" s="130"/>
      <c r="E6" s="181" t="s">
        <v>326</v>
      </c>
    </row>
    <row r="7" spans="1:5" ht="15">
      <c r="A7" s="169">
        <v>1</v>
      </c>
      <c r="B7" s="315" t="s">
        <v>55</v>
      </c>
      <c r="C7" s="316"/>
      <c r="D7" s="316"/>
      <c r="E7" s="136">
        <v>3355607511</v>
      </c>
    </row>
    <row r="8" spans="1:5" ht="12" customHeight="1">
      <c r="A8" s="169">
        <f>+A7+1</f>
        <v>2</v>
      </c>
      <c r="B8" s="137"/>
      <c r="C8" s="138"/>
      <c r="D8" s="130"/>
      <c r="E8" s="139"/>
    </row>
    <row r="9" spans="1:5" ht="15">
      <c r="A9" s="169">
        <f aca="true" t="shared" si="0" ref="A9:A82">+A8+1</f>
        <v>3</v>
      </c>
      <c r="B9" s="315" t="s">
        <v>56</v>
      </c>
      <c r="C9" s="316"/>
      <c r="D9" s="316"/>
      <c r="E9" s="139"/>
    </row>
    <row r="10" spans="1:5" ht="15">
      <c r="A10" s="169">
        <f t="shared" si="0"/>
        <v>4</v>
      </c>
      <c r="B10" s="134"/>
      <c r="C10" s="135"/>
      <c r="D10" s="140" t="s">
        <v>327</v>
      </c>
      <c r="E10" s="139"/>
    </row>
    <row r="11" spans="1:5" ht="15">
      <c r="A11" s="169">
        <f t="shared" si="0"/>
        <v>5</v>
      </c>
      <c r="B11" s="134"/>
      <c r="C11" s="135"/>
      <c r="D11" s="140" t="s">
        <v>328</v>
      </c>
      <c r="E11" s="141"/>
    </row>
    <row r="12" spans="1:5" ht="15">
      <c r="A12" s="169">
        <f t="shared" si="0"/>
        <v>6</v>
      </c>
      <c r="B12" s="317" t="s">
        <v>57</v>
      </c>
      <c r="C12" s="318"/>
      <c r="D12" s="318"/>
      <c r="E12" s="143">
        <f>SUM(E7:E11)</f>
        <v>3355607511</v>
      </c>
    </row>
    <row r="13" spans="1:5" ht="15">
      <c r="A13" s="169">
        <f t="shared" si="0"/>
        <v>7</v>
      </c>
      <c r="B13" s="142"/>
      <c r="C13" s="140"/>
      <c r="D13" s="140"/>
      <c r="E13" s="139"/>
    </row>
    <row r="14" spans="1:5" ht="15">
      <c r="A14" s="169">
        <f t="shared" si="0"/>
        <v>8</v>
      </c>
      <c r="B14" s="317" t="s">
        <v>329</v>
      </c>
      <c r="C14" s="318"/>
      <c r="D14" s="318"/>
      <c r="E14" s="144">
        <v>-103750000</v>
      </c>
    </row>
    <row r="15" spans="1:5" ht="15">
      <c r="A15" s="169">
        <f t="shared" si="0"/>
        <v>9</v>
      </c>
      <c r="B15" s="317" t="s">
        <v>59</v>
      </c>
      <c r="C15" s="318"/>
      <c r="D15" s="318"/>
      <c r="E15" s="143">
        <f>SUM(E12:E14)</f>
        <v>3251857511</v>
      </c>
    </row>
    <row r="16" spans="1:5" ht="15">
      <c r="A16" s="169">
        <f t="shared" si="0"/>
        <v>10</v>
      </c>
      <c r="B16" s="142"/>
      <c r="C16" s="140"/>
      <c r="D16" s="140"/>
      <c r="E16" s="143"/>
    </row>
    <row r="17" spans="1:5" ht="15">
      <c r="A17" s="169">
        <f t="shared" si="0"/>
        <v>11</v>
      </c>
      <c r="B17" s="310" t="s">
        <v>24</v>
      </c>
      <c r="C17" s="311"/>
      <c r="D17" s="311"/>
      <c r="E17" s="143"/>
    </row>
    <row r="18" spans="1:5" ht="15">
      <c r="A18" s="169">
        <f t="shared" si="0"/>
        <v>12</v>
      </c>
      <c r="B18" s="142"/>
      <c r="C18" s="140"/>
      <c r="D18" s="145" t="s">
        <v>225</v>
      </c>
      <c r="E18" s="143"/>
    </row>
    <row r="19" spans="1:5" ht="15">
      <c r="A19" s="169">
        <f t="shared" si="0"/>
        <v>13</v>
      </c>
      <c r="B19" s="142"/>
      <c r="C19" s="140"/>
      <c r="D19" s="145" t="s">
        <v>226</v>
      </c>
      <c r="E19" s="143"/>
    </row>
    <row r="20" spans="1:5" ht="15">
      <c r="A20" s="169">
        <f t="shared" si="0"/>
        <v>14</v>
      </c>
      <c r="B20" s="142"/>
      <c r="C20" s="140"/>
      <c r="D20" s="145" t="s">
        <v>227</v>
      </c>
      <c r="E20" s="146">
        <v>6485241</v>
      </c>
    </row>
    <row r="21" spans="1:5" ht="15">
      <c r="A21" s="169">
        <f t="shared" si="0"/>
        <v>15</v>
      </c>
      <c r="B21" s="142"/>
      <c r="C21" s="140"/>
      <c r="D21" s="145" t="s">
        <v>228</v>
      </c>
      <c r="E21" s="146">
        <v>10000000</v>
      </c>
    </row>
    <row r="22" spans="1:5" ht="15">
      <c r="A22" s="169">
        <f t="shared" si="0"/>
        <v>16</v>
      </c>
      <c r="B22" s="142"/>
      <c r="C22" s="140"/>
      <c r="D22" s="145" t="s">
        <v>229</v>
      </c>
      <c r="E22" s="146">
        <v>13845079</v>
      </c>
    </row>
    <row r="23" spans="1:5" ht="15">
      <c r="A23" s="169">
        <f t="shared" si="0"/>
        <v>17</v>
      </c>
      <c r="B23" s="142"/>
      <c r="C23" s="140"/>
      <c r="D23" s="145" t="s">
        <v>230</v>
      </c>
      <c r="E23" s="146">
        <v>-13845078.6</v>
      </c>
    </row>
    <row r="24" spans="1:5" ht="15">
      <c r="A24" s="169">
        <f t="shared" si="0"/>
        <v>18</v>
      </c>
      <c r="B24" s="142"/>
      <c r="C24" s="140"/>
      <c r="D24" s="145" t="s">
        <v>231</v>
      </c>
      <c r="E24" s="146">
        <v>4266378</v>
      </c>
    </row>
    <row r="25" spans="1:5" ht="15">
      <c r="A25" s="169">
        <f t="shared" si="0"/>
        <v>19</v>
      </c>
      <c r="B25" s="142"/>
      <c r="C25" s="140"/>
      <c r="D25" s="145" t="s">
        <v>232</v>
      </c>
      <c r="E25" s="146">
        <v>5236285</v>
      </c>
    </row>
    <row r="26" spans="1:5" ht="15">
      <c r="A26" s="169">
        <f t="shared" si="0"/>
        <v>20</v>
      </c>
      <c r="B26" s="142"/>
      <c r="C26" s="140"/>
      <c r="D26" s="147" t="s">
        <v>233</v>
      </c>
      <c r="E26" s="148">
        <v>11077279</v>
      </c>
    </row>
    <row r="27" spans="1:5" ht="15">
      <c r="A27" s="169">
        <f t="shared" si="0"/>
        <v>21</v>
      </c>
      <c r="B27" s="142"/>
      <c r="C27" s="140"/>
      <c r="D27" s="145" t="s">
        <v>234</v>
      </c>
      <c r="E27" s="146">
        <v>2600000</v>
      </c>
    </row>
    <row r="28" spans="1:5" ht="15">
      <c r="A28" s="169">
        <f t="shared" si="0"/>
        <v>22</v>
      </c>
      <c r="B28" s="142"/>
      <c r="C28" s="140"/>
      <c r="D28" s="145" t="s">
        <v>235</v>
      </c>
      <c r="E28" s="146">
        <v>1742853</v>
      </c>
    </row>
    <row r="29" spans="1:5" ht="15">
      <c r="A29" s="169">
        <f t="shared" si="0"/>
        <v>23</v>
      </c>
      <c r="B29" s="142"/>
      <c r="C29" s="140"/>
      <c r="D29" s="145" t="s">
        <v>241</v>
      </c>
      <c r="E29" s="146">
        <v>764912</v>
      </c>
    </row>
    <row r="30" spans="1:5" ht="15">
      <c r="A30" s="169">
        <f t="shared" si="0"/>
        <v>24</v>
      </c>
      <c r="B30" s="142"/>
      <c r="C30" s="140"/>
      <c r="D30" s="145" t="s">
        <v>236</v>
      </c>
      <c r="E30" s="146">
        <v>27439538</v>
      </c>
    </row>
    <row r="31" spans="1:5" ht="15">
      <c r="A31" s="169">
        <f t="shared" si="0"/>
        <v>25</v>
      </c>
      <c r="B31" s="142"/>
      <c r="C31" s="140"/>
      <c r="D31" s="145" t="s">
        <v>237</v>
      </c>
      <c r="E31" s="146">
        <v>2022920</v>
      </c>
    </row>
    <row r="32" spans="1:5" ht="15">
      <c r="A32" s="169">
        <f t="shared" si="0"/>
        <v>26</v>
      </c>
      <c r="B32" s="142"/>
      <c r="C32" s="140"/>
      <c r="D32" s="145" t="s">
        <v>334</v>
      </c>
      <c r="E32" s="146">
        <v>1215350</v>
      </c>
    </row>
    <row r="33" spans="1:5" ht="15">
      <c r="A33" s="169">
        <f t="shared" si="0"/>
        <v>27</v>
      </c>
      <c r="B33" s="142"/>
      <c r="C33" s="140"/>
      <c r="D33" s="145" t="s">
        <v>335</v>
      </c>
      <c r="E33" s="146">
        <v>4707531</v>
      </c>
    </row>
    <row r="34" spans="1:5" ht="15">
      <c r="A34" s="169">
        <f t="shared" si="0"/>
        <v>28</v>
      </c>
      <c r="B34" s="142"/>
      <c r="C34" s="140"/>
      <c r="D34" s="145" t="s">
        <v>336</v>
      </c>
      <c r="E34" s="146">
        <v>5471895</v>
      </c>
    </row>
    <row r="35" spans="2:5" ht="15">
      <c r="B35" s="142"/>
      <c r="C35" s="140"/>
      <c r="D35" s="145" t="s">
        <v>341</v>
      </c>
      <c r="E35" s="146">
        <v>6562500</v>
      </c>
    </row>
    <row r="36" spans="1:5" ht="15">
      <c r="A36" s="169">
        <f>+A34+1</f>
        <v>29</v>
      </c>
      <c r="B36" s="142"/>
      <c r="C36" s="140"/>
      <c r="D36" s="161" t="s">
        <v>247</v>
      </c>
      <c r="E36" s="163">
        <v>2025000</v>
      </c>
    </row>
    <row r="37" spans="1:5" ht="15">
      <c r="A37" s="169">
        <f t="shared" si="0"/>
        <v>30</v>
      </c>
      <c r="B37" s="142"/>
      <c r="C37" s="140"/>
      <c r="D37" s="161" t="s">
        <v>337</v>
      </c>
      <c r="E37" s="146">
        <v>4000000</v>
      </c>
    </row>
    <row r="38" spans="1:5" ht="15">
      <c r="A38" s="169">
        <f t="shared" si="0"/>
        <v>31</v>
      </c>
      <c r="B38" s="142"/>
      <c r="C38" s="140"/>
      <c r="D38" s="161" t="s">
        <v>242</v>
      </c>
      <c r="E38" s="163">
        <v>24088776</v>
      </c>
    </row>
    <row r="39" spans="1:5" ht="15">
      <c r="A39" s="169">
        <f t="shared" si="0"/>
        <v>32</v>
      </c>
      <c r="B39" s="142"/>
      <c r="C39" s="140"/>
      <c r="D39" s="161" t="s">
        <v>243</v>
      </c>
      <c r="E39" s="163">
        <v>60000000</v>
      </c>
    </row>
    <row r="40" spans="1:5" ht="15">
      <c r="A40" s="169">
        <f t="shared" si="0"/>
        <v>33</v>
      </c>
      <c r="B40" s="142"/>
      <c r="C40" s="140"/>
      <c r="D40" s="161" t="s">
        <v>244</v>
      </c>
      <c r="E40" s="163">
        <v>18406500</v>
      </c>
    </row>
    <row r="41" spans="1:5" ht="15">
      <c r="A41" s="169">
        <f t="shared" si="0"/>
        <v>34</v>
      </c>
      <c r="B41" s="142"/>
      <c r="C41" s="140"/>
      <c r="D41" s="161" t="s">
        <v>245</v>
      </c>
      <c r="E41" s="163">
        <v>750000</v>
      </c>
    </row>
    <row r="42" spans="1:5" ht="15">
      <c r="A42" s="169">
        <f t="shared" si="0"/>
        <v>35</v>
      </c>
      <c r="B42" s="142"/>
      <c r="C42" s="140"/>
      <c r="D42" s="161" t="s">
        <v>246</v>
      </c>
      <c r="E42" s="163">
        <v>1800000</v>
      </c>
    </row>
    <row r="43" spans="1:5" ht="15">
      <c r="A43" s="169">
        <f t="shared" si="0"/>
        <v>36</v>
      </c>
      <c r="B43" s="142"/>
      <c r="C43" s="140"/>
      <c r="D43" s="145" t="s">
        <v>238</v>
      </c>
      <c r="E43" s="146">
        <v>148284775</v>
      </c>
    </row>
    <row r="44" spans="1:5" ht="15">
      <c r="A44" s="169">
        <f t="shared" si="0"/>
        <v>37</v>
      </c>
      <c r="B44" s="142"/>
      <c r="C44" s="140"/>
      <c r="D44" s="126" t="s">
        <v>338</v>
      </c>
      <c r="E44" s="127"/>
    </row>
    <row r="45" spans="1:5" ht="15">
      <c r="A45" s="169">
        <f t="shared" si="0"/>
        <v>38</v>
      </c>
      <c r="B45" s="142"/>
      <c r="C45" s="140"/>
      <c r="D45" s="126" t="s">
        <v>339</v>
      </c>
      <c r="E45" s="127"/>
    </row>
    <row r="46" spans="1:5" ht="15">
      <c r="A46" s="169">
        <f t="shared" si="0"/>
        <v>39</v>
      </c>
      <c r="B46" s="142"/>
      <c r="C46" s="140"/>
      <c r="D46" s="145" t="s">
        <v>240</v>
      </c>
      <c r="E46" s="146">
        <v>594372</v>
      </c>
    </row>
    <row r="47" spans="1:5" ht="15">
      <c r="A47" s="169">
        <f t="shared" si="0"/>
        <v>40</v>
      </c>
      <c r="B47" s="142"/>
      <c r="C47" s="140"/>
      <c r="D47" s="145" t="s">
        <v>239</v>
      </c>
      <c r="E47" s="146">
        <v>1303020</v>
      </c>
    </row>
    <row r="48" spans="1:5" ht="15">
      <c r="A48" s="169">
        <f t="shared" si="0"/>
        <v>41</v>
      </c>
      <c r="B48" s="142"/>
      <c r="C48" s="140"/>
      <c r="D48" s="149" t="s">
        <v>5</v>
      </c>
      <c r="E48" s="150">
        <f>SUM(E20:E47)</f>
        <v>350845125.4</v>
      </c>
    </row>
    <row r="49" spans="1:5" ht="15">
      <c r="A49" s="169">
        <f t="shared" si="0"/>
        <v>42</v>
      </c>
      <c r="B49" s="137"/>
      <c r="C49" s="138"/>
      <c r="D49" s="130"/>
      <c r="E49" s="139"/>
    </row>
    <row r="50" spans="1:5" s="175" customFormat="1" ht="15">
      <c r="A50" s="169">
        <f t="shared" si="0"/>
        <v>43</v>
      </c>
      <c r="B50" s="313" t="s">
        <v>248</v>
      </c>
      <c r="C50" s="314"/>
      <c r="D50" s="314"/>
      <c r="E50" s="139"/>
    </row>
    <row r="51" spans="1:5" ht="15" customHeight="1">
      <c r="A51" s="169">
        <f t="shared" si="0"/>
        <v>44</v>
      </c>
      <c r="B51" s="152"/>
      <c r="C51" s="312" t="s">
        <v>249</v>
      </c>
      <c r="D51" s="312"/>
      <c r="E51" s="136"/>
    </row>
    <row r="52" spans="1:5" s="175" customFormat="1" ht="45">
      <c r="A52" s="169">
        <f t="shared" si="0"/>
        <v>45</v>
      </c>
      <c r="B52" s="153"/>
      <c r="C52" s="154"/>
      <c r="D52" s="161" t="s">
        <v>250</v>
      </c>
      <c r="E52" s="136">
        <v>3462000</v>
      </c>
    </row>
    <row r="53" spans="1:5" ht="30">
      <c r="A53" s="169">
        <f t="shared" si="0"/>
        <v>46</v>
      </c>
      <c r="B53" s="152"/>
      <c r="C53" s="156"/>
      <c r="D53" s="161" t="s">
        <v>251</v>
      </c>
      <c r="E53" s="136">
        <v>2000000</v>
      </c>
    </row>
    <row r="54" spans="1:5" s="175" customFormat="1" ht="30">
      <c r="A54" s="169">
        <f t="shared" si="0"/>
        <v>47</v>
      </c>
      <c r="B54" s="153"/>
      <c r="C54" s="154"/>
      <c r="D54" s="161" t="s">
        <v>198</v>
      </c>
      <c r="E54" s="136">
        <v>1000000</v>
      </c>
    </row>
    <row r="55" spans="1:5" ht="15">
      <c r="A55" s="169">
        <f t="shared" si="0"/>
        <v>48</v>
      </c>
      <c r="B55" s="152"/>
      <c r="C55" s="156"/>
      <c r="D55" s="161" t="s">
        <v>190</v>
      </c>
      <c r="E55" s="157">
        <v>1803900</v>
      </c>
    </row>
    <row r="56" spans="1:5" ht="30">
      <c r="A56" s="169">
        <f t="shared" si="0"/>
        <v>49</v>
      </c>
      <c r="B56" s="152"/>
      <c r="C56" s="156"/>
      <c r="D56" s="161" t="s">
        <v>252</v>
      </c>
      <c r="E56" s="136">
        <v>100000</v>
      </c>
    </row>
    <row r="57" spans="1:5" s="175" customFormat="1" ht="30">
      <c r="A57" s="169">
        <f t="shared" si="0"/>
        <v>50</v>
      </c>
      <c r="B57" s="153"/>
      <c r="C57" s="154"/>
      <c r="D57" s="161" t="s">
        <v>253</v>
      </c>
      <c r="E57" s="136">
        <v>623205</v>
      </c>
    </row>
    <row r="58" spans="1:5" ht="14.25" customHeight="1">
      <c r="A58" s="169">
        <f t="shared" si="0"/>
        <v>51</v>
      </c>
      <c r="B58" s="134"/>
      <c r="C58" s="312" t="s">
        <v>254</v>
      </c>
      <c r="D58" s="312"/>
      <c r="E58" s="139"/>
    </row>
    <row r="59" spans="1:5" s="175" customFormat="1" ht="30">
      <c r="A59" s="169">
        <f t="shared" si="0"/>
        <v>52</v>
      </c>
      <c r="B59" s="153"/>
      <c r="C59" s="154"/>
      <c r="D59" s="161" t="s">
        <v>255</v>
      </c>
      <c r="E59" s="136">
        <v>3500000</v>
      </c>
    </row>
    <row r="60" spans="1:5" s="175" customFormat="1" ht="30">
      <c r="A60" s="169">
        <f t="shared" si="0"/>
        <v>53</v>
      </c>
      <c r="B60" s="158"/>
      <c r="C60" s="159"/>
      <c r="D60" s="161" t="s">
        <v>199</v>
      </c>
      <c r="E60" s="136">
        <v>2900000</v>
      </c>
    </row>
    <row r="61" spans="1:5" s="175" customFormat="1" ht="30">
      <c r="A61" s="169">
        <f t="shared" si="0"/>
        <v>54</v>
      </c>
      <c r="B61" s="153"/>
      <c r="C61" s="154"/>
      <c r="D61" s="161" t="s">
        <v>256</v>
      </c>
      <c r="E61" s="136">
        <v>398187</v>
      </c>
    </row>
    <row r="62" spans="1:5" ht="17.25" customHeight="1">
      <c r="A62" s="169">
        <f t="shared" si="0"/>
        <v>55</v>
      </c>
      <c r="B62" s="152"/>
      <c r="C62" s="156"/>
      <c r="D62" s="161" t="s">
        <v>189</v>
      </c>
      <c r="E62" s="136">
        <v>800000</v>
      </c>
    </row>
    <row r="63" spans="1:5" s="175" customFormat="1" ht="30">
      <c r="A63" s="169">
        <f t="shared" si="0"/>
        <v>56</v>
      </c>
      <c r="B63" s="153"/>
      <c r="C63" s="154"/>
      <c r="D63" s="161" t="s">
        <v>200</v>
      </c>
      <c r="E63" s="136">
        <v>1537201</v>
      </c>
    </row>
    <row r="64" spans="1:5" s="175" customFormat="1" ht="30">
      <c r="A64" s="169">
        <f t="shared" si="0"/>
        <v>57</v>
      </c>
      <c r="B64" s="153"/>
      <c r="C64" s="154"/>
      <c r="D64" s="161" t="s">
        <v>201</v>
      </c>
      <c r="E64" s="136">
        <v>500000</v>
      </c>
    </row>
    <row r="65" spans="1:5" ht="15" customHeight="1">
      <c r="A65" s="169">
        <f t="shared" si="0"/>
        <v>58</v>
      </c>
      <c r="B65" s="152"/>
      <c r="C65" s="312" t="s">
        <v>257</v>
      </c>
      <c r="D65" s="312"/>
      <c r="E65" s="157"/>
    </row>
    <row r="66" spans="1:5" s="175" customFormat="1" ht="15">
      <c r="A66" s="169">
        <f t="shared" si="0"/>
        <v>59</v>
      </c>
      <c r="B66" s="153"/>
      <c r="C66" s="154"/>
      <c r="D66" s="161" t="s">
        <v>194</v>
      </c>
      <c r="E66" s="136">
        <v>4360000</v>
      </c>
    </row>
    <row r="67" spans="1:5" s="175" customFormat="1" ht="15">
      <c r="A67" s="169">
        <f t="shared" si="0"/>
        <v>60</v>
      </c>
      <c r="B67" s="153"/>
      <c r="C67" s="154"/>
      <c r="D67" s="161" t="s">
        <v>202</v>
      </c>
      <c r="E67" s="136">
        <v>1939600</v>
      </c>
    </row>
    <row r="68" spans="1:5" s="175" customFormat="1" ht="15">
      <c r="A68" s="169">
        <f t="shared" si="0"/>
        <v>61</v>
      </c>
      <c r="B68" s="153"/>
      <c r="C68" s="154"/>
      <c r="D68" s="161" t="s">
        <v>258</v>
      </c>
      <c r="E68" s="136">
        <v>1000000</v>
      </c>
    </row>
    <row r="69" spans="1:5" s="175" customFormat="1" ht="30">
      <c r="A69" s="169">
        <f t="shared" si="0"/>
        <v>62</v>
      </c>
      <c r="B69" s="153"/>
      <c r="C69" s="154"/>
      <c r="D69" s="161" t="s">
        <v>259</v>
      </c>
      <c r="E69" s="136">
        <v>1000000</v>
      </c>
    </row>
    <row r="70" spans="1:5" ht="30">
      <c r="A70" s="169">
        <f t="shared" si="0"/>
        <v>63</v>
      </c>
      <c r="B70" s="152"/>
      <c r="C70" s="156"/>
      <c r="D70" s="161" t="s">
        <v>195</v>
      </c>
      <c r="E70" s="136">
        <v>1700000</v>
      </c>
    </row>
    <row r="71" spans="1:5" ht="30">
      <c r="A71" s="169">
        <f t="shared" si="0"/>
        <v>64</v>
      </c>
      <c r="B71" s="152"/>
      <c r="C71" s="156"/>
      <c r="D71" s="161" t="s">
        <v>260</v>
      </c>
      <c r="E71" s="136">
        <v>316143</v>
      </c>
    </row>
    <row r="72" spans="1:5" ht="15">
      <c r="A72" s="169">
        <f t="shared" si="0"/>
        <v>65</v>
      </c>
      <c r="B72" s="152"/>
      <c r="C72" s="156"/>
      <c r="D72" s="161" t="s">
        <v>192</v>
      </c>
      <c r="E72" s="136">
        <v>1771476</v>
      </c>
    </row>
    <row r="73" spans="1:5" ht="15">
      <c r="A73" s="169">
        <f t="shared" si="0"/>
        <v>66</v>
      </c>
      <c r="B73" s="152"/>
      <c r="C73" s="156"/>
      <c r="D73" s="161" t="s">
        <v>193</v>
      </c>
      <c r="E73" s="160">
        <v>4834678</v>
      </c>
    </row>
    <row r="74" spans="1:5" ht="15">
      <c r="A74" s="169">
        <f t="shared" si="0"/>
        <v>67</v>
      </c>
      <c r="B74" s="152"/>
      <c r="C74" s="156"/>
      <c r="D74" s="154" t="s">
        <v>174</v>
      </c>
      <c r="E74" s="136">
        <f>SUM(E52:E73)</f>
        <v>35546390</v>
      </c>
    </row>
    <row r="75" spans="1:5" ht="15">
      <c r="A75" s="169">
        <f t="shared" si="0"/>
        <v>68</v>
      </c>
      <c r="B75" s="152"/>
      <c r="C75" s="156"/>
      <c r="D75" s="155"/>
      <c r="E75" s="136"/>
    </row>
    <row r="76" spans="1:5" s="175" customFormat="1" ht="14.25" customHeight="1">
      <c r="A76" s="169">
        <f t="shared" si="0"/>
        <v>69</v>
      </c>
      <c r="B76" s="313" t="s">
        <v>261</v>
      </c>
      <c r="C76" s="314"/>
      <c r="D76" s="314"/>
      <c r="E76" s="136"/>
    </row>
    <row r="77" spans="1:5" s="175" customFormat="1" ht="14.25" customHeight="1">
      <c r="A77" s="169">
        <f t="shared" si="0"/>
        <v>70</v>
      </c>
      <c r="B77" s="153"/>
      <c r="C77" s="312" t="s">
        <v>262</v>
      </c>
      <c r="D77" s="312"/>
      <c r="E77" s="136"/>
    </row>
    <row r="78" spans="1:5" s="175" customFormat="1" ht="15">
      <c r="A78" s="169">
        <f t="shared" si="0"/>
        <v>71</v>
      </c>
      <c r="B78" s="158"/>
      <c r="C78" s="159"/>
      <c r="D78" s="161" t="s">
        <v>263</v>
      </c>
      <c r="E78" s="136">
        <v>824165</v>
      </c>
    </row>
    <row r="79" spans="1:5" s="175" customFormat="1" ht="15">
      <c r="A79" s="169">
        <f t="shared" si="0"/>
        <v>72</v>
      </c>
      <c r="B79" s="153"/>
      <c r="C79" s="154"/>
      <c r="D79" s="161" t="s">
        <v>196</v>
      </c>
      <c r="E79" s="157">
        <v>1500000</v>
      </c>
    </row>
    <row r="80" spans="1:5" s="175" customFormat="1" ht="30">
      <c r="A80" s="169">
        <f t="shared" si="0"/>
        <v>73</v>
      </c>
      <c r="B80" s="158"/>
      <c r="C80" s="159"/>
      <c r="D80" s="161" t="s">
        <v>264</v>
      </c>
      <c r="E80" s="136">
        <v>1502763</v>
      </c>
    </row>
    <row r="81" spans="1:5" s="175" customFormat="1" ht="15">
      <c r="A81" s="169">
        <f t="shared" si="0"/>
        <v>74</v>
      </c>
      <c r="B81" s="158"/>
      <c r="C81" s="159"/>
      <c r="D81" s="162" t="s">
        <v>197</v>
      </c>
      <c r="E81" s="136">
        <v>3188320</v>
      </c>
    </row>
    <row r="82" spans="1:5" s="175" customFormat="1" ht="30">
      <c r="A82" s="169">
        <f t="shared" si="0"/>
        <v>75</v>
      </c>
      <c r="B82" s="158"/>
      <c r="C82" s="159"/>
      <c r="D82" s="161" t="s">
        <v>265</v>
      </c>
      <c r="E82" s="136">
        <f>729555+171943</f>
        <v>901498</v>
      </c>
    </row>
    <row r="83" spans="1:5" s="175" customFormat="1" ht="30">
      <c r="A83" s="169">
        <f aca="true" t="shared" si="1" ref="A83:A141">+A82+1</f>
        <v>76</v>
      </c>
      <c r="B83" s="158"/>
      <c r="C83" s="159"/>
      <c r="D83" s="161" t="s">
        <v>266</v>
      </c>
      <c r="E83" s="136">
        <v>2350000</v>
      </c>
    </row>
    <row r="84" spans="1:5" s="175" customFormat="1" ht="14.25" customHeight="1">
      <c r="A84" s="169">
        <f t="shared" si="1"/>
        <v>77</v>
      </c>
      <c r="B84" s="153"/>
      <c r="C84" s="312" t="s">
        <v>267</v>
      </c>
      <c r="D84" s="312"/>
      <c r="E84" s="136"/>
    </row>
    <row r="85" spans="1:5" s="175" customFormat="1" ht="30">
      <c r="A85" s="169">
        <f t="shared" si="1"/>
        <v>78</v>
      </c>
      <c r="B85" s="153"/>
      <c r="C85" s="154"/>
      <c r="D85" s="161" t="s">
        <v>268</v>
      </c>
      <c r="E85" s="136">
        <v>2100000</v>
      </c>
    </row>
    <row r="86" spans="1:5" s="175" customFormat="1" ht="30">
      <c r="A86" s="169">
        <f t="shared" si="1"/>
        <v>79</v>
      </c>
      <c r="B86" s="153"/>
      <c r="C86" s="154"/>
      <c r="D86" s="161" t="s">
        <v>203</v>
      </c>
      <c r="E86" s="136">
        <v>4000000</v>
      </c>
    </row>
    <row r="87" spans="1:5" s="175" customFormat="1" ht="15">
      <c r="A87" s="169">
        <f t="shared" si="1"/>
        <v>80</v>
      </c>
      <c r="B87" s="153"/>
      <c r="C87" s="154"/>
      <c r="D87" s="161" t="s">
        <v>269</v>
      </c>
      <c r="E87" s="136">
        <v>2500000</v>
      </c>
    </row>
    <row r="88" spans="1:5" s="175" customFormat="1" ht="30">
      <c r="A88" s="169">
        <f t="shared" si="1"/>
        <v>81</v>
      </c>
      <c r="B88" s="153"/>
      <c r="C88" s="154"/>
      <c r="D88" s="161" t="s">
        <v>270</v>
      </c>
      <c r="E88" s="136">
        <v>2850000</v>
      </c>
    </row>
    <row r="89" spans="1:5" s="175" customFormat="1" ht="30">
      <c r="A89" s="169">
        <f t="shared" si="1"/>
        <v>82</v>
      </c>
      <c r="B89" s="153"/>
      <c r="C89" s="154"/>
      <c r="D89" s="161" t="s">
        <v>204</v>
      </c>
      <c r="E89" s="136">
        <v>1000000</v>
      </c>
    </row>
    <row r="90" spans="1:5" s="177" customFormat="1" ht="30">
      <c r="A90" s="169">
        <f t="shared" si="1"/>
        <v>83</v>
      </c>
      <c r="B90" s="164"/>
      <c r="C90" s="165"/>
      <c r="D90" s="161" t="s">
        <v>205</v>
      </c>
      <c r="E90" s="136">
        <v>1500000</v>
      </c>
    </row>
    <row r="91" spans="1:5" s="175" customFormat="1" ht="30">
      <c r="A91" s="169">
        <f t="shared" si="1"/>
        <v>84</v>
      </c>
      <c r="B91" s="153"/>
      <c r="C91" s="154"/>
      <c r="D91" s="161" t="s">
        <v>271</v>
      </c>
      <c r="E91" s="136">
        <f>2187051+413149</f>
        <v>2600200</v>
      </c>
    </row>
    <row r="92" spans="1:5" s="175" customFormat="1" ht="15">
      <c r="A92" s="169">
        <f t="shared" si="1"/>
        <v>85</v>
      </c>
      <c r="B92" s="153"/>
      <c r="C92" s="154"/>
      <c r="D92" s="161" t="s">
        <v>272</v>
      </c>
      <c r="E92" s="136">
        <v>500000</v>
      </c>
    </row>
    <row r="93" spans="1:5" s="175" customFormat="1" ht="26.25" customHeight="1">
      <c r="A93" s="169">
        <f t="shared" si="1"/>
        <v>86</v>
      </c>
      <c r="B93" s="153"/>
      <c r="C93" s="312" t="s">
        <v>273</v>
      </c>
      <c r="D93" s="312"/>
      <c r="E93" s="136"/>
    </row>
    <row r="94" spans="1:5" s="175" customFormat="1" ht="45">
      <c r="A94" s="169">
        <f t="shared" si="1"/>
        <v>87</v>
      </c>
      <c r="B94" s="153"/>
      <c r="C94" s="154"/>
      <c r="D94" s="161" t="s">
        <v>206</v>
      </c>
      <c r="E94" s="136">
        <v>1582640</v>
      </c>
    </row>
    <row r="95" spans="1:5" ht="30">
      <c r="A95" s="169">
        <f t="shared" si="1"/>
        <v>88</v>
      </c>
      <c r="B95" s="153"/>
      <c r="C95" s="154"/>
      <c r="D95" s="161" t="s">
        <v>274</v>
      </c>
      <c r="E95" s="136">
        <v>1500000</v>
      </c>
    </row>
    <row r="96" spans="1:5" ht="30">
      <c r="A96" s="169">
        <f t="shared" si="1"/>
        <v>89</v>
      </c>
      <c r="B96" s="152"/>
      <c r="C96" s="156"/>
      <c r="D96" s="161" t="s">
        <v>275</v>
      </c>
      <c r="E96" s="136">
        <v>500000</v>
      </c>
    </row>
    <row r="97" spans="1:5" s="175" customFormat="1" ht="45">
      <c r="A97" s="169">
        <f t="shared" si="1"/>
        <v>90</v>
      </c>
      <c r="B97" s="153"/>
      <c r="C97" s="154"/>
      <c r="D97" s="161" t="s">
        <v>276</v>
      </c>
      <c r="E97" s="136">
        <f>545444+325085</f>
        <v>870529</v>
      </c>
    </row>
    <row r="98" spans="1:5" ht="15">
      <c r="A98" s="169">
        <f t="shared" si="1"/>
        <v>91</v>
      </c>
      <c r="B98" s="152"/>
      <c r="C98" s="156"/>
      <c r="D98" s="161" t="s">
        <v>191</v>
      </c>
      <c r="E98" s="136">
        <v>500000</v>
      </c>
    </row>
    <row r="99" spans="1:5" ht="30">
      <c r="A99" s="169">
        <f t="shared" si="1"/>
        <v>92</v>
      </c>
      <c r="B99" s="152"/>
      <c r="C99" s="156"/>
      <c r="D99" s="161" t="s">
        <v>207</v>
      </c>
      <c r="E99" s="136">
        <v>1400000</v>
      </c>
    </row>
    <row r="100" spans="1:5" s="175" customFormat="1" ht="30">
      <c r="A100" s="169">
        <f t="shared" si="1"/>
        <v>93</v>
      </c>
      <c r="B100" s="153"/>
      <c r="C100" s="154"/>
      <c r="D100" s="161" t="s">
        <v>277</v>
      </c>
      <c r="E100" s="160">
        <v>500000</v>
      </c>
    </row>
    <row r="101" spans="1:5" s="175" customFormat="1" ht="15">
      <c r="A101" s="169">
        <f t="shared" si="1"/>
        <v>94</v>
      </c>
      <c r="B101" s="153"/>
      <c r="C101" s="154"/>
      <c r="D101" s="165" t="s">
        <v>174</v>
      </c>
      <c r="E101" s="143">
        <f>SUM(E78:E100)</f>
        <v>34170115</v>
      </c>
    </row>
    <row r="102" spans="1:5" ht="15">
      <c r="A102" s="169">
        <f t="shared" si="1"/>
        <v>95</v>
      </c>
      <c r="B102" s="152"/>
      <c r="C102" s="156"/>
      <c r="D102" s="128"/>
      <c r="E102" s="129"/>
    </row>
    <row r="103" spans="1:5" s="175" customFormat="1" ht="15">
      <c r="A103" s="169">
        <f t="shared" si="1"/>
        <v>96</v>
      </c>
      <c r="B103" s="313" t="s">
        <v>278</v>
      </c>
      <c r="C103" s="314"/>
      <c r="D103" s="314"/>
      <c r="E103" s="136"/>
    </row>
    <row r="104" spans="1:5" s="175" customFormat="1" ht="27" customHeight="1">
      <c r="A104" s="169">
        <f t="shared" si="1"/>
        <v>97</v>
      </c>
      <c r="B104" s="151"/>
      <c r="C104" s="312" t="s">
        <v>279</v>
      </c>
      <c r="D104" s="312"/>
      <c r="E104" s="136"/>
    </row>
    <row r="105" spans="1:5" s="175" customFormat="1" ht="45">
      <c r="A105" s="169">
        <f t="shared" si="1"/>
        <v>98</v>
      </c>
      <c r="B105" s="158"/>
      <c r="C105" s="159"/>
      <c r="D105" s="161" t="s">
        <v>280</v>
      </c>
      <c r="E105" s="157">
        <v>11700000</v>
      </c>
    </row>
    <row r="106" spans="1:5" ht="30">
      <c r="A106" s="169">
        <f t="shared" si="1"/>
        <v>99</v>
      </c>
      <c r="B106" s="152"/>
      <c r="C106" s="156"/>
      <c r="D106" s="161" t="s">
        <v>281</v>
      </c>
      <c r="E106" s="136">
        <v>2500000</v>
      </c>
    </row>
    <row r="107" spans="1:5" s="175" customFormat="1" ht="30">
      <c r="A107" s="169">
        <f t="shared" si="1"/>
        <v>100</v>
      </c>
      <c r="B107" s="158"/>
      <c r="C107" s="159"/>
      <c r="D107" s="161" t="s">
        <v>282</v>
      </c>
      <c r="E107" s="157">
        <v>1556250</v>
      </c>
    </row>
    <row r="108" spans="1:5" s="175" customFormat="1" ht="14.25" customHeight="1">
      <c r="A108" s="169">
        <f t="shared" si="1"/>
        <v>101</v>
      </c>
      <c r="B108" s="153"/>
      <c r="C108" s="312" t="s">
        <v>283</v>
      </c>
      <c r="D108" s="312"/>
      <c r="E108" s="136"/>
    </row>
    <row r="109" spans="1:5" s="175" customFormat="1" ht="15">
      <c r="A109" s="169">
        <f t="shared" si="1"/>
        <v>102</v>
      </c>
      <c r="B109" s="153"/>
      <c r="C109" s="154"/>
      <c r="D109" s="161" t="s">
        <v>208</v>
      </c>
      <c r="E109" s="157">
        <v>4912868</v>
      </c>
    </row>
    <row r="110" spans="1:5" s="175" customFormat="1" ht="30">
      <c r="A110" s="169">
        <f t="shared" si="1"/>
        <v>103</v>
      </c>
      <c r="B110" s="153"/>
      <c r="C110" s="154"/>
      <c r="D110" s="161" t="s">
        <v>284</v>
      </c>
      <c r="E110" s="157">
        <v>1500000</v>
      </c>
    </row>
    <row r="111" spans="1:5" s="175" customFormat="1" ht="45">
      <c r="A111" s="169">
        <f t="shared" si="1"/>
        <v>104</v>
      </c>
      <c r="B111" s="153"/>
      <c r="C111" s="154"/>
      <c r="D111" s="161" t="s">
        <v>285</v>
      </c>
      <c r="E111" s="136">
        <v>471500</v>
      </c>
    </row>
    <row r="112" spans="1:5" s="175" customFormat="1" ht="30">
      <c r="A112" s="169">
        <f t="shared" si="1"/>
        <v>105</v>
      </c>
      <c r="B112" s="153"/>
      <c r="C112" s="154"/>
      <c r="D112" s="161" t="s">
        <v>340</v>
      </c>
      <c r="E112" s="157">
        <v>1100000</v>
      </c>
    </row>
    <row r="113" spans="1:5" s="175" customFormat="1" ht="30">
      <c r="A113" s="169">
        <f t="shared" si="1"/>
        <v>106</v>
      </c>
      <c r="B113" s="153"/>
      <c r="C113" s="154"/>
      <c r="D113" s="161" t="s">
        <v>209</v>
      </c>
      <c r="E113" s="157">
        <v>1900000</v>
      </c>
    </row>
    <row r="114" spans="1:5" s="175" customFormat="1" ht="30">
      <c r="A114" s="169">
        <f t="shared" si="1"/>
        <v>107</v>
      </c>
      <c r="B114" s="153"/>
      <c r="C114" s="154"/>
      <c r="D114" s="161" t="s">
        <v>286</v>
      </c>
      <c r="E114" s="136">
        <v>1200000</v>
      </c>
    </row>
    <row r="115" spans="1:5" s="175" customFormat="1" ht="14.25" customHeight="1">
      <c r="A115" s="169">
        <f t="shared" si="1"/>
        <v>108</v>
      </c>
      <c r="B115" s="153"/>
      <c r="C115" s="312" t="s">
        <v>287</v>
      </c>
      <c r="D115" s="312"/>
      <c r="E115" s="136"/>
    </row>
    <row r="116" spans="1:5" s="175" customFormat="1" ht="15">
      <c r="A116" s="169">
        <f t="shared" si="1"/>
        <v>109</v>
      </c>
      <c r="B116" s="153"/>
      <c r="C116" s="154"/>
      <c r="D116" s="161" t="s">
        <v>288</v>
      </c>
      <c r="E116" s="136">
        <f>1715036+345000+239964</f>
        <v>2300000</v>
      </c>
    </row>
    <row r="117" spans="1:5" s="175" customFormat="1" ht="45">
      <c r="A117" s="169">
        <f t="shared" si="1"/>
        <v>110</v>
      </c>
      <c r="B117" s="153"/>
      <c r="C117" s="154"/>
      <c r="D117" s="161" t="s">
        <v>289</v>
      </c>
      <c r="E117" s="136">
        <f>3006675+1000000</f>
        <v>4006675</v>
      </c>
    </row>
    <row r="118" spans="1:5" s="175" customFormat="1" ht="30">
      <c r="A118" s="169">
        <f t="shared" si="1"/>
        <v>111</v>
      </c>
      <c r="B118" s="153"/>
      <c r="C118" s="154"/>
      <c r="D118" s="161" t="s">
        <v>210</v>
      </c>
      <c r="E118" s="136">
        <v>2500000</v>
      </c>
    </row>
    <row r="119" spans="1:5" s="175" customFormat="1" ht="15">
      <c r="A119" s="169">
        <f t="shared" si="1"/>
        <v>112</v>
      </c>
      <c r="B119" s="153"/>
      <c r="C119" s="154"/>
      <c r="D119" s="161" t="s">
        <v>290</v>
      </c>
      <c r="E119" s="136">
        <v>1035000</v>
      </c>
    </row>
    <row r="120" spans="1:5" s="175" customFormat="1" ht="30">
      <c r="A120" s="169">
        <f t="shared" si="1"/>
        <v>113</v>
      </c>
      <c r="B120" s="153"/>
      <c r="C120" s="154"/>
      <c r="D120" s="161" t="s">
        <v>291</v>
      </c>
      <c r="E120" s="136">
        <v>1000000</v>
      </c>
    </row>
    <row r="121" spans="1:5" s="175" customFormat="1" ht="15">
      <c r="A121" s="169">
        <f t="shared" si="1"/>
        <v>114</v>
      </c>
      <c r="B121" s="153"/>
      <c r="C121" s="154"/>
      <c r="D121" s="161" t="s">
        <v>292</v>
      </c>
      <c r="E121" s="136">
        <v>1000000</v>
      </c>
    </row>
    <row r="122" spans="1:5" s="175" customFormat="1" ht="30">
      <c r="A122" s="169">
        <f t="shared" si="1"/>
        <v>115</v>
      </c>
      <c r="B122" s="153"/>
      <c r="C122" s="154"/>
      <c r="D122" s="161" t="s">
        <v>211</v>
      </c>
      <c r="E122" s="136">
        <v>3000000</v>
      </c>
    </row>
    <row r="123" spans="1:5" s="175" customFormat="1" ht="15">
      <c r="A123" s="169">
        <f t="shared" si="1"/>
        <v>116</v>
      </c>
      <c r="B123" s="153"/>
      <c r="C123" s="154"/>
      <c r="D123" s="161" t="s">
        <v>293</v>
      </c>
      <c r="E123" s="136">
        <v>2536766</v>
      </c>
    </row>
    <row r="124" spans="1:5" s="175" customFormat="1" ht="30">
      <c r="A124" s="169">
        <f t="shared" si="1"/>
        <v>117</v>
      </c>
      <c r="B124" s="153"/>
      <c r="C124" s="154"/>
      <c r="D124" s="161" t="s">
        <v>294</v>
      </c>
      <c r="E124" s="136">
        <v>444870</v>
      </c>
    </row>
    <row r="125" spans="1:5" s="175" customFormat="1" ht="15" customHeight="1">
      <c r="A125" s="169">
        <f t="shared" si="1"/>
        <v>118</v>
      </c>
      <c r="B125" s="153"/>
      <c r="C125" s="312" t="s">
        <v>295</v>
      </c>
      <c r="D125" s="312"/>
      <c r="E125" s="136"/>
    </row>
    <row r="126" spans="1:5" s="175" customFormat="1" ht="45">
      <c r="A126" s="169">
        <f t="shared" si="1"/>
        <v>119</v>
      </c>
      <c r="B126" s="158"/>
      <c r="C126" s="159"/>
      <c r="D126" s="161" t="s">
        <v>296</v>
      </c>
      <c r="E126" s="136">
        <v>2000000</v>
      </c>
    </row>
    <row r="127" spans="1:5" s="175" customFormat="1" ht="30">
      <c r="A127" s="169">
        <f t="shared" si="1"/>
        <v>120</v>
      </c>
      <c r="B127" s="153"/>
      <c r="C127" s="154"/>
      <c r="D127" s="161" t="s">
        <v>297</v>
      </c>
      <c r="E127" s="136">
        <v>3889670</v>
      </c>
    </row>
    <row r="128" spans="1:5" s="175" customFormat="1" ht="30">
      <c r="A128" s="169">
        <f t="shared" si="1"/>
        <v>121</v>
      </c>
      <c r="B128" s="153"/>
      <c r="C128" s="154"/>
      <c r="D128" s="161" t="s">
        <v>298</v>
      </c>
      <c r="E128" s="136">
        <v>2606127</v>
      </c>
    </row>
    <row r="129" spans="1:5" s="175" customFormat="1" ht="30">
      <c r="A129" s="169">
        <f t="shared" si="1"/>
        <v>122</v>
      </c>
      <c r="B129" s="153"/>
      <c r="C129" s="154"/>
      <c r="D129" s="161" t="s">
        <v>299</v>
      </c>
      <c r="E129" s="136">
        <v>2900000</v>
      </c>
    </row>
    <row r="130" spans="1:5" s="175" customFormat="1" ht="45">
      <c r="A130" s="169">
        <f t="shared" si="1"/>
        <v>123</v>
      </c>
      <c r="B130" s="153"/>
      <c r="C130" s="154"/>
      <c r="D130" s="161" t="s">
        <v>212</v>
      </c>
      <c r="E130" s="136">
        <v>840000</v>
      </c>
    </row>
    <row r="131" spans="1:5" s="175" customFormat="1" ht="15">
      <c r="A131" s="169">
        <f t="shared" si="1"/>
        <v>124</v>
      </c>
      <c r="B131" s="153"/>
      <c r="C131" s="154"/>
      <c r="D131" s="161" t="s">
        <v>213</v>
      </c>
      <c r="E131" s="136">
        <f>3582000+1194000</f>
        <v>4776000</v>
      </c>
    </row>
    <row r="132" spans="1:5" s="175" customFormat="1" ht="15">
      <c r="A132" s="169">
        <f t="shared" si="1"/>
        <v>125</v>
      </c>
      <c r="B132" s="158"/>
      <c r="C132" s="159"/>
      <c r="D132" s="161" t="s">
        <v>300</v>
      </c>
      <c r="E132" s="136">
        <v>1200000</v>
      </c>
    </row>
    <row r="133" spans="1:5" s="175" customFormat="1" ht="45">
      <c r="A133" s="169">
        <f t="shared" si="1"/>
        <v>126</v>
      </c>
      <c r="B133" s="153"/>
      <c r="C133" s="154"/>
      <c r="D133" s="161" t="s">
        <v>301</v>
      </c>
      <c r="E133" s="136">
        <v>128500</v>
      </c>
    </row>
    <row r="134" spans="1:5" s="175" customFormat="1" ht="30">
      <c r="A134" s="169">
        <f t="shared" si="1"/>
        <v>127</v>
      </c>
      <c r="B134" s="153"/>
      <c r="C134" s="154"/>
      <c r="D134" s="161" t="s">
        <v>302</v>
      </c>
      <c r="E134" s="136">
        <v>1321906</v>
      </c>
    </row>
    <row r="135" spans="1:5" s="175" customFormat="1" ht="15">
      <c r="A135" s="169">
        <f t="shared" si="1"/>
        <v>128</v>
      </c>
      <c r="B135" s="153"/>
      <c r="C135" s="154"/>
      <c r="D135" s="161" t="s">
        <v>303</v>
      </c>
      <c r="E135" s="136">
        <v>1240000</v>
      </c>
    </row>
    <row r="136" spans="1:5" s="175" customFormat="1" ht="30">
      <c r="A136" s="169">
        <f t="shared" si="1"/>
        <v>129</v>
      </c>
      <c r="B136" s="153"/>
      <c r="C136" s="154"/>
      <c r="D136" s="161" t="s">
        <v>214</v>
      </c>
      <c r="E136" s="136">
        <v>1000000</v>
      </c>
    </row>
    <row r="137" spans="1:5" s="175" customFormat="1" ht="14.25" customHeight="1">
      <c r="A137" s="169">
        <f t="shared" si="1"/>
        <v>130</v>
      </c>
      <c r="B137" s="153"/>
      <c r="C137" s="312" t="s">
        <v>304</v>
      </c>
      <c r="D137" s="312"/>
      <c r="E137" s="136"/>
    </row>
    <row r="138" spans="1:5" s="175" customFormat="1" ht="30">
      <c r="A138" s="169">
        <f t="shared" si="1"/>
        <v>131</v>
      </c>
      <c r="B138" s="153"/>
      <c r="C138" s="154"/>
      <c r="D138" s="161" t="s">
        <v>305</v>
      </c>
      <c r="E138" s="136">
        <v>661997</v>
      </c>
    </row>
    <row r="139" spans="1:5" s="175" customFormat="1" ht="30">
      <c r="A139" s="169">
        <f t="shared" si="1"/>
        <v>132</v>
      </c>
      <c r="B139" s="153"/>
      <c r="C139" s="154"/>
      <c r="D139" s="161" t="s">
        <v>306</v>
      </c>
      <c r="E139" s="136">
        <v>1900000</v>
      </c>
    </row>
    <row r="140" spans="1:5" s="175" customFormat="1" ht="30">
      <c r="A140" s="169">
        <f t="shared" si="1"/>
        <v>133</v>
      </c>
      <c r="B140" s="153"/>
      <c r="C140" s="154"/>
      <c r="D140" s="161" t="s">
        <v>307</v>
      </c>
      <c r="E140" s="157">
        <v>3934775</v>
      </c>
    </row>
    <row r="141" spans="1:5" s="175" customFormat="1" ht="30">
      <c r="A141" s="169">
        <f t="shared" si="1"/>
        <v>134</v>
      </c>
      <c r="B141" s="153"/>
      <c r="C141" s="154"/>
      <c r="D141" s="161" t="s">
        <v>308</v>
      </c>
      <c r="E141" s="157">
        <v>1000000</v>
      </c>
    </row>
    <row r="142" spans="1:5" s="175" customFormat="1" ht="30">
      <c r="A142" s="169">
        <f aca="true" t="shared" si="2" ref="A142:A170">+A141+1</f>
        <v>135</v>
      </c>
      <c r="B142" s="153"/>
      <c r="C142" s="154"/>
      <c r="D142" s="161" t="s">
        <v>215</v>
      </c>
      <c r="E142" s="136">
        <v>1000000</v>
      </c>
    </row>
    <row r="143" spans="1:5" s="175" customFormat="1" ht="14.25" customHeight="1">
      <c r="A143" s="169">
        <f t="shared" si="2"/>
        <v>136</v>
      </c>
      <c r="B143" s="153"/>
      <c r="C143" s="312" t="s">
        <v>309</v>
      </c>
      <c r="D143" s="312"/>
      <c r="E143" s="136"/>
    </row>
    <row r="144" spans="1:5" s="175" customFormat="1" ht="15">
      <c r="A144" s="169">
        <f t="shared" si="2"/>
        <v>137</v>
      </c>
      <c r="B144" s="153"/>
      <c r="C144" s="154"/>
      <c r="D144" s="161" t="s">
        <v>216</v>
      </c>
      <c r="E144" s="136">
        <v>3000000</v>
      </c>
    </row>
    <row r="145" spans="1:5" s="175" customFormat="1" ht="15">
      <c r="A145" s="169">
        <f t="shared" si="2"/>
        <v>138</v>
      </c>
      <c r="B145" s="153"/>
      <c r="C145" s="154"/>
      <c r="D145" s="161" t="s">
        <v>217</v>
      </c>
      <c r="E145" s="136">
        <v>2500000</v>
      </c>
    </row>
    <row r="146" spans="1:5" s="175" customFormat="1" ht="30">
      <c r="A146" s="169">
        <f t="shared" si="2"/>
        <v>139</v>
      </c>
      <c r="B146" s="158"/>
      <c r="C146" s="159"/>
      <c r="D146" s="161" t="s">
        <v>310</v>
      </c>
      <c r="E146" s="157">
        <v>3900000</v>
      </c>
    </row>
    <row r="147" spans="1:5" s="175" customFormat="1" ht="30">
      <c r="A147" s="169">
        <f t="shared" si="2"/>
        <v>140</v>
      </c>
      <c r="B147" s="153"/>
      <c r="C147" s="154"/>
      <c r="D147" s="161" t="s">
        <v>218</v>
      </c>
      <c r="E147" s="136">
        <v>472000</v>
      </c>
    </row>
    <row r="148" spans="1:5" s="175" customFormat="1" ht="15">
      <c r="A148" s="169">
        <f t="shared" si="2"/>
        <v>141</v>
      </c>
      <c r="B148" s="153"/>
      <c r="C148" s="154"/>
      <c r="D148" s="161" t="s">
        <v>311</v>
      </c>
      <c r="E148" s="136">
        <v>2632000</v>
      </c>
    </row>
    <row r="149" spans="1:5" s="175" customFormat="1" ht="30">
      <c r="A149" s="169">
        <f t="shared" si="2"/>
        <v>142</v>
      </c>
      <c r="B149" s="158"/>
      <c r="C149" s="159"/>
      <c r="D149" s="161" t="s">
        <v>312</v>
      </c>
      <c r="E149" s="157">
        <v>2000000</v>
      </c>
    </row>
    <row r="150" spans="1:5" s="175" customFormat="1" ht="30">
      <c r="A150" s="169">
        <f t="shared" si="2"/>
        <v>143</v>
      </c>
      <c r="B150" s="153"/>
      <c r="C150" s="154"/>
      <c r="D150" s="161" t="s">
        <v>219</v>
      </c>
      <c r="E150" s="136">
        <v>2500000</v>
      </c>
    </row>
    <row r="151" spans="1:5" s="175" customFormat="1" ht="30">
      <c r="A151" s="169">
        <f t="shared" si="2"/>
        <v>144</v>
      </c>
      <c r="B151" s="153"/>
      <c r="C151" s="154"/>
      <c r="D151" s="161" t="s">
        <v>313</v>
      </c>
      <c r="E151" s="136">
        <v>2220000</v>
      </c>
    </row>
    <row r="152" spans="1:5" s="175" customFormat="1" ht="15">
      <c r="A152" s="169">
        <f t="shared" si="2"/>
        <v>145</v>
      </c>
      <c r="B152" s="153"/>
      <c r="C152" s="154"/>
      <c r="D152" s="161" t="s">
        <v>314</v>
      </c>
      <c r="E152" s="136">
        <v>1100000</v>
      </c>
    </row>
    <row r="153" spans="1:5" s="175" customFormat="1" ht="45">
      <c r="A153" s="169">
        <f t="shared" si="2"/>
        <v>146</v>
      </c>
      <c r="B153" s="158"/>
      <c r="C153" s="159"/>
      <c r="D153" s="161" t="s">
        <v>220</v>
      </c>
      <c r="E153" s="157">
        <v>1732200</v>
      </c>
    </row>
    <row r="154" spans="1:5" s="175" customFormat="1" ht="30">
      <c r="A154" s="169">
        <f t="shared" si="2"/>
        <v>147</v>
      </c>
      <c r="B154" s="158"/>
      <c r="C154" s="159"/>
      <c r="D154" s="161" t="s">
        <v>221</v>
      </c>
      <c r="E154" s="157">
        <v>6000000</v>
      </c>
    </row>
    <row r="155" spans="1:5" s="175" customFormat="1" ht="15">
      <c r="A155" s="169">
        <f t="shared" si="2"/>
        <v>148</v>
      </c>
      <c r="B155" s="153"/>
      <c r="C155" s="154"/>
      <c r="D155" s="161" t="s">
        <v>222</v>
      </c>
      <c r="E155" s="136">
        <v>2000000</v>
      </c>
    </row>
    <row r="156" spans="1:5" s="175" customFormat="1" ht="30">
      <c r="A156" s="169">
        <f t="shared" si="2"/>
        <v>149</v>
      </c>
      <c r="B156" s="158"/>
      <c r="C156" s="159"/>
      <c r="D156" s="161" t="s">
        <v>315</v>
      </c>
      <c r="E156" s="136">
        <v>1000000</v>
      </c>
    </row>
    <row r="157" spans="1:5" s="175" customFormat="1" ht="30">
      <c r="A157" s="169">
        <f t="shared" si="2"/>
        <v>150</v>
      </c>
      <c r="B157" s="153"/>
      <c r="C157" s="154"/>
      <c r="D157" s="161" t="s">
        <v>223</v>
      </c>
      <c r="E157" s="160">
        <v>700000</v>
      </c>
    </row>
    <row r="158" spans="1:5" s="175" customFormat="1" ht="15">
      <c r="A158" s="169">
        <f t="shared" si="2"/>
        <v>151</v>
      </c>
      <c r="B158" s="153"/>
      <c r="C158" s="154"/>
      <c r="D158" s="165" t="s">
        <v>174</v>
      </c>
      <c r="E158" s="143">
        <f>SUM(E105:E157)</f>
        <v>106819104</v>
      </c>
    </row>
    <row r="159" spans="1:5" s="175" customFormat="1" ht="15">
      <c r="A159" s="169">
        <f t="shared" si="2"/>
        <v>152</v>
      </c>
      <c r="B159" s="153"/>
      <c r="C159" s="154"/>
      <c r="D159" s="155"/>
      <c r="E159" s="136"/>
    </row>
    <row r="160" spans="1:5" s="175" customFormat="1" ht="15">
      <c r="A160" s="169">
        <f t="shared" si="2"/>
        <v>153</v>
      </c>
      <c r="B160" s="313" t="s">
        <v>316</v>
      </c>
      <c r="C160" s="314"/>
      <c r="D160" s="314"/>
      <c r="E160" s="136"/>
    </row>
    <row r="161" spans="1:5" s="175" customFormat="1" ht="14.25" customHeight="1">
      <c r="A161" s="169">
        <f t="shared" si="2"/>
        <v>154</v>
      </c>
      <c r="B161" s="153"/>
      <c r="C161" s="312" t="s">
        <v>317</v>
      </c>
      <c r="D161" s="312"/>
      <c r="E161" s="136"/>
    </row>
    <row r="162" spans="1:5" s="175" customFormat="1" ht="30">
      <c r="A162" s="169">
        <f t="shared" si="2"/>
        <v>155</v>
      </c>
      <c r="B162" s="153"/>
      <c r="C162" s="154"/>
      <c r="D162" s="161" t="s">
        <v>318</v>
      </c>
      <c r="E162" s="157">
        <f>819432+1668783</f>
        <v>2488215</v>
      </c>
    </row>
    <row r="163" spans="1:5" s="175" customFormat="1" ht="30">
      <c r="A163" s="169">
        <f t="shared" si="2"/>
        <v>156</v>
      </c>
      <c r="B163" s="153"/>
      <c r="C163" s="154"/>
      <c r="D163" s="161" t="s">
        <v>319</v>
      </c>
      <c r="E163" s="136">
        <v>1025000</v>
      </c>
    </row>
    <row r="164" spans="1:5" s="175" customFormat="1" ht="30">
      <c r="A164" s="169">
        <f t="shared" si="2"/>
        <v>157</v>
      </c>
      <c r="B164" s="153"/>
      <c r="C164" s="154"/>
      <c r="D164" s="161" t="s">
        <v>320</v>
      </c>
      <c r="E164" s="157">
        <v>200000</v>
      </c>
    </row>
    <row r="165" spans="1:5" s="175" customFormat="1" ht="14.25" customHeight="1">
      <c r="A165" s="169">
        <f t="shared" si="2"/>
        <v>158</v>
      </c>
      <c r="B165" s="153"/>
      <c r="C165" s="312" t="s">
        <v>321</v>
      </c>
      <c r="D165" s="312"/>
      <c r="E165" s="136"/>
    </row>
    <row r="166" spans="1:5" s="175" customFormat="1" ht="30">
      <c r="A166" s="169">
        <f t="shared" si="2"/>
        <v>159</v>
      </c>
      <c r="B166" s="153"/>
      <c r="C166" s="154"/>
      <c r="D166" s="161" t="s">
        <v>322</v>
      </c>
      <c r="E166" s="136">
        <v>1162000</v>
      </c>
    </row>
    <row r="167" spans="1:5" s="175" customFormat="1" ht="30">
      <c r="A167" s="169">
        <f t="shared" si="2"/>
        <v>160</v>
      </c>
      <c r="B167" s="153"/>
      <c r="C167" s="154"/>
      <c r="D167" s="161" t="s">
        <v>323</v>
      </c>
      <c r="E167" s="136">
        <v>2555624</v>
      </c>
    </row>
    <row r="168" spans="1:5" s="175" customFormat="1" ht="15">
      <c r="A168" s="169">
        <f t="shared" si="2"/>
        <v>161</v>
      </c>
      <c r="B168" s="153"/>
      <c r="C168" s="154"/>
      <c r="D168" s="161" t="s">
        <v>324</v>
      </c>
      <c r="E168" s="157">
        <v>500000</v>
      </c>
    </row>
    <row r="169" spans="1:5" s="175" customFormat="1" ht="30">
      <c r="A169" s="169">
        <f t="shared" si="2"/>
        <v>162</v>
      </c>
      <c r="B169" s="153"/>
      <c r="C169" s="154"/>
      <c r="D169" s="161" t="s">
        <v>224</v>
      </c>
      <c r="E169" s="160">
        <v>1080124</v>
      </c>
    </row>
    <row r="170" spans="1:5" ht="15">
      <c r="A170" s="169">
        <f t="shared" si="2"/>
        <v>163</v>
      </c>
      <c r="B170" s="152"/>
      <c r="C170" s="156"/>
      <c r="D170" s="130" t="s">
        <v>174</v>
      </c>
      <c r="E170" s="131">
        <f>SUM(E162:E169)</f>
        <v>9010963</v>
      </c>
    </row>
    <row r="171" spans="1:5" ht="15.75" thickBot="1">
      <c r="A171" s="169">
        <f aca="true" t="shared" si="3" ref="A171:A178">+A170+1</f>
        <v>164</v>
      </c>
      <c r="B171" s="152"/>
      <c r="C171" s="156"/>
      <c r="D171" s="128"/>
      <c r="E171" s="129"/>
    </row>
    <row r="172" spans="1:5" s="175" customFormat="1" ht="16.5" thickBot="1" thickTop="1">
      <c r="A172" s="169">
        <f t="shared" si="3"/>
        <v>165</v>
      </c>
      <c r="B172" s="302" t="s">
        <v>62</v>
      </c>
      <c r="C172" s="303"/>
      <c r="D172" s="303"/>
      <c r="E172" s="166">
        <f>+E170+E158+E101+E74+E48+E15</f>
        <v>3788249208.4</v>
      </c>
    </row>
    <row r="173" spans="1:5" ht="16.5" thickBot="1" thickTop="1">
      <c r="A173" s="169">
        <f t="shared" si="3"/>
        <v>166</v>
      </c>
      <c r="B173" s="152"/>
      <c r="C173" s="156"/>
      <c r="D173" s="128"/>
      <c r="E173" s="131"/>
    </row>
    <row r="174" spans="1:5" ht="15">
      <c r="A174" s="169">
        <f t="shared" si="3"/>
        <v>167</v>
      </c>
      <c r="B174" s="304" t="s">
        <v>331</v>
      </c>
      <c r="C174" s="305"/>
      <c r="D174" s="305"/>
      <c r="E174" s="132">
        <f>+E172-E12</f>
        <v>432641697.4000001</v>
      </c>
    </row>
    <row r="175" spans="1:5" ht="15.75" thickBot="1">
      <c r="A175" s="169">
        <f t="shared" si="3"/>
        <v>168</v>
      </c>
      <c r="B175" s="306" t="s">
        <v>64</v>
      </c>
      <c r="C175" s="307"/>
      <c r="D175" s="307"/>
      <c r="E175" s="167">
        <f>ROUND(((E172/E12)),4)-1</f>
        <v>0.12890000000000001</v>
      </c>
    </row>
    <row r="176" spans="1:5" ht="15.75" thickBot="1">
      <c r="A176" s="169">
        <f t="shared" si="3"/>
        <v>169</v>
      </c>
      <c r="B176" s="309"/>
      <c r="C176" s="295"/>
      <c r="D176" s="295"/>
      <c r="E176" s="133"/>
    </row>
    <row r="177" spans="1:5" ht="16.5" customHeight="1">
      <c r="A177" s="169">
        <f t="shared" si="3"/>
        <v>170</v>
      </c>
      <c r="B177" s="304" t="s">
        <v>65</v>
      </c>
      <c r="C177" s="305"/>
      <c r="D177" s="305"/>
      <c r="E177" s="132">
        <f>+E172-E15</f>
        <v>536391697.4000001</v>
      </c>
    </row>
    <row r="178" spans="1:5" ht="15">
      <c r="A178" s="169">
        <f t="shared" si="3"/>
        <v>171</v>
      </c>
      <c r="B178" s="296" t="s">
        <v>330</v>
      </c>
      <c r="C178" s="297"/>
      <c r="D178" s="297"/>
      <c r="E178" s="168">
        <f>ROUND(((E172/E15)),4)-1</f>
        <v>0.16490000000000005</v>
      </c>
    </row>
    <row r="179" spans="1:4" ht="15">
      <c r="A179" s="169">
        <f>+A178+1</f>
        <v>172</v>
      </c>
      <c r="B179" s="308" t="s">
        <v>332</v>
      </c>
      <c r="C179" s="308"/>
      <c r="D179" s="308"/>
    </row>
    <row r="180" spans="1:4" ht="15">
      <c r="A180" s="169">
        <f>+A179+1</f>
        <v>173</v>
      </c>
      <c r="B180" s="308" t="s">
        <v>333</v>
      </c>
      <c r="C180" s="308"/>
      <c r="D180" s="308"/>
    </row>
    <row r="182" ht="15">
      <c r="E182" s="183">
        <f>+'[1]Univ Priorities - Master'!$G$176</f>
        <v>536391697</v>
      </c>
    </row>
    <row r="183" ht="15">
      <c r="E183" s="182">
        <f>+E182-E177</f>
        <v>-0.40000009536743164</v>
      </c>
    </row>
  </sheetData>
  <mergeCells count="36">
    <mergeCell ref="B180:D180"/>
    <mergeCell ref="B176:D176"/>
    <mergeCell ref="B177:D177"/>
    <mergeCell ref="B178:D178"/>
    <mergeCell ref="B179:D179"/>
    <mergeCell ref="B172:D172"/>
    <mergeCell ref="B174:D174"/>
    <mergeCell ref="B175:D175"/>
    <mergeCell ref="C77:D77"/>
    <mergeCell ref="C84:D84"/>
    <mergeCell ref="C93:D93"/>
    <mergeCell ref="B103:D103"/>
    <mergeCell ref="C161:D161"/>
    <mergeCell ref="C104:D104"/>
    <mergeCell ref="C165:D165"/>
    <mergeCell ref="B160:D160"/>
    <mergeCell ref="B1:E1"/>
    <mergeCell ref="B2:E2"/>
    <mergeCell ref="B3:E3"/>
    <mergeCell ref="B5:D5"/>
    <mergeCell ref="B50:D50"/>
    <mergeCell ref="C51:D51"/>
    <mergeCell ref="C58:D58"/>
    <mergeCell ref="C65:D65"/>
    <mergeCell ref="B7:D7"/>
    <mergeCell ref="B9:D9"/>
    <mergeCell ref="B12:D12"/>
    <mergeCell ref="B14:D14"/>
    <mergeCell ref="B15:D15"/>
    <mergeCell ref="B17:D17"/>
    <mergeCell ref="C137:D137"/>
    <mergeCell ref="C143:D143"/>
    <mergeCell ref="C108:D108"/>
    <mergeCell ref="C115:D115"/>
    <mergeCell ref="C125:D125"/>
    <mergeCell ref="B76:D76"/>
  </mergeCells>
  <printOptions/>
  <pageMargins left="0.5" right="0.5" top="0.5" bottom="0.25" header="0.5" footer="0.5"/>
  <pageSetup horizontalDpi="600" verticalDpi="600" orientation="portrait" scale="9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="80" zoomScaleNormal="80" workbookViewId="0" topLeftCell="A52">
      <pane xSplit="1" topLeftCell="B1" activePane="topRight" state="frozen"/>
      <selection pane="topLeft" activeCell="C33" sqref="C33:D33"/>
      <selection pane="topRight" activeCell="C33" sqref="C33:D33"/>
    </sheetView>
  </sheetViews>
  <sheetFormatPr defaultColWidth="9.140625" defaultRowHeight="12.75"/>
  <cols>
    <col min="1" max="1" width="6.00390625" style="184" bestFit="1" customWidth="1"/>
    <col min="2" max="2" width="3.00390625" style="193" customWidth="1"/>
    <col min="3" max="3" width="2.8515625" style="194" customWidth="1"/>
    <col min="4" max="4" width="76.7109375" style="191" customWidth="1"/>
    <col min="5" max="5" width="18.7109375" style="192" customWidth="1"/>
    <col min="6" max="6" width="18.7109375" style="192" hidden="1" customWidth="1"/>
    <col min="7" max="16384" width="9.140625" style="186" customWidth="1"/>
  </cols>
  <sheetData>
    <row r="1" spans="2:6" ht="15" customHeight="1">
      <c r="B1" s="344" t="s">
        <v>0</v>
      </c>
      <c r="C1" s="344"/>
      <c r="D1" s="344"/>
      <c r="E1" s="344"/>
      <c r="F1" s="344"/>
    </row>
    <row r="2" spans="2:6" ht="15" customHeight="1">
      <c r="B2" s="344" t="s">
        <v>419</v>
      </c>
      <c r="C2" s="344"/>
      <c r="D2" s="344"/>
      <c r="E2" s="344"/>
      <c r="F2" s="344"/>
    </row>
    <row r="3" spans="2:6" ht="15" customHeight="1">
      <c r="B3" s="344" t="s">
        <v>423</v>
      </c>
      <c r="C3" s="344"/>
      <c r="D3" s="344"/>
      <c r="E3" s="344"/>
      <c r="F3" s="344"/>
    </row>
    <row r="4" spans="2:6" ht="15">
      <c r="B4" s="187"/>
      <c r="C4" s="187"/>
      <c r="D4" s="188"/>
      <c r="E4" s="189"/>
      <c r="F4" s="189"/>
    </row>
    <row r="5" spans="2:6" ht="15.75" customHeight="1">
      <c r="B5" s="268"/>
      <c r="C5" s="269"/>
      <c r="D5" s="269"/>
      <c r="E5" s="267" t="s">
        <v>426</v>
      </c>
      <c r="F5" s="267" t="s">
        <v>406</v>
      </c>
    </row>
    <row r="6" spans="2:6" ht="16.5">
      <c r="B6" s="345" t="s">
        <v>428</v>
      </c>
      <c r="C6" s="346"/>
      <c r="D6" s="346"/>
      <c r="E6" s="246"/>
      <c r="F6" s="246"/>
    </row>
    <row r="7" spans="1:6" ht="16.5" customHeight="1">
      <c r="A7" s="184">
        <v>1</v>
      </c>
      <c r="B7" s="186"/>
      <c r="C7" s="347" t="s">
        <v>424</v>
      </c>
      <c r="D7" s="347"/>
      <c r="E7" s="198">
        <f>143957603+1420769</f>
        <v>145378372</v>
      </c>
      <c r="F7" s="198">
        <f>3700360709-972215072</f>
        <v>2728145637</v>
      </c>
    </row>
    <row r="8" spans="1:6" ht="16.5" customHeight="1">
      <c r="A8" s="184">
        <f>+A7+1</f>
        <v>2</v>
      </c>
      <c r="B8" s="186"/>
      <c r="C8" s="347" t="s">
        <v>427</v>
      </c>
      <c r="D8" s="347"/>
      <c r="E8" s="270">
        <v>-500000</v>
      </c>
      <c r="F8" s="202">
        <v>-237714898</v>
      </c>
    </row>
    <row r="9" spans="1:6" ht="16.5" customHeight="1">
      <c r="A9" s="184">
        <f aca="true" t="shared" si="0" ref="A9:A66">+A8+1</f>
        <v>3</v>
      </c>
      <c r="B9" s="186"/>
      <c r="C9" s="347" t="s">
        <v>425</v>
      </c>
      <c r="D9" s="347"/>
      <c r="E9" s="205">
        <f>SUM(E7:E8)</f>
        <v>144878372</v>
      </c>
      <c r="F9" s="204">
        <f>SUM(F7:F8)</f>
        <v>2490430739</v>
      </c>
    </row>
    <row r="10" spans="1:6" ht="16.5" customHeight="1">
      <c r="A10" s="184">
        <f t="shared" si="0"/>
        <v>4</v>
      </c>
      <c r="B10" s="186"/>
      <c r="C10" s="342" t="s">
        <v>429</v>
      </c>
      <c r="D10" s="342"/>
      <c r="E10" s="205"/>
      <c r="F10" s="205"/>
    </row>
    <row r="11" spans="1:6" ht="16.5">
      <c r="A11" s="184">
        <f t="shared" si="0"/>
        <v>5</v>
      </c>
      <c r="B11" s="186"/>
      <c r="C11" s="207" t="s">
        <v>344</v>
      </c>
      <c r="D11" s="200"/>
      <c r="E11" s="198">
        <v>1867929</v>
      </c>
      <c r="F11" s="205"/>
    </row>
    <row r="12" spans="1:6" s="190" customFormat="1" ht="16.5" customHeight="1">
      <c r="A12" s="184">
        <f t="shared" si="0"/>
        <v>6</v>
      </c>
      <c r="B12" s="195"/>
      <c r="C12" s="343" t="s">
        <v>402</v>
      </c>
      <c r="D12" s="343"/>
      <c r="E12" s="198">
        <f>+'[3]dollars'!$P$66</f>
        <v>1188191</v>
      </c>
      <c r="F12" s="211"/>
    </row>
    <row r="13" spans="1:6" s="190" customFormat="1" ht="16.5">
      <c r="A13" s="184">
        <f t="shared" si="0"/>
        <v>7</v>
      </c>
      <c r="B13" s="195"/>
      <c r="C13" s="341" t="s">
        <v>453</v>
      </c>
      <c r="D13" s="341"/>
      <c r="E13" s="209">
        <f>SUM(E9:E12)</f>
        <v>147934492</v>
      </c>
      <c r="F13" s="209">
        <v>20000000</v>
      </c>
    </row>
    <row r="14" spans="1:6" s="190" customFormat="1" ht="16.5">
      <c r="A14" s="184">
        <f t="shared" si="0"/>
        <v>8</v>
      </c>
      <c r="B14" s="195"/>
      <c r="C14" s="265"/>
      <c r="D14" s="265"/>
      <c r="E14" s="209"/>
      <c r="F14" s="209"/>
    </row>
    <row r="15" spans="1:6" s="190" customFormat="1" ht="16.5">
      <c r="A15" s="184">
        <f t="shared" si="0"/>
        <v>9</v>
      </c>
      <c r="B15" s="345" t="s">
        <v>430</v>
      </c>
      <c r="C15" s="346"/>
      <c r="D15" s="346"/>
      <c r="E15" s="209"/>
      <c r="F15" s="209"/>
    </row>
    <row r="16" spans="1:6" s="190" customFormat="1" ht="16.5" customHeight="1">
      <c r="A16" s="184">
        <f t="shared" si="0"/>
        <v>10</v>
      </c>
      <c r="B16" s="195"/>
      <c r="C16" s="347" t="s">
        <v>431</v>
      </c>
      <c r="D16" s="347"/>
      <c r="E16" s="209">
        <f>121500562+835257</f>
        <v>122335819</v>
      </c>
      <c r="F16" s="209">
        <f>100000000+13445000</f>
        <v>113445000</v>
      </c>
    </row>
    <row r="17" spans="1:6" s="190" customFormat="1" ht="16.5">
      <c r="A17" s="184">
        <f t="shared" si="0"/>
        <v>11</v>
      </c>
      <c r="B17" s="210"/>
      <c r="C17" s="347" t="s">
        <v>427</v>
      </c>
      <c r="D17" s="347"/>
      <c r="E17" s="270">
        <v>-2000000</v>
      </c>
      <c r="F17" s="209">
        <v>0</v>
      </c>
    </row>
    <row r="18" spans="1:6" s="190" customFormat="1" ht="16.5">
      <c r="A18" s="184">
        <f t="shared" si="0"/>
        <v>12</v>
      </c>
      <c r="B18" s="210"/>
      <c r="C18" s="347" t="s">
        <v>425</v>
      </c>
      <c r="D18" s="347"/>
      <c r="E18" s="209">
        <f>SUM(E16:E17)</f>
        <v>120335819</v>
      </c>
      <c r="F18" s="209"/>
    </row>
    <row r="19" spans="1:6" s="190" customFormat="1" ht="16.5">
      <c r="A19" s="184">
        <f t="shared" si="0"/>
        <v>13</v>
      </c>
      <c r="B19" s="210"/>
      <c r="C19" s="342" t="s">
        <v>429</v>
      </c>
      <c r="D19" s="342"/>
      <c r="E19" s="209"/>
      <c r="F19" s="209"/>
    </row>
    <row r="20" spans="1:6" s="190" customFormat="1" ht="16.5" customHeight="1">
      <c r="A20" s="184">
        <f t="shared" si="0"/>
        <v>14</v>
      </c>
      <c r="B20" s="210"/>
      <c r="C20" s="207" t="s">
        <v>432</v>
      </c>
      <c r="D20" s="200"/>
      <c r="E20" s="209">
        <v>8941760</v>
      </c>
      <c r="F20" s="209">
        <v>3544783</v>
      </c>
    </row>
    <row r="21" spans="1:6" ht="16.5">
      <c r="A21" s="184">
        <f t="shared" si="0"/>
        <v>15</v>
      </c>
      <c r="B21" s="212"/>
      <c r="C21" s="343" t="s">
        <v>402</v>
      </c>
      <c r="D21" s="343"/>
      <c r="E21" s="209">
        <v>1114714</v>
      </c>
      <c r="F21" s="209">
        <v>348500</v>
      </c>
    </row>
    <row r="22" spans="1:12" ht="16.5" customHeight="1">
      <c r="A22" s="184">
        <f t="shared" si="0"/>
        <v>16</v>
      </c>
      <c r="B22" s="212"/>
      <c r="C22" s="341" t="s">
        <v>435</v>
      </c>
      <c r="D22" s="341"/>
      <c r="E22" s="209">
        <f>SUM(E18:E21)</f>
        <v>130392293</v>
      </c>
      <c r="F22" s="209">
        <v>583392</v>
      </c>
      <c r="L22" s="186">
        <v>1</v>
      </c>
    </row>
    <row r="23" spans="1:6" ht="16.5" customHeight="1">
      <c r="A23" s="184">
        <f t="shared" si="0"/>
        <v>17</v>
      </c>
      <c r="B23" s="212"/>
      <c r="C23" s="265"/>
      <c r="D23" s="265" t="s">
        <v>421</v>
      </c>
      <c r="E23" s="209">
        <f>+E22-E24</f>
        <v>109778710</v>
      </c>
      <c r="F23" s="209"/>
    </row>
    <row r="24" spans="1:6" ht="16.5" customHeight="1">
      <c r="A24" s="184">
        <f t="shared" si="0"/>
        <v>18</v>
      </c>
      <c r="B24" s="212"/>
      <c r="C24" s="265"/>
      <c r="D24" s="265" t="s">
        <v>420</v>
      </c>
      <c r="E24" s="209">
        <v>20613583</v>
      </c>
      <c r="F24" s="209"/>
    </row>
    <row r="25" spans="1:6" ht="16.5" customHeight="1">
      <c r="A25" s="184">
        <f t="shared" si="0"/>
        <v>19</v>
      </c>
      <c r="B25" s="212"/>
      <c r="C25" s="265"/>
      <c r="D25" s="265"/>
      <c r="E25" s="209"/>
      <c r="F25" s="209"/>
    </row>
    <row r="26" spans="1:6" ht="16.5" customHeight="1">
      <c r="A26" s="184">
        <f t="shared" si="0"/>
        <v>20</v>
      </c>
      <c r="B26" s="345" t="s">
        <v>433</v>
      </c>
      <c r="C26" s="346"/>
      <c r="D26" s="346"/>
      <c r="E26" s="209"/>
      <c r="F26" s="209"/>
    </row>
    <row r="27" spans="1:6" ht="16.5" customHeight="1">
      <c r="A27" s="184">
        <f t="shared" si="0"/>
        <v>21</v>
      </c>
      <c r="B27" s="195"/>
      <c r="C27" s="347" t="s">
        <v>434</v>
      </c>
      <c r="D27" s="347"/>
      <c r="E27" s="209">
        <f>88497976+514091</f>
        <v>89012067</v>
      </c>
      <c r="F27" s="209"/>
    </row>
    <row r="28" spans="1:6" ht="16.5" customHeight="1">
      <c r="A28" s="184">
        <f t="shared" si="0"/>
        <v>22</v>
      </c>
      <c r="B28" s="210"/>
      <c r="C28" s="347" t="s">
        <v>427</v>
      </c>
      <c r="D28" s="347"/>
      <c r="E28" s="271">
        <v>-929801</v>
      </c>
      <c r="F28" s="209"/>
    </row>
    <row r="29" spans="1:6" ht="16.5" customHeight="1">
      <c r="A29" s="184">
        <f t="shared" si="0"/>
        <v>23</v>
      </c>
      <c r="B29" s="210"/>
      <c r="C29" s="347" t="s">
        <v>425</v>
      </c>
      <c r="D29" s="347"/>
      <c r="E29" s="209">
        <f>SUM(E27:E28)</f>
        <v>88082266</v>
      </c>
      <c r="F29" s="209"/>
    </row>
    <row r="30" spans="1:6" ht="16.5" customHeight="1">
      <c r="A30" s="184">
        <f t="shared" si="0"/>
        <v>24</v>
      </c>
      <c r="B30" s="210"/>
      <c r="C30" s="342" t="s">
        <v>429</v>
      </c>
      <c r="D30" s="342"/>
      <c r="E30" s="209"/>
      <c r="F30" s="209"/>
    </row>
    <row r="31" spans="1:6" ht="16.5" customHeight="1">
      <c r="A31" s="184">
        <f t="shared" si="0"/>
        <v>25</v>
      </c>
      <c r="B31" s="210"/>
      <c r="C31" s="207" t="s">
        <v>432</v>
      </c>
      <c r="D31" s="200"/>
      <c r="E31" s="209">
        <v>7440902</v>
      </c>
      <c r="F31" s="209">
        <v>4000000</v>
      </c>
    </row>
    <row r="32" spans="1:6" ht="16.5">
      <c r="A32" s="184">
        <f t="shared" si="0"/>
        <v>26</v>
      </c>
      <c r="B32" s="212"/>
      <c r="C32" s="343" t="s">
        <v>402</v>
      </c>
      <c r="D32" s="343"/>
      <c r="E32" s="272">
        <f>+'[3]dollars'!$P$68</f>
        <v>440866</v>
      </c>
      <c r="F32" s="245">
        <f>SUM(F13:F31)</f>
        <v>141921675</v>
      </c>
    </row>
    <row r="33" spans="1:6" ht="16.5">
      <c r="A33" s="184">
        <f t="shared" si="0"/>
        <v>27</v>
      </c>
      <c r="B33" s="212"/>
      <c r="C33" s="341" t="s">
        <v>436</v>
      </c>
      <c r="D33" s="341"/>
      <c r="E33" s="209">
        <f>SUM(E29:E32)</f>
        <v>95964034</v>
      </c>
      <c r="F33" s="209"/>
    </row>
    <row r="34" spans="1:6" ht="16.5">
      <c r="A34" s="184">
        <f t="shared" si="0"/>
        <v>28</v>
      </c>
      <c r="B34" s="212"/>
      <c r="C34" s="265"/>
      <c r="D34" s="265" t="s">
        <v>421</v>
      </c>
      <c r="E34" s="209">
        <f>+E33-E35</f>
        <v>75092732</v>
      </c>
      <c r="F34" s="209"/>
    </row>
    <row r="35" spans="1:6" ht="16.5">
      <c r="A35" s="184">
        <f t="shared" si="0"/>
        <v>29</v>
      </c>
      <c r="B35" s="212"/>
      <c r="C35" s="265"/>
      <c r="D35" s="265" t="s">
        <v>420</v>
      </c>
      <c r="E35" s="209">
        <v>20871302</v>
      </c>
      <c r="F35" s="209"/>
    </row>
    <row r="36" spans="1:6" ht="16.5">
      <c r="A36" s="184">
        <f t="shared" si="0"/>
        <v>30</v>
      </c>
      <c r="B36" s="212"/>
      <c r="C36" s="265"/>
      <c r="D36" s="265"/>
      <c r="E36" s="209"/>
      <c r="F36" s="209"/>
    </row>
    <row r="37" spans="1:6" ht="16.5">
      <c r="A37" s="184">
        <f t="shared" si="0"/>
        <v>31</v>
      </c>
      <c r="B37" s="345" t="s">
        <v>437</v>
      </c>
      <c r="C37" s="346"/>
      <c r="D37" s="346"/>
      <c r="E37" s="209"/>
      <c r="F37" s="209"/>
    </row>
    <row r="38" spans="1:6" ht="16.5">
      <c r="A38" s="184">
        <f t="shared" si="0"/>
        <v>32</v>
      </c>
      <c r="B38" s="195"/>
      <c r="C38" s="347" t="s">
        <v>438</v>
      </c>
      <c r="D38" s="347"/>
      <c r="E38" s="209">
        <v>52841965</v>
      </c>
      <c r="F38" s="209"/>
    </row>
    <row r="39" spans="1:6" ht="16.5">
      <c r="A39" s="184">
        <f t="shared" si="0"/>
        <v>33</v>
      </c>
      <c r="B39" s="210"/>
      <c r="C39" s="347" t="s">
        <v>427</v>
      </c>
      <c r="D39" s="347"/>
      <c r="E39" s="270">
        <v>-4374999</v>
      </c>
      <c r="F39" s="209"/>
    </row>
    <row r="40" spans="1:6" ht="16.5">
      <c r="A40" s="184">
        <f t="shared" si="0"/>
        <v>34</v>
      </c>
      <c r="B40" s="210"/>
      <c r="C40" s="347" t="s">
        <v>439</v>
      </c>
      <c r="D40" s="347"/>
      <c r="E40" s="209">
        <f>SUM(E38:E39)</f>
        <v>48466966</v>
      </c>
      <c r="F40" s="209"/>
    </row>
    <row r="41" spans="1:6" ht="16.5" customHeight="1">
      <c r="A41" s="184">
        <f t="shared" si="0"/>
        <v>35</v>
      </c>
      <c r="B41" s="210"/>
      <c r="C41" s="342" t="s">
        <v>429</v>
      </c>
      <c r="D41" s="342"/>
      <c r="E41" s="254"/>
      <c r="F41" s="254"/>
    </row>
    <row r="42" spans="1:6" ht="16.5" customHeight="1">
      <c r="A42" s="184">
        <f t="shared" si="0"/>
        <v>36</v>
      </c>
      <c r="B42" s="210"/>
      <c r="C42" s="207" t="s">
        <v>440</v>
      </c>
      <c r="D42" s="200"/>
      <c r="E42" s="209">
        <v>3217938</v>
      </c>
      <c r="F42" s="209">
        <v>5900000</v>
      </c>
    </row>
    <row r="43" spans="1:6" ht="16.5" customHeight="1">
      <c r="A43" s="184">
        <f t="shared" si="0"/>
        <v>37</v>
      </c>
      <c r="B43" s="212"/>
      <c r="C43" s="343" t="s">
        <v>402</v>
      </c>
      <c r="D43" s="343"/>
      <c r="E43" s="209">
        <f>+'[3]dollars'!$P$70</f>
        <v>469271</v>
      </c>
      <c r="F43" s="209">
        <v>1500000</v>
      </c>
    </row>
    <row r="44" spans="1:6" ht="16.5" customHeight="1">
      <c r="A44" s="184">
        <f t="shared" si="0"/>
        <v>38</v>
      </c>
      <c r="B44" s="212"/>
      <c r="C44" s="343" t="s">
        <v>452</v>
      </c>
      <c r="D44" s="343"/>
      <c r="E44" s="209">
        <v>1200000</v>
      </c>
      <c r="F44" s="209"/>
    </row>
    <row r="45" spans="1:6" ht="16.5" customHeight="1">
      <c r="A45" s="184">
        <f t="shared" si="0"/>
        <v>39</v>
      </c>
      <c r="B45" s="212"/>
      <c r="C45" s="341" t="s">
        <v>441</v>
      </c>
      <c r="D45" s="341"/>
      <c r="E45" s="209">
        <f>SUM(E40:E44)</f>
        <v>53354175</v>
      </c>
      <c r="F45" s="209">
        <v>1000000</v>
      </c>
    </row>
    <row r="46" spans="1:6" ht="16.5" customHeight="1">
      <c r="A46" s="184">
        <f t="shared" si="0"/>
        <v>40</v>
      </c>
      <c r="B46" s="212"/>
      <c r="C46" s="265"/>
      <c r="D46" s="265" t="s">
        <v>421</v>
      </c>
      <c r="E46" s="209">
        <f>+E45-E47</f>
        <v>44233076</v>
      </c>
      <c r="F46" s="209"/>
    </row>
    <row r="47" spans="1:6" ht="16.5" customHeight="1">
      <c r="A47" s="184">
        <f t="shared" si="0"/>
        <v>41</v>
      </c>
      <c r="B47" s="212"/>
      <c r="C47" s="265"/>
      <c r="D47" s="265" t="s">
        <v>420</v>
      </c>
      <c r="E47" s="209">
        <f>7921099+1200000</f>
        <v>9121099</v>
      </c>
      <c r="F47" s="209"/>
    </row>
    <row r="48" spans="1:6" ht="16.5" customHeight="1">
      <c r="A48" s="184">
        <f t="shared" si="0"/>
        <v>42</v>
      </c>
      <c r="B48" s="212"/>
      <c r="C48" s="265"/>
      <c r="D48" s="265"/>
      <c r="E48" s="209"/>
      <c r="F48" s="209"/>
    </row>
    <row r="49" spans="1:6" ht="16.5" customHeight="1">
      <c r="A49" s="184">
        <f t="shared" si="0"/>
        <v>43</v>
      </c>
      <c r="B49" s="345" t="s">
        <v>442</v>
      </c>
      <c r="C49" s="346"/>
      <c r="D49" s="346"/>
      <c r="E49" s="209"/>
      <c r="F49" s="209"/>
    </row>
    <row r="50" spans="1:6" ht="16.5" customHeight="1">
      <c r="A50" s="184">
        <f t="shared" si="0"/>
        <v>44</v>
      </c>
      <c r="B50" s="195"/>
      <c r="C50" s="347" t="s">
        <v>446</v>
      </c>
      <c r="D50" s="347"/>
      <c r="E50" s="209">
        <v>5471895</v>
      </c>
      <c r="F50" s="209"/>
    </row>
    <row r="51" spans="1:6" ht="16.5" customHeight="1">
      <c r="A51" s="184">
        <f t="shared" si="0"/>
        <v>45</v>
      </c>
      <c r="B51" s="210"/>
      <c r="C51" s="342" t="s">
        <v>429</v>
      </c>
      <c r="D51" s="342"/>
      <c r="E51" s="209"/>
      <c r="F51" s="209">
        <v>1303575</v>
      </c>
    </row>
    <row r="52" spans="1:6" ht="16.5" customHeight="1">
      <c r="A52" s="184">
        <f t="shared" si="0"/>
        <v>46</v>
      </c>
      <c r="B52" s="210"/>
      <c r="C52" s="207" t="s">
        <v>443</v>
      </c>
      <c r="D52" s="200"/>
      <c r="E52" s="209">
        <v>9855049</v>
      </c>
      <c r="F52" s="209">
        <v>3000000</v>
      </c>
    </row>
    <row r="53" spans="1:6" ht="16.5">
      <c r="A53" s="184">
        <f t="shared" si="0"/>
        <v>47</v>
      </c>
      <c r="B53" s="212"/>
      <c r="C53" s="341" t="s">
        <v>454</v>
      </c>
      <c r="D53" s="341"/>
      <c r="E53" s="217">
        <f>SUM(E50:E52)</f>
        <v>15326944</v>
      </c>
      <c r="F53" s="217"/>
    </row>
    <row r="54" spans="1:6" ht="16.5">
      <c r="A54" s="184">
        <f t="shared" si="0"/>
        <v>48</v>
      </c>
      <c r="B54" s="212"/>
      <c r="C54" s="265"/>
      <c r="D54" s="265"/>
      <c r="E54" s="217"/>
      <c r="F54" s="217"/>
    </row>
    <row r="55" spans="1:6" ht="16.5">
      <c r="A55" s="184">
        <f t="shared" si="0"/>
        <v>49</v>
      </c>
      <c r="B55" s="345" t="s">
        <v>444</v>
      </c>
      <c r="C55" s="346"/>
      <c r="D55" s="346"/>
      <c r="E55" s="209"/>
      <c r="F55" s="217"/>
    </row>
    <row r="56" spans="1:6" ht="16.5">
      <c r="A56" s="184">
        <f t="shared" si="0"/>
        <v>50</v>
      </c>
      <c r="B56" s="195"/>
      <c r="C56" s="347" t="s">
        <v>445</v>
      </c>
      <c r="D56" s="347"/>
      <c r="E56" s="209">
        <v>4707531</v>
      </c>
      <c r="F56" s="217"/>
    </row>
    <row r="57" spans="1:6" ht="16.5">
      <c r="A57" s="184">
        <f t="shared" si="0"/>
        <v>51</v>
      </c>
      <c r="B57" s="210"/>
      <c r="C57" s="342" t="s">
        <v>429</v>
      </c>
      <c r="D57" s="342"/>
      <c r="E57" s="209"/>
      <c r="F57" s="217"/>
    </row>
    <row r="58" spans="1:6" ht="16.5">
      <c r="A58" s="184">
        <f t="shared" si="0"/>
        <v>52</v>
      </c>
      <c r="B58" s="210"/>
      <c r="C58" s="207" t="s">
        <v>443</v>
      </c>
      <c r="D58" s="200"/>
      <c r="E58" s="209">
        <v>8438761</v>
      </c>
      <c r="F58" s="217"/>
    </row>
    <row r="59" spans="1:6" ht="16.5">
      <c r="A59" s="184">
        <f t="shared" si="0"/>
        <v>53</v>
      </c>
      <c r="B59" s="212"/>
      <c r="C59" s="341" t="s">
        <v>455</v>
      </c>
      <c r="D59" s="341"/>
      <c r="E59" s="217">
        <f>SUM(E56:E58)</f>
        <v>13146292</v>
      </c>
      <c r="F59" s="217"/>
    </row>
    <row r="60" spans="1:6" ht="16.5">
      <c r="A60" s="184">
        <f t="shared" si="0"/>
        <v>54</v>
      </c>
      <c r="B60" s="212"/>
      <c r="C60" s="265"/>
      <c r="D60" s="265"/>
      <c r="E60" s="217"/>
      <c r="F60" s="217"/>
    </row>
    <row r="61" spans="1:6" ht="16.5">
      <c r="A61" s="184">
        <f t="shared" si="0"/>
        <v>55</v>
      </c>
      <c r="B61" s="348" t="s">
        <v>447</v>
      </c>
      <c r="C61" s="349"/>
      <c r="D61" s="349"/>
      <c r="E61" s="198">
        <v>30250000</v>
      </c>
      <c r="F61" s="205"/>
    </row>
    <row r="62" spans="1:6" ht="16.5">
      <c r="A62" s="184">
        <f t="shared" si="0"/>
        <v>56</v>
      </c>
      <c r="B62" s="348" t="s">
        <v>448</v>
      </c>
      <c r="C62" s="349"/>
      <c r="D62" s="349"/>
      <c r="E62" s="209">
        <v>13440335</v>
      </c>
      <c r="F62" s="209">
        <v>55000000</v>
      </c>
    </row>
    <row r="63" spans="1:6" ht="16.5">
      <c r="A63" s="184">
        <f t="shared" si="0"/>
        <v>57</v>
      </c>
      <c r="B63" s="348" t="s">
        <v>449</v>
      </c>
      <c r="C63" s="349"/>
      <c r="D63" s="349"/>
      <c r="E63" s="209">
        <v>55000000</v>
      </c>
      <c r="F63" s="209">
        <v>3300000</v>
      </c>
    </row>
    <row r="64" spans="1:6" ht="16.5">
      <c r="A64" s="184">
        <f t="shared" si="0"/>
        <v>58</v>
      </c>
      <c r="B64" s="348" t="s">
        <v>450</v>
      </c>
      <c r="C64" s="349"/>
      <c r="D64" s="349"/>
      <c r="E64" s="209">
        <v>1616848</v>
      </c>
      <c r="F64" s="209">
        <v>3217938</v>
      </c>
    </row>
    <row r="65" spans="1:6" ht="16.5">
      <c r="A65" s="184">
        <f t="shared" si="0"/>
        <v>59</v>
      </c>
      <c r="B65" s="261"/>
      <c r="C65" s="207"/>
      <c r="D65" s="190"/>
      <c r="E65" s="209"/>
      <c r="F65" s="209">
        <f>8941760+7440902</f>
        <v>16382662</v>
      </c>
    </row>
    <row r="66" spans="1:6" ht="16.5">
      <c r="A66" s="184">
        <f t="shared" si="0"/>
        <v>60</v>
      </c>
      <c r="B66" s="348" t="s">
        <v>451</v>
      </c>
      <c r="C66" s="349"/>
      <c r="D66" s="349"/>
      <c r="E66" s="209">
        <f>+E64+E63+E62+E61+E59+E53+E45+E33+E22+E13</f>
        <v>556425413</v>
      </c>
      <c r="F66" s="209">
        <v>18000000</v>
      </c>
    </row>
  </sheetData>
  <mergeCells count="45">
    <mergeCell ref="B63:D63"/>
    <mergeCell ref="B64:D64"/>
    <mergeCell ref="B66:D66"/>
    <mergeCell ref="C44:D44"/>
    <mergeCell ref="C56:D56"/>
    <mergeCell ref="C57:D57"/>
    <mergeCell ref="C59:D59"/>
    <mergeCell ref="B62:D62"/>
    <mergeCell ref="C53:D53"/>
    <mergeCell ref="B55:D55"/>
    <mergeCell ref="C50:D50"/>
    <mergeCell ref="C28:D28"/>
    <mergeCell ref="C29:D29"/>
    <mergeCell ref="C30:D30"/>
    <mergeCell ref="C32:D32"/>
    <mergeCell ref="C39:D39"/>
    <mergeCell ref="C40:D40"/>
    <mergeCell ref="B15:D15"/>
    <mergeCell ref="C18:D18"/>
    <mergeCell ref="C41:D41"/>
    <mergeCell ref="B49:D49"/>
    <mergeCell ref="C21:D21"/>
    <mergeCell ref="C17:D17"/>
    <mergeCell ref="C19:D19"/>
    <mergeCell ref="C16:D16"/>
    <mergeCell ref="B61:D61"/>
    <mergeCell ref="C22:D22"/>
    <mergeCell ref="C45:D45"/>
    <mergeCell ref="B26:D26"/>
    <mergeCell ref="C27:D27"/>
    <mergeCell ref="C51:D51"/>
    <mergeCell ref="C43:D43"/>
    <mergeCell ref="C33:D33"/>
    <mergeCell ref="B37:D37"/>
    <mergeCell ref="C38:D38"/>
    <mergeCell ref="C13:D13"/>
    <mergeCell ref="C10:D10"/>
    <mergeCell ref="C12:D12"/>
    <mergeCell ref="B1:F1"/>
    <mergeCell ref="B2:F2"/>
    <mergeCell ref="B3:F3"/>
    <mergeCell ref="B6:D6"/>
    <mergeCell ref="C7:D7"/>
    <mergeCell ref="C8:D8"/>
    <mergeCell ref="C9:D9"/>
  </mergeCells>
  <printOptions horizontalCentered="1"/>
  <pageMargins left="0" right="0" top="0.5" bottom="0" header="0.5" footer="0.5"/>
  <pageSetup horizontalDpi="600" verticalDpi="600" orientation="portrait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80" zoomScaleNormal="80" workbookViewId="0" topLeftCell="A1">
      <pane xSplit="1" topLeftCell="B1" activePane="topRight" state="frozen"/>
      <selection pane="topLeft" activeCell="A6" sqref="A6"/>
      <selection pane="topRight" activeCell="I5" sqref="I5"/>
    </sheetView>
  </sheetViews>
  <sheetFormatPr defaultColWidth="9.140625" defaultRowHeight="12.75"/>
  <cols>
    <col min="1" max="1" width="3.00390625" style="184" bestFit="1" customWidth="1"/>
    <col min="2" max="2" width="3.00390625" style="193" customWidth="1"/>
    <col min="3" max="3" width="2.8515625" style="194" customWidth="1"/>
    <col min="4" max="4" width="76.7109375" style="191" customWidth="1"/>
    <col min="5" max="5" width="18.7109375" style="192" customWidth="1"/>
    <col min="6" max="6" width="19.28125" style="192" customWidth="1"/>
    <col min="7" max="7" width="19.421875" style="192" customWidth="1"/>
    <col min="8" max="16384" width="9.140625" style="186" customWidth="1"/>
  </cols>
  <sheetData>
    <row r="1" spans="2:7" ht="15" customHeight="1">
      <c r="B1" s="298" t="s">
        <v>0</v>
      </c>
      <c r="C1" s="298"/>
      <c r="D1" s="298"/>
      <c r="E1" s="298"/>
      <c r="F1" s="298"/>
      <c r="G1" s="294"/>
    </row>
    <row r="2" spans="2:7" ht="15" customHeight="1">
      <c r="B2" s="298" t="s">
        <v>483</v>
      </c>
      <c r="C2" s="298"/>
      <c r="D2" s="298"/>
      <c r="E2" s="298"/>
      <c r="F2" s="298"/>
      <c r="G2" s="294"/>
    </row>
    <row r="3" spans="2:7" ht="15" customHeight="1">
      <c r="B3" s="298" t="s">
        <v>17</v>
      </c>
      <c r="C3" s="298"/>
      <c r="D3" s="298"/>
      <c r="E3" s="298"/>
      <c r="F3" s="298"/>
      <c r="G3" s="294"/>
    </row>
    <row r="4" spans="2:7" ht="15">
      <c r="B4" s="187"/>
      <c r="C4" s="187"/>
      <c r="D4" s="188"/>
      <c r="E4" s="189"/>
      <c r="F4" s="189"/>
      <c r="G4" s="189"/>
    </row>
    <row r="5" spans="2:7" ht="15.75" customHeight="1">
      <c r="B5" s="365"/>
      <c r="C5" s="366"/>
      <c r="D5" s="366"/>
      <c r="E5" s="369" t="s">
        <v>474</v>
      </c>
      <c r="F5" s="350" t="s">
        <v>457</v>
      </c>
      <c r="G5" s="325"/>
    </row>
    <row r="6" spans="2:7" ht="34.5" customHeight="1">
      <c r="B6" s="363"/>
      <c r="C6" s="364"/>
      <c r="D6" s="364"/>
      <c r="E6" s="370"/>
      <c r="F6" s="351"/>
      <c r="G6" s="325"/>
    </row>
    <row r="7" spans="1:7" ht="16.5">
      <c r="A7" s="184">
        <v>1</v>
      </c>
      <c r="B7" s="371" t="s">
        <v>463</v>
      </c>
      <c r="C7" s="341"/>
      <c r="D7" s="341"/>
      <c r="E7" s="279">
        <f>2018846141+155449794+30000000+7242068</f>
        <v>2211538003</v>
      </c>
      <c r="F7" s="246"/>
      <c r="G7" s="325"/>
    </row>
    <row r="8" spans="1:7" ht="16.5">
      <c r="A8" s="184">
        <f aca="true" t="shared" si="0" ref="A8:A13">+A7+1</f>
        <v>2</v>
      </c>
      <c r="B8" s="371" t="s">
        <v>464</v>
      </c>
      <c r="C8" s="341"/>
      <c r="D8" s="341"/>
      <c r="E8" s="264">
        <v>903797758</v>
      </c>
      <c r="F8" s="246"/>
      <c r="G8" s="325"/>
    </row>
    <row r="9" spans="1:7" ht="16.5">
      <c r="A9" s="184">
        <f t="shared" si="0"/>
        <v>3</v>
      </c>
      <c r="B9" s="210"/>
      <c r="C9" s="262"/>
      <c r="D9" s="262" t="s">
        <v>484</v>
      </c>
      <c r="E9" s="198">
        <f>SUM(E7:E8)</f>
        <v>3115335761</v>
      </c>
      <c r="F9" s="246"/>
      <c r="G9" s="325"/>
    </row>
    <row r="10" spans="1:7" ht="16.5">
      <c r="A10" s="184">
        <f t="shared" si="0"/>
        <v>4</v>
      </c>
      <c r="B10" s="210"/>
      <c r="C10" s="262"/>
      <c r="D10" s="262"/>
      <c r="E10" s="246"/>
      <c r="F10" s="246"/>
      <c r="G10" s="325"/>
    </row>
    <row r="11" spans="1:7" ht="16.5">
      <c r="A11" s="184">
        <f t="shared" si="0"/>
        <v>5</v>
      </c>
      <c r="B11" s="367" t="s">
        <v>462</v>
      </c>
      <c r="C11" s="347"/>
      <c r="D11" s="347"/>
      <c r="E11" s="278">
        <v>-100000000</v>
      </c>
      <c r="F11" s="198"/>
      <c r="G11" s="326"/>
    </row>
    <row r="12" spans="1:7" ht="16.5">
      <c r="A12" s="184">
        <f t="shared" si="0"/>
        <v>6</v>
      </c>
      <c r="B12" s="367" t="s">
        <v>465</v>
      </c>
      <c r="C12" s="347"/>
      <c r="D12" s="347"/>
      <c r="E12" s="202">
        <f>-+'[2]summary'!$J$37+100000000</f>
        <v>-79689982</v>
      </c>
      <c r="F12" s="202"/>
      <c r="G12" s="327"/>
    </row>
    <row r="13" spans="1:7" ht="16.5" customHeight="1">
      <c r="A13" s="184">
        <f t="shared" si="0"/>
        <v>7</v>
      </c>
      <c r="B13" s="293"/>
      <c r="C13" s="275"/>
      <c r="D13" s="275" t="s">
        <v>485</v>
      </c>
      <c r="E13" s="204">
        <f>SUM(E9:E12)</f>
        <v>2935645779</v>
      </c>
      <c r="F13" s="204"/>
      <c r="G13" s="328"/>
    </row>
    <row r="14" spans="2:7" ht="9.75" customHeight="1">
      <c r="B14" s="199"/>
      <c r="C14" s="200"/>
      <c r="D14" s="200"/>
      <c r="E14" s="205"/>
      <c r="F14" s="205"/>
      <c r="G14" s="328"/>
    </row>
    <row r="15" spans="1:7" s="190" customFormat="1" ht="16.5" customHeight="1">
      <c r="A15" s="184">
        <f>+A13+1</f>
        <v>8</v>
      </c>
      <c r="B15" s="345" t="s">
        <v>409</v>
      </c>
      <c r="C15" s="346"/>
      <c r="D15" s="346"/>
      <c r="E15" s="211"/>
      <c r="F15" s="211"/>
      <c r="G15" s="329"/>
    </row>
    <row r="16" spans="1:7" s="190" customFormat="1" ht="16.5">
      <c r="A16" s="184">
        <f aca="true" t="shared" si="1" ref="A16:A43">+A15+1</f>
        <v>9</v>
      </c>
      <c r="B16" s="195"/>
      <c r="C16" s="341" t="s">
        <v>360</v>
      </c>
      <c r="D16" s="341"/>
      <c r="E16" s="209">
        <v>20000000</v>
      </c>
      <c r="F16" s="209">
        <v>20000000</v>
      </c>
      <c r="G16" s="330"/>
    </row>
    <row r="17" spans="1:7" s="190" customFormat="1" ht="16.5">
      <c r="A17" s="184">
        <f t="shared" si="1"/>
        <v>10</v>
      </c>
      <c r="B17" s="195"/>
      <c r="C17" s="341" t="s">
        <v>472</v>
      </c>
      <c r="D17" s="341"/>
      <c r="E17" s="209">
        <f>100000000+13445000</f>
        <v>113445000</v>
      </c>
      <c r="F17" s="209"/>
      <c r="G17" s="330"/>
    </row>
    <row r="18" spans="1:7" s="190" customFormat="1" ht="16.5">
      <c r="A18" s="184">
        <f t="shared" si="1"/>
        <v>11</v>
      </c>
      <c r="B18" s="195"/>
      <c r="C18" s="368" t="s">
        <v>471</v>
      </c>
      <c r="D18" s="368"/>
      <c r="E18" s="209">
        <v>348500</v>
      </c>
      <c r="F18" s="209"/>
      <c r="G18" s="330"/>
    </row>
    <row r="19" spans="1:7" s="190" customFormat="1" ht="16.5">
      <c r="A19" s="184">
        <f t="shared" si="1"/>
        <v>12</v>
      </c>
      <c r="B19" s="195"/>
      <c r="C19" s="347" t="s">
        <v>470</v>
      </c>
      <c r="D19" s="347"/>
      <c r="E19" s="209">
        <v>583392</v>
      </c>
      <c r="F19" s="209"/>
      <c r="G19" s="330"/>
    </row>
    <row r="20" spans="1:7" s="190" customFormat="1" ht="16.5">
      <c r="A20" s="184">
        <f t="shared" si="1"/>
        <v>13</v>
      </c>
      <c r="B20" s="195"/>
      <c r="C20" s="368" t="s">
        <v>413</v>
      </c>
      <c r="D20" s="368"/>
      <c r="E20" s="209">
        <v>4000000</v>
      </c>
      <c r="F20" s="209"/>
      <c r="G20" s="330"/>
    </row>
    <row r="21" spans="1:7" s="190" customFormat="1" ht="16.5">
      <c r="A21" s="184">
        <f t="shared" si="1"/>
        <v>14</v>
      </c>
      <c r="B21" s="210"/>
      <c r="C21" s="359" t="s">
        <v>475</v>
      </c>
      <c r="D21" s="359"/>
      <c r="E21" s="209"/>
      <c r="F21" s="209"/>
      <c r="G21" s="330"/>
    </row>
    <row r="22" spans="1:7" s="190" customFormat="1" ht="16.5">
      <c r="A22" s="184">
        <f t="shared" si="1"/>
        <v>15</v>
      </c>
      <c r="B22" s="210"/>
      <c r="C22" s="232" t="s">
        <v>461</v>
      </c>
      <c r="D22" s="190" t="s">
        <v>476</v>
      </c>
      <c r="E22" s="209">
        <f>11960948+4100000</f>
        <v>16060948</v>
      </c>
      <c r="F22" s="209"/>
      <c r="G22" s="330"/>
    </row>
    <row r="23" spans="1:7" s="190" customFormat="1" ht="16.5">
      <c r="A23" s="184">
        <f t="shared" si="1"/>
        <v>16</v>
      </c>
      <c r="B23" s="210"/>
      <c r="C23" s="232"/>
      <c r="D23" s="190" t="s">
        <v>477</v>
      </c>
      <c r="E23" s="209">
        <v>27795723</v>
      </c>
      <c r="F23" s="209"/>
      <c r="G23" s="330"/>
    </row>
    <row r="24" spans="1:7" s="190" customFormat="1" ht="16.5">
      <c r="A24" s="184">
        <f t="shared" si="1"/>
        <v>17</v>
      </c>
      <c r="B24" s="210"/>
      <c r="C24" s="232" t="s">
        <v>395</v>
      </c>
      <c r="D24" s="190" t="s">
        <v>478</v>
      </c>
      <c r="E24" s="209">
        <v>54969346</v>
      </c>
      <c r="F24" s="209"/>
      <c r="G24" s="330"/>
    </row>
    <row r="25" spans="1:7" s="190" customFormat="1" ht="16.5">
      <c r="A25" s="184">
        <f t="shared" si="1"/>
        <v>18</v>
      </c>
      <c r="B25" s="210"/>
      <c r="C25" s="368" t="s">
        <v>397</v>
      </c>
      <c r="D25" s="368"/>
      <c r="E25" s="209">
        <v>3544783</v>
      </c>
      <c r="F25" s="209"/>
      <c r="G25" s="330"/>
    </row>
    <row r="26" spans="1:7" ht="16.5">
      <c r="A26" s="184">
        <f t="shared" si="1"/>
        <v>19</v>
      </c>
      <c r="B26" s="239"/>
      <c r="C26" s="250"/>
      <c r="D26" s="241" t="s">
        <v>384</v>
      </c>
      <c r="E26" s="238">
        <f>SUM(E16:E25)</f>
        <v>240747692</v>
      </c>
      <c r="F26" s="245">
        <f>SUM(F16:F25)</f>
        <v>20000000</v>
      </c>
      <c r="G26" s="331"/>
    </row>
    <row r="27" spans="2:7" ht="8.25" customHeight="1">
      <c r="B27" s="375"/>
      <c r="C27" s="376"/>
      <c r="D27" s="376"/>
      <c r="E27" s="209"/>
      <c r="F27" s="209"/>
      <c r="G27" s="330"/>
    </row>
    <row r="28" spans="1:7" ht="16.5">
      <c r="A28" s="184">
        <f>+A26+1</f>
        <v>20</v>
      </c>
      <c r="B28" s="345" t="s">
        <v>410</v>
      </c>
      <c r="C28" s="346"/>
      <c r="D28" s="346"/>
      <c r="E28" s="254"/>
      <c r="F28" s="254"/>
      <c r="G28" s="332"/>
    </row>
    <row r="29" spans="1:7" ht="16.5">
      <c r="A29" s="184">
        <f t="shared" si="1"/>
        <v>21</v>
      </c>
      <c r="B29" s="252"/>
      <c r="C29" s="341" t="s">
        <v>399</v>
      </c>
      <c r="D29" s="341"/>
      <c r="E29" s="209">
        <v>5900000</v>
      </c>
      <c r="F29" s="209">
        <v>1760000</v>
      </c>
      <c r="G29" s="330"/>
    </row>
    <row r="30" spans="1:7" ht="16.5">
      <c r="A30" s="184">
        <f t="shared" si="1"/>
        <v>22</v>
      </c>
      <c r="B30" s="253"/>
      <c r="C30" s="341" t="s">
        <v>398</v>
      </c>
      <c r="D30" s="341"/>
      <c r="E30" s="209">
        <v>1500000</v>
      </c>
      <c r="F30" s="209">
        <v>1500000</v>
      </c>
      <c r="G30" s="330"/>
    </row>
    <row r="31" spans="1:7" ht="16.5">
      <c r="A31" s="184">
        <f t="shared" si="1"/>
        <v>23</v>
      </c>
      <c r="B31" s="253"/>
      <c r="C31" s="341" t="s">
        <v>362</v>
      </c>
      <c r="D31" s="341"/>
      <c r="E31" s="209">
        <v>1000000</v>
      </c>
      <c r="F31" s="209">
        <v>338000</v>
      </c>
      <c r="G31" s="330"/>
    </row>
    <row r="32" spans="1:7" ht="16.5">
      <c r="A32" s="184">
        <f t="shared" si="1"/>
        <v>24</v>
      </c>
      <c r="B32" s="253"/>
      <c r="C32" s="358" t="s">
        <v>401</v>
      </c>
      <c r="D32" s="358"/>
      <c r="E32" s="209">
        <v>1303575</v>
      </c>
      <c r="F32" s="209"/>
      <c r="G32" s="330"/>
    </row>
    <row r="33" spans="1:7" ht="16.5">
      <c r="A33" s="184">
        <f t="shared" si="1"/>
        <v>25</v>
      </c>
      <c r="B33" s="253"/>
      <c r="C33" s="341" t="s">
        <v>414</v>
      </c>
      <c r="D33" s="341"/>
      <c r="E33" s="209">
        <v>3000000</v>
      </c>
      <c r="F33" s="209"/>
      <c r="G33" s="330"/>
    </row>
    <row r="34" spans="1:7" ht="16.5">
      <c r="A34" s="184">
        <f t="shared" si="1"/>
        <v>26</v>
      </c>
      <c r="B34" s="239"/>
      <c r="C34" s="240"/>
      <c r="D34" s="241" t="s">
        <v>384</v>
      </c>
      <c r="E34" s="238">
        <f>SUM(E29:E33)</f>
        <v>12703575</v>
      </c>
      <c r="F34" s="245">
        <f>SUM(F29:F33)</f>
        <v>3598000</v>
      </c>
      <c r="G34" s="331"/>
    </row>
    <row r="35" spans="2:7" ht="8.25" customHeight="1">
      <c r="B35" s="212"/>
      <c r="C35" s="213"/>
      <c r="D35" s="185"/>
      <c r="E35" s="217"/>
      <c r="F35" s="217"/>
      <c r="G35" s="331"/>
    </row>
    <row r="36" spans="1:7" ht="16.5">
      <c r="A36" s="184">
        <f>+A34+1</f>
        <v>27</v>
      </c>
      <c r="B36" s="348" t="s">
        <v>391</v>
      </c>
      <c r="C36" s="349"/>
      <c r="D36" s="349"/>
      <c r="E36" s="205"/>
      <c r="F36" s="205"/>
      <c r="G36" s="328"/>
    </row>
    <row r="37" spans="1:7" ht="16.5">
      <c r="A37" s="184">
        <f t="shared" si="1"/>
        <v>28</v>
      </c>
      <c r="B37" s="261"/>
      <c r="C37" s="207" t="s">
        <v>459</v>
      </c>
      <c r="D37" s="190"/>
      <c r="E37" s="209">
        <v>3300000</v>
      </c>
      <c r="F37" s="209"/>
      <c r="G37" s="330"/>
    </row>
    <row r="38" spans="1:7" ht="16.5">
      <c r="A38" s="184">
        <f t="shared" si="1"/>
        <v>29</v>
      </c>
      <c r="B38" s="261"/>
      <c r="C38" s="341" t="s">
        <v>460</v>
      </c>
      <c r="D38" s="341"/>
      <c r="E38" s="209">
        <v>23591269</v>
      </c>
      <c r="F38" s="209">
        <v>23591269</v>
      </c>
      <c r="G38" s="330"/>
    </row>
    <row r="39" spans="1:7" ht="16.5">
      <c r="A39" s="184">
        <f t="shared" si="1"/>
        <v>30</v>
      </c>
      <c r="B39" s="199"/>
      <c r="C39" s="359" t="s">
        <v>351</v>
      </c>
      <c r="D39" s="359"/>
      <c r="E39" s="209">
        <v>3055116</v>
      </c>
      <c r="F39" s="209"/>
      <c r="G39" s="330"/>
    </row>
    <row r="40" spans="1:7" ht="16.5">
      <c r="A40" s="184">
        <f t="shared" si="1"/>
        <v>31</v>
      </c>
      <c r="B40" s="199"/>
      <c r="C40" s="359" t="s">
        <v>352</v>
      </c>
      <c r="D40" s="359"/>
      <c r="E40" s="209">
        <v>10000000</v>
      </c>
      <c r="F40" s="209"/>
      <c r="G40" s="330"/>
    </row>
    <row r="41" spans="1:7" ht="16.5">
      <c r="A41" s="184">
        <f t="shared" si="1"/>
        <v>32</v>
      </c>
      <c r="B41" s="210"/>
      <c r="C41" s="374" t="s">
        <v>456</v>
      </c>
      <c r="D41" s="374"/>
      <c r="E41" s="209">
        <v>1800000</v>
      </c>
      <c r="F41" s="209"/>
      <c r="G41" s="330"/>
    </row>
    <row r="42" spans="1:7" ht="16.5">
      <c r="A42" s="184">
        <f t="shared" si="1"/>
        <v>33</v>
      </c>
      <c r="B42" s="210"/>
      <c r="C42" s="374" t="s">
        <v>473</v>
      </c>
      <c r="D42" s="374"/>
      <c r="E42" s="209">
        <f>+'[3]dollars'!$P$74</f>
        <v>22020209</v>
      </c>
      <c r="F42" s="209"/>
      <c r="G42" s="330"/>
    </row>
    <row r="43" spans="1:7" ht="16.5">
      <c r="A43" s="184">
        <f t="shared" si="1"/>
        <v>34</v>
      </c>
      <c r="B43" s="234"/>
      <c r="C43" s="235"/>
      <c r="D43" s="236" t="s">
        <v>393</v>
      </c>
      <c r="E43" s="238">
        <f>SUM(E37:E42)</f>
        <v>63766594</v>
      </c>
      <c r="F43" s="238">
        <f>SUM(F37:F42)</f>
        <v>23591269</v>
      </c>
      <c r="G43" s="333"/>
    </row>
    <row r="44" spans="2:7" ht="9" customHeight="1">
      <c r="B44" s="212"/>
      <c r="C44" s="213"/>
      <c r="D44" s="214"/>
      <c r="E44" s="215"/>
      <c r="F44" s="215"/>
      <c r="G44" s="334"/>
    </row>
    <row r="45" spans="1:7" ht="16.5">
      <c r="A45" s="184">
        <f>+A43+1</f>
        <v>35</v>
      </c>
      <c r="B45" s="212"/>
      <c r="C45" s="213"/>
      <c r="D45" s="185" t="s">
        <v>469</v>
      </c>
      <c r="E45" s="219">
        <f>+E43+E34+E26</f>
        <v>317217861</v>
      </c>
      <c r="F45" s="219"/>
      <c r="G45" s="324"/>
    </row>
    <row r="46" spans="2:7" ht="8.25" customHeight="1" thickBot="1">
      <c r="B46" s="212"/>
      <c r="C46" s="213"/>
      <c r="D46" s="214"/>
      <c r="E46" s="221"/>
      <c r="F46" s="221"/>
      <c r="G46" s="334"/>
    </row>
    <row r="47" spans="1:7" s="190" customFormat="1" ht="18" thickBot="1" thickTop="1">
      <c r="A47" s="184">
        <f>+A45+1</f>
        <v>36</v>
      </c>
      <c r="B47" s="354" t="s">
        <v>422</v>
      </c>
      <c r="C47" s="355"/>
      <c r="D47" s="355"/>
      <c r="E47" s="274">
        <f>+E45+E13</f>
        <v>3252863640</v>
      </c>
      <c r="F47" s="251">
        <f>+F43+F34+F26</f>
        <v>47189269</v>
      </c>
      <c r="G47" s="328"/>
    </row>
    <row r="48" spans="1:7" s="190" customFormat="1" ht="18" thickBot="1" thickTop="1">
      <c r="A48" s="184">
        <f aca="true" t="shared" si="2" ref="A48:A58">+A47+1</f>
        <v>37</v>
      </c>
      <c r="B48" s="352" t="s">
        <v>486</v>
      </c>
      <c r="C48" s="353"/>
      <c r="D48" s="353"/>
      <c r="E48" s="226">
        <f>ROUND(((E47/E9)),4)-1</f>
        <v>0.04410000000000003</v>
      </c>
      <c r="F48" s="292"/>
      <c r="G48" s="280"/>
    </row>
    <row r="49" spans="1:7" s="190" customFormat="1" ht="17.25" thickBot="1">
      <c r="A49" s="184">
        <f t="shared" si="2"/>
        <v>38</v>
      </c>
      <c r="B49" s="210"/>
      <c r="C49" s="262"/>
      <c r="D49" s="262"/>
      <c r="E49" s="281"/>
      <c r="F49" s="320"/>
      <c r="G49" s="280"/>
    </row>
    <row r="50" spans="1:7" s="190" customFormat="1" ht="16.5">
      <c r="A50" s="184">
        <f t="shared" si="2"/>
        <v>39</v>
      </c>
      <c r="B50" s="356" t="s">
        <v>466</v>
      </c>
      <c r="C50" s="357"/>
      <c r="D50" s="357"/>
      <c r="E50" s="282">
        <f>+E7+E11+E12</f>
        <v>2031848021</v>
      </c>
      <c r="F50" s="321"/>
      <c r="G50" s="280"/>
    </row>
    <row r="51" spans="1:7" s="190" customFormat="1" ht="16.5">
      <c r="A51" s="184">
        <f t="shared" si="2"/>
        <v>40</v>
      </c>
      <c r="B51" s="372" t="s">
        <v>479</v>
      </c>
      <c r="C51" s="373"/>
      <c r="D51" s="373"/>
      <c r="E51" s="283">
        <f>+E45-E55</f>
        <v>285666389</v>
      </c>
      <c r="F51" s="322"/>
      <c r="G51" s="280"/>
    </row>
    <row r="52" spans="1:7" s="190" customFormat="1" ht="16.5" customHeight="1">
      <c r="A52" s="184">
        <f t="shared" si="2"/>
        <v>41</v>
      </c>
      <c r="B52" s="284"/>
      <c r="C52" s="277"/>
      <c r="D52" s="285" t="s">
        <v>481</v>
      </c>
      <c r="E52" s="286">
        <f>SUM(E50:E51)</f>
        <v>2317514410</v>
      </c>
      <c r="F52" s="322"/>
      <c r="G52" s="280"/>
    </row>
    <row r="53" spans="1:7" s="190" customFormat="1" ht="10.5" customHeight="1">
      <c r="A53" s="184">
        <f t="shared" si="2"/>
        <v>42</v>
      </c>
      <c r="B53" s="276"/>
      <c r="C53" s="277"/>
      <c r="D53" s="277"/>
      <c r="E53" s="286"/>
      <c r="F53" s="322"/>
      <c r="G53" s="280"/>
    </row>
    <row r="54" spans="1:7" s="190" customFormat="1" ht="16.5">
      <c r="A54" s="184">
        <f t="shared" si="2"/>
        <v>43</v>
      </c>
      <c r="B54" s="372" t="s">
        <v>467</v>
      </c>
      <c r="C54" s="373"/>
      <c r="D54" s="373"/>
      <c r="E54" s="286">
        <f>+E8</f>
        <v>903797758</v>
      </c>
      <c r="F54" s="322"/>
      <c r="G54" s="280"/>
    </row>
    <row r="55" spans="1:7" s="190" customFormat="1" ht="16.5">
      <c r="A55" s="184">
        <f t="shared" si="2"/>
        <v>44</v>
      </c>
      <c r="B55" s="372" t="s">
        <v>468</v>
      </c>
      <c r="C55" s="373"/>
      <c r="D55" s="373"/>
      <c r="E55" s="283">
        <f>27451472+4100000</f>
        <v>31551472</v>
      </c>
      <c r="F55" s="322"/>
      <c r="G55" s="280"/>
    </row>
    <row r="56" spans="1:7" s="190" customFormat="1" ht="16.5" customHeight="1">
      <c r="A56" s="184">
        <f t="shared" si="2"/>
        <v>45</v>
      </c>
      <c r="B56" s="284"/>
      <c r="C56" s="277"/>
      <c r="D56" s="285" t="s">
        <v>482</v>
      </c>
      <c r="E56" s="287">
        <f>SUM(E54:E55)</f>
        <v>935349230</v>
      </c>
      <c r="F56" s="322"/>
      <c r="G56" s="280"/>
    </row>
    <row r="57" spans="1:7" s="190" customFormat="1" ht="10.5" customHeight="1">
      <c r="A57" s="184">
        <f t="shared" si="2"/>
        <v>46</v>
      </c>
      <c r="B57" s="284"/>
      <c r="C57" s="277"/>
      <c r="D57" s="285"/>
      <c r="E57" s="286"/>
      <c r="F57" s="322"/>
      <c r="G57" s="280"/>
    </row>
    <row r="58" spans="1:7" s="190" customFormat="1" ht="17.25" thickBot="1">
      <c r="A58" s="184">
        <f t="shared" si="2"/>
        <v>47</v>
      </c>
      <c r="B58" s="288"/>
      <c r="C58" s="289"/>
      <c r="D58" s="290" t="s">
        <v>480</v>
      </c>
      <c r="E58" s="291">
        <f>+E56+E52</f>
        <v>3252863640</v>
      </c>
      <c r="F58" s="323"/>
      <c r="G58" s="280"/>
    </row>
    <row r="59" spans="2:7" ht="13.5" customHeight="1">
      <c r="B59" s="212"/>
      <c r="C59" s="213"/>
      <c r="D59" s="214"/>
      <c r="E59" s="223"/>
      <c r="F59" s="218"/>
      <c r="G59" s="218"/>
    </row>
    <row r="60" spans="2:7" ht="16.5" hidden="1">
      <c r="B60" s="361" t="s">
        <v>404</v>
      </c>
      <c r="C60" s="362"/>
      <c r="D60" s="362"/>
      <c r="E60" s="223">
        <f>+E47-E9</f>
        <v>137527879</v>
      </c>
      <c r="F60" s="218"/>
      <c r="G60" s="218"/>
    </row>
    <row r="61" spans="2:7" ht="17.25" hidden="1" thickBot="1">
      <c r="B61" s="352" t="s">
        <v>405</v>
      </c>
      <c r="C61" s="353"/>
      <c r="D61" s="353"/>
      <c r="E61" s="225">
        <f>ROUND(((E47/E9)),4)-1</f>
        <v>0.04410000000000003</v>
      </c>
      <c r="F61" s="292"/>
      <c r="G61" s="292"/>
    </row>
    <row r="62" spans="2:7" ht="13.5" customHeight="1" hidden="1" thickBot="1">
      <c r="B62" s="363"/>
      <c r="C62" s="364"/>
      <c r="D62" s="364"/>
      <c r="E62" s="227"/>
      <c r="F62" s="227"/>
      <c r="G62" s="227"/>
    </row>
    <row r="63" spans="2:7" ht="16.5" customHeight="1" hidden="1">
      <c r="B63" s="361" t="s">
        <v>370</v>
      </c>
      <c r="C63" s="362"/>
      <c r="D63" s="362"/>
      <c r="E63" s="223">
        <f>+E47-E13</f>
        <v>317217861</v>
      </c>
      <c r="F63" s="218"/>
      <c r="G63" s="218"/>
    </row>
    <row r="64" spans="2:7" ht="16.5">
      <c r="B64" s="186"/>
      <c r="C64" s="186"/>
      <c r="D64" s="186"/>
      <c r="E64" s="186"/>
      <c r="F64" s="186"/>
      <c r="G64" s="292"/>
    </row>
    <row r="65" spans="2:7" ht="16.5">
      <c r="B65" s="360"/>
      <c r="C65" s="360"/>
      <c r="D65" s="360"/>
      <c r="E65" s="231"/>
      <c r="F65" s="231"/>
      <c r="G65" s="231"/>
    </row>
    <row r="66" spans="5:6" ht="16.5">
      <c r="E66" s="273">
        <f>+E47+'Sp Units'!E66</f>
        <v>3809289053</v>
      </c>
      <c r="F66" s="273"/>
    </row>
    <row r="67" spans="5:7" ht="16.5">
      <c r="E67" s="192">
        <v>5.77</v>
      </c>
      <c r="G67" s="192" t="s">
        <v>458</v>
      </c>
    </row>
    <row r="68" spans="5:6" ht="16.5">
      <c r="E68" s="273"/>
      <c r="F68" s="273"/>
    </row>
  </sheetData>
  <mergeCells count="42">
    <mergeCell ref="C20:D20"/>
    <mergeCell ref="B51:D51"/>
    <mergeCell ref="B54:D54"/>
    <mergeCell ref="B55:D55"/>
    <mergeCell ref="C29:D29"/>
    <mergeCell ref="C30:D30"/>
    <mergeCell ref="C33:D33"/>
    <mergeCell ref="C41:D41"/>
    <mergeCell ref="B27:D27"/>
    <mergeCell ref="C42:D42"/>
    <mergeCell ref="B12:D12"/>
    <mergeCell ref="C18:D18"/>
    <mergeCell ref="E5:E6"/>
    <mergeCell ref="C25:D25"/>
    <mergeCell ref="B11:D11"/>
    <mergeCell ref="B7:D7"/>
    <mergeCell ref="B8:D8"/>
    <mergeCell ref="C16:D16"/>
    <mergeCell ref="C17:D17"/>
    <mergeCell ref="C21:D21"/>
    <mergeCell ref="C40:D40"/>
    <mergeCell ref="B65:D65"/>
    <mergeCell ref="B36:D36"/>
    <mergeCell ref="B60:D60"/>
    <mergeCell ref="B62:D62"/>
    <mergeCell ref="B63:D63"/>
    <mergeCell ref="B48:D48"/>
    <mergeCell ref="B15:D15"/>
    <mergeCell ref="B28:D28"/>
    <mergeCell ref="C19:D19"/>
    <mergeCell ref="B61:D61"/>
    <mergeCell ref="B47:D47"/>
    <mergeCell ref="C38:D38"/>
    <mergeCell ref="C31:D31"/>
    <mergeCell ref="B50:D50"/>
    <mergeCell ref="C32:D32"/>
    <mergeCell ref="C39:D39"/>
    <mergeCell ref="F5:F6"/>
    <mergeCell ref="B1:F1"/>
    <mergeCell ref="B2:F2"/>
    <mergeCell ref="B3:F3"/>
    <mergeCell ref="B5:D6"/>
  </mergeCells>
  <printOptions horizontalCentered="1"/>
  <pageMargins left="0" right="0" top="0.5" bottom="0" header="0.5" footer="0.5"/>
  <pageSetup horizontalDpi="600" verticalDpi="600" orientation="portrait" scale="78" r:id="rId4"/>
  <headerFooter alignWithMargins="0">
    <oddHeader>&amp;RAttachment III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="80" zoomScaleNormal="80" workbookViewId="0" topLeftCell="A1">
      <pane xSplit="1" topLeftCell="B1" activePane="topRight" state="frozen"/>
      <selection pane="topLeft" activeCell="C33" sqref="C33:D33"/>
      <selection pane="topRight" activeCell="C33" sqref="C33:D33"/>
    </sheetView>
  </sheetViews>
  <sheetFormatPr defaultColWidth="9.140625" defaultRowHeight="12.75"/>
  <cols>
    <col min="1" max="1" width="6.00390625" style="184" bestFit="1" customWidth="1"/>
    <col min="2" max="2" width="3.00390625" style="193" customWidth="1"/>
    <col min="3" max="3" width="2.8515625" style="194" customWidth="1"/>
    <col min="4" max="4" width="76.7109375" style="191" customWidth="1"/>
    <col min="5" max="5" width="18.7109375" style="192" customWidth="1"/>
    <col min="6" max="6" width="18.7109375" style="192" hidden="1" customWidth="1"/>
    <col min="7" max="16384" width="9.140625" style="186" customWidth="1"/>
  </cols>
  <sheetData>
    <row r="1" spans="2:6" ht="15" customHeight="1">
      <c r="B1" s="344" t="s">
        <v>0</v>
      </c>
      <c r="C1" s="344"/>
      <c r="D1" s="344"/>
      <c r="E1" s="344"/>
      <c r="F1" s="344"/>
    </row>
    <row r="2" spans="2:6" ht="15" customHeight="1">
      <c r="B2" s="344" t="s">
        <v>390</v>
      </c>
      <c r="C2" s="344"/>
      <c r="D2" s="344"/>
      <c r="E2" s="344"/>
      <c r="F2" s="344"/>
    </row>
    <row r="3" spans="2:6" ht="15" customHeight="1">
      <c r="B3" s="344" t="s">
        <v>325</v>
      </c>
      <c r="C3" s="344"/>
      <c r="D3" s="344"/>
      <c r="E3" s="344"/>
      <c r="F3" s="344"/>
    </row>
    <row r="4" spans="2:6" ht="16.5">
      <c r="B4" s="187"/>
      <c r="C4" s="187"/>
      <c r="D4" s="188"/>
      <c r="E4" s="189"/>
      <c r="F4" s="189"/>
    </row>
    <row r="5" spans="2:6" ht="15.75" customHeight="1">
      <c r="B5" s="365"/>
      <c r="C5" s="366"/>
      <c r="D5" s="366"/>
      <c r="E5" s="350" t="s">
        <v>418</v>
      </c>
      <c r="F5" s="350" t="s">
        <v>406</v>
      </c>
    </row>
    <row r="6" spans="2:6" ht="16.5">
      <c r="B6" s="363"/>
      <c r="C6" s="364"/>
      <c r="D6" s="364"/>
      <c r="E6" s="351"/>
      <c r="F6" s="377"/>
    </row>
    <row r="7" spans="1:6" ht="16.5">
      <c r="A7" s="184">
        <v>1</v>
      </c>
      <c r="B7" s="378" t="s">
        <v>347</v>
      </c>
      <c r="C7" s="342"/>
      <c r="D7" s="342"/>
      <c r="E7" s="198">
        <v>3700360709</v>
      </c>
      <c r="F7" s="198">
        <f>3700360709-972215072</f>
        <v>2728145637</v>
      </c>
    </row>
    <row r="8" spans="1:6" ht="16.5">
      <c r="A8" s="184">
        <f aca="true" t="shared" si="0" ref="A8:A58">+A7+1</f>
        <v>2</v>
      </c>
      <c r="B8" s="367" t="s">
        <v>348</v>
      </c>
      <c r="C8" s="347"/>
      <c r="D8" s="347"/>
      <c r="E8" s="202">
        <v>-237714898</v>
      </c>
      <c r="F8" s="202">
        <v>-237714898</v>
      </c>
    </row>
    <row r="9" spans="1:6" ht="16.5">
      <c r="A9" s="184">
        <f t="shared" si="0"/>
        <v>3</v>
      </c>
      <c r="B9" s="381" t="s">
        <v>349</v>
      </c>
      <c r="C9" s="382"/>
      <c r="D9" s="382"/>
      <c r="E9" s="204">
        <f>SUM(E7:E8)</f>
        <v>3462645811</v>
      </c>
      <c r="F9" s="204">
        <f>SUM(F7:F8)</f>
        <v>2490430739</v>
      </c>
    </row>
    <row r="10" spans="1:6" ht="12.75" customHeight="1">
      <c r="A10" s="184">
        <f>+A9+1</f>
        <v>4</v>
      </c>
      <c r="B10" s="199"/>
      <c r="C10" s="200"/>
      <c r="D10" s="200"/>
      <c r="E10" s="205"/>
      <c r="F10" s="205"/>
    </row>
    <row r="11" spans="1:6" s="190" customFormat="1" ht="16.5" customHeight="1">
      <c r="A11" s="184">
        <f t="shared" si="0"/>
        <v>5</v>
      </c>
      <c r="B11" s="345" t="s">
        <v>409</v>
      </c>
      <c r="C11" s="346"/>
      <c r="D11" s="346"/>
      <c r="E11" s="211"/>
      <c r="F11" s="211"/>
    </row>
    <row r="12" spans="1:6" s="190" customFormat="1" ht="16.5">
      <c r="A12" s="184">
        <f t="shared" si="0"/>
        <v>6</v>
      </c>
      <c r="B12" s="195"/>
      <c r="C12" s="341" t="s">
        <v>360</v>
      </c>
      <c r="D12" s="341"/>
      <c r="E12" s="209">
        <v>20000000</v>
      </c>
      <c r="F12" s="209">
        <v>20000000</v>
      </c>
    </row>
    <row r="13" spans="1:6" s="190" customFormat="1" ht="16.5">
      <c r="A13" s="184">
        <f t="shared" si="0"/>
        <v>7</v>
      </c>
      <c r="B13" s="195"/>
      <c r="C13" s="341" t="s">
        <v>378</v>
      </c>
      <c r="D13" s="341"/>
      <c r="E13" s="209">
        <f>100000000+13445000</f>
        <v>113445000</v>
      </c>
      <c r="F13" s="209">
        <f>100000000+13445000</f>
        <v>113445000</v>
      </c>
    </row>
    <row r="14" spans="1:6" s="190" customFormat="1" ht="16.5">
      <c r="A14" s="184">
        <f t="shared" si="0"/>
        <v>8</v>
      </c>
      <c r="B14" s="210"/>
      <c r="C14" s="359" t="s">
        <v>357</v>
      </c>
      <c r="D14" s="359"/>
      <c r="E14" s="209" t="s">
        <v>415</v>
      </c>
      <c r="F14" s="209">
        <v>0</v>
      </c>
    </row>
    <row r="15" spans="1:6" s="190" customFormat="1" ht="16.5">
      <c r="A15" s="184">
        <f t="shared" si="0"/>
        <v>9</v>
      </c>
      <c r="B15" s="210"/>
      <c r="C15" s="232" t="s">
        <v>358</v>
      </c>
      <c r="E15" s="209"/>
      <c r="F15" s="209"/>
    </row>
    <row r="16" spans="1:6" s="190" customFormat="1" ht="16.5">
      <c r="A16" s="184">
        <f t="shared" si="0"/>
        <v>10</v>
      </c>
      <c r="B16" s="210"/>
      <c r="C16" s="232" t="s">
        <v>395</v>
      </c>
      <c r="E16" s="209"/>
      <c r="F16" s="209"/>
    </row>
    <row r="17" spans="1:6" s="190" customFormat="1" ht="16.5">
      <c r="A17" s="184">
        <f t="shared" si="0"/>
        <v>11</v>
      </c>
      <c r="B17" s="210"/>
      <c r="C17" s="368" t="s">
        <v>397</v>
      </c>
      <c r="D17" s="368"/>
      <c r="E17" s="209">
        <v>3544783</v>
      </c>
      <c r="F17" s="209">
        <v>3544783</v>
      </c>
    </row>
    <row r="18" spans="1:6" ht="34.5" customHeight="1">
      <c r="A18" s="184">
        <f t="shared" si="0"/>
        <v>12</v>
      </c>
      <c r="B18" s="212"/>
      <c r="C18" s="368" t="s">
        <v>412</v>
      </c>
      <c r="D18" s="368"/>
      <c r="E18" s="209">
        <v>348500</v>
      </c>
      <c r="F18" s="209">
        <v>348500</v>
      </c>
    </row>
    <row r="19" spans="1:12" ht="16.5">
      <c r="A19" s="184">
        <f t="shared" si="0"/>
        <v>13</v>
      </c>
      <c r="B19" s="212"/>
      <c r="C19" s="347" t="s">
        <v>411</v>
      </c>
      <c r="D19" s="347"/>
      <c r="E19" s="209">
        <v>583392</v>
      </c>
      <c r="F19" s="209">
        <v>583392</v>
      </c>
      <c r="L19" s="186">
        <v>1</v>
      </c>
    </row>
    <row r="20" spans="1:6" ht="16.5">
      <c r="A20" s="184">
        <f t="shared" si="0"/>
        <v>14</v>
      </c>
      <c r="B20" s="212"/>
      <c r="C20" s="368" t="s">
        <v>413</v>
      </c>
      <c r="D20" s="368"/>
      <c r="E20" s="209">
        <v>4000000</v>
      </c>
      <c r="F20" s="209">
        <v>4000000</v>
      </c>
    </row>
    <row r="21" spans="1:6" ht="16.5">
      <c r="A21" s="184">
        <f t="shared" si="0"/>
        <v>15</v>
      </c>
      <c r="B21" s="239"/>
      <c r="C21" s="250"/>
      <c r="D21" s="241" t="s">
        <v>384</v>
      </c>
      <c r="E21" s="245">
        <f>SUM(E12:E20)</f>
        <v>141921675</v>
      </c>
      <c r="F21" s="245">
        <f>SUM(F12:F20)</f>
        <v>141921675</v>
      </c>
    </row>
    <row r="22" spans="1:6" ht="12.75" customHeight="1">
      <c r="A22" s="184">
        <f t="shared" si="0"/>
        <v>16</v>
      </c>
      <c r="B22" s="375"/>
      <c r="C22" s="376"/>
      <c r="D22" s="376"/>
      <c r="E22" s="209"/>
      <c r="F22" s="209"/>
    </row>
    <row r="23" spans="1:6" ht="16.5">
      <c r="A23" s="184">
        <f t="shared" si="0"/>
        <v>17</v>
      </c>
      <c r="B23" s="345" t="s">
        <v>410</v>
      </c>
      <c r="C23" s="346"/>
      <c r="D23" s="346"/>
      <c r="E23" s="254"/>
      <c r="F23" s="254"/>
    </row>
    <row r="24" spans="1:6" ht="16.5">
      <c r="A24" s="184">
        <f t="shared" si="0"/>
        <v>18</v>
      </c>
      <c r="B24" s="252"/>
      <c r="C24" s="341" t="s">
        <v>399</v>
      </c>
      <c r="D24" s="341"/>
      <c r="E24" s="209">
        <v>5900000</v>
      </c>
      <c r="F24" s="209">
        <v>5900000</v>
      </c>
    </row>
    <row r="25" spans="1:6" ht="16.5">
      <c r="A25" s="184">
        <f t="shared" si="0"/>
        <v>19</v>
      </c>
      <c r="B25" s="253"/>
      <c r="C25" s="341" t="s">
        <v>398</v>
      </c>
      <c r="D25" s="341"/>
      <c r="E25" s="209">
        <v>1500000</v>
      </c>
      <c r="F25" s="209">
        <v>1500000</v>
      </c>
    </row>
    <row r="26" spans="1:6" ht="16.5">
      <c r="A26" s="184">
        <f t="shared" si="0"/>
        <v>20</v>
      </c>
      <c r="B26" s="253"/>
      <c r="C26" s="341" t="s">
        <v>362</v>
      </c>
      <c r="D26" s="341"/>
      <c r="E26" s="209">
        <v>1000000</v>
      </c>
      <c r="F26" s="209">
        <v>1000000</v>
      </c>
    </row>
    <row r="27" spans="1:6" ht="16.5">
      <c r="A27" s="184">
        <f t="shared" si="0"/>
        <v>21</v>
      </c>
      <c r="B27" s="253"/>
      <c r="C27" s="358" t="s">
        <v>401</v>
      </c>
      <c r="D27" s="358"/>
      <c r="E27" s="209">
        <v>1303575</v>
      </c>
      <c r="F27" s="209">
        <v>1303575</v>
      </c>
    </row>
    <row r="28" spans="1:6" ht="16.5">
      <c r="A28" s="184">
        <f t="shared" si="0"/>
        <v>22</v>
      </c>
      <c r="B28" s="253"/>
      <c r="C28" s="341" t="s">
        <v>414</v>
      </c>
      <c r="D28" s="341"/>
      <c r="E28" s="209">
        <v>3000000</v>
      </c>
      <c r="F28" s="209">
        <v>3000000</v>
      </c>
    </row>
    <row r="29" spans="1:6" ht="16.5">
      <c r="A29" s="184">
        <f t="shared" si="0"/>
        <v>23</v>
      </c>
      <c r="B29" s="239"/>
      <c r="C29" s="240"/>
      <c r="D29" s="241" t="s">
        <v>384</v>
      </c>
      <c r="E29" s="245">
        <f>SUM(E24:E28)</f>
        <v>12703575</v>
      </c>
      <c r="F29" s="245">
        <f>SUM(F24:F28)</f>
        <v>12703575</v>
      </c>
    </row>
    <row r="30" spans="1:6" ht="12" customHeight="1">
      <c r="A30" s="184">
        <f t="shared" si="0"/>
        <v>24</v>
      </c>
      <c r="B30" s="212"/>
      <c r="C30" s="213"/>
      <c r="D30" s="185"/>
      <c r="E30" s="217"/>
      <c r="F30" s="217"/>
    </row>
    <row r="31" spans="1:6" ht="16.5">
      <c r="A31" s="184">
        <f t="shared" si="0"/>
        <v>25</v>
      </c>
      <c r="B31" s="348" t="s">
        <v>391</v>
      </c>
      <c r="C31" s="349"/>
      <c r="D31" s="349"/>
      <c r="E31" s="205"/>
      <c r="F31" s="205"/>
    </row>
    <row r="32" spans="1:6" ht="16.5">
      <c r="A32" s="184">
        <f t="shared" si="0"/>
        <v>26</v>
      </c>
      <c r="B32" s="261"/>
      <c r="C32" s="207" t="s">
        <v>356</v>
      </c>
      <c r="E32" s="209">
        <v>55000000</v>
      </c>
      <c r="F32" s="209">
        <v>55000000</v>
      </c>
    </row>
    <row r="33" spans="1:6" ht="16.5">
      <c r="A33" s="184">
        <f t="shared" si="0"/>
        <v>27</v>
      </c>
      <c r="B33" s="261"/>
      <c r="C33" s="207" t="s">
        <v>366</v>
      </c>
      <c r="D33" s="190"/>
      <c r="E33" s="209">
        <v>3300000</v>
      </c>
      <c r="F33" s="209">
        <v>3300000</v>
      </c>
    </row>
    <row r="34" spans="1:6" ht="16.5">
      <c r="A34" s="184">
        <f t="shared" si="0"/>
        <v>28</v>
      </c>
      <c r="B34" s="261"/>
      <c r="C34" s="207" t="s">
        <v>396</v>
      </c>
      <c r="D34" s="190"/>
      <c r="E34" s="209">
        <v>3217938</v>
      </c>
      <c r="F34" s="209">
        <v>3217938</v>
      </c>
    </row>
    <row r="35" spans="1:6" ht="16.5">
      <c r="A35" s="184">
        <f t="shared" si="0"/>
        <v>29</v>
      </c>
      <c r="B35" s="261"/>
      <c r="C35" s="207" t="s">
        <v>364</v>
      </c>
      <c r="D35" s="190"/>
      <c r="E35" s="209">
        <v>9855049</v>
      </c>
      <c r="F35" s="209">
        <v>9855049</v>
      </c>
    </row>
    <row r="36" spans="1:6" ht="16.5">
      <c r="A36" s="184">
        <f t="shared" si="0"/>
        <v>30</v>
      </c>
      <c r="B36" s="261"/>
      <c r="C36" s="207" t="s">
        <v>365</v>
      </c>
      <c r="D36" s="190"/>
      <c r="E36" s="209">
        <v>8438761</v>
      </c>
      <c r="F36" s="209">
        <v>8438761</v>
      </c>
    </row>
    <row r="37" spans="1:6" ht="16.5">
      <c r="A37" s="184">
        <f t="shared" si="0"/>
        <v>31</v>
      </c>
      <c r="B37" s="261"/>
      <c r="C37" s="207" t="s">
        <v>417</v>
      </c>
      <c r="D37" s="190"/>
      <c r="E37" s="209">
        <f>8941760+7440902</f>
        <v>16382662</v>
      </c>
      <c r="F37" s="209">
        <f>8941760+7440902</f>
        <v>16382662</v>
      </c>
    </row>
    <row r="38" spans="1:6" ht="16.5">
      <c r="A38" s="184">
        <f t="shared" si="0"/>
        <v>32</v>
      </c>
      <c r="B38" s="261"/>
      <c r="C38" s="341" t="s">
        <v>403</v>
      </c>
      <c r="D38" s="341"/>
      <c r="E38" s="209">
        <v>23591269</v>
      </c>
      <c r="F38" s="209">
        <v>18000000</v>
      </c>
    </row>
    <row r="39" spans="1:6" ht="16.5">
      <c r="A39" s="184">
        <f t="shared" si="0"/>
        <v>33</v>
      </c>
      <c r="B39" s="261"/>
      <c r="C39" s="341" t="s">
        <v>400</v>
      </c>
      <c r="D39" s="341"/>
      <c r="E39" s="209">
        <v>30250000</v>
      </c>
      <c r="F39" s="209">
        <v>30250000</v>
      </c>
    </row>
    <row r="40" spans="1:6" ht="16.5">
      <c r="A40" s="184">
        <f t="shared" si="0"/>
        <v>34</v>
      </c>
      <c r="B40" s="199"/>
      <c r="C40" s="359" t="s">
        <v>351</v>
      </c>
      <c r="D40" s="359"/>
      <c r="E40" s="209">
        <v>3055116</v>
      </c>
      <c r="F40" s="209">
        <v>3055116</v>
      </c>
    </row>
    <row r="41" spans="1:6" ht="16.5">
      <c r="A41" s="184">
        <f t="shared" si="0"/>
        <v>35</v>
      </c>
      <c r="B41" s="199"/>
      <c r="C41" s="359" t="s">
        <v>352</v>
      </c>
      <c r="D41" s="359"/>
      <c r="E41" s="209">
        <v>10000000</v>
      </c>
      <c r="F41" s="209">
        <v>10000000</v>
      </c>
    </row>
    <row r="42" spans="1:6" ht="16.5">
      <c r="A42" s="184">
        <f t="shared" si="0"/>
        <v>36</v>
      </c>
      <c r="B42" s="199"/>
      <c r="C42" s="359" t="s">
        <v>229</v>
      </c>
      <c r="D42" s="359"/>
      <c r="E42" s="209">
        <v>0</v>
      </c>
      <c r="F42" s="209">
        <v>0</v>
      </c>
    </row>
    <row r="43" spans="1:6" ht="16.5">
      <c r="A43" s="184">
        <f t="shared" si="0"/>
        <v>37</v>
      </c>
      <c r="B43" s="199"/>
      <c r="C43" s="359" t="s">
        <v>230</v>
      </c>
      <c r="D43" s="359"/>
      <c r="E43" s="209">
        <v>0</v>
      </c>
      <c r="F43" s="209">
        <v>0</v>
      </c>
    </row>
    <row r="44" spans="1:6" ht="16.5">
      <c r="A44" s="184">
        <f t="shared" si="0"/>
        <v>38</v>
      </c>
      <c r="B44" s="210"/>
      <c r="C44" s="374" t="s">
        <v>246</v>
      </c>
      <c r="D44" s="374"/>
      <c r="E44" s="209">
        <v>1800000</v>
      </c>
      <c r="F44" s="209">
        <v>1800000</v>
      </c>
    </row>
    <row r="45" spans="1:6" ht="16.5">
      <c r="A45" s="184">
        <f t="shared" si="0"/>
        <v>39</v>
      </c>
      <c r="B45" s="210"/>
      <c r="C45" s="374" t="s">
        <v>402</v>
      </c>
      <c r="D45" s="374"/>
      <c r="E45" s="209">
        <v>25233251</v>
      </c>
      <c r="F45" s="209">
        <v>25233251</v>
      </c>
    </row>
    <row r="46" spans="1:6" ht="16.5">
      <c r="A46" s="184">
        <f t="shared" si="0"/>
        <v>40</v>
      </c>
      <c r="B46" s="210"/>
      <c r="C46" s="207" t="s">
        <v>344</v>
      </c>
      <c r="D46" s="190"/>
      <c r="E46" s="209">
        <v>1867929</v>
      </c>
      <c r="F46" s="209">
        <v>1867929</v>
      </c>
    </row>
    <row r="47" spans="1:6" ht="16.5">
      <c r="A47" s="184">
        <f t="shared" si="0"/>
        <v>41</v>
      </c>
      <c r="B47" s="210"/>
      <c r="C47" s="207" t="s">
        <v>392</v>
      </c>
      <c r="D47" s="190"/>
      <c r="E47" s="209">
        <v>1100000</v>
      </c>
      <c r="F47" s="209">
        <v>0</v>
      </c>
    </row>
    <row r="48" spans="1:6" ht="16.5">
      <c r="A48" s="184">
        <f t="shared" si="0"/>
        <v>42</v>
      </c>
      <c r="B48" s="210"/>
      <c r="C48" s="207" t="s">
        <v>355</v>
      </c>
      <c r="D48" s="190"/>
      <c r="E48" s="209">
        <v>1200000</v>
      </c>
      <c r="F48" s="209">
        <v>0</v>
      </c>
    </row>
    <row r="49" spans="1:6" ht="16.5">
      <c r="A49" s="184">
        <f t="shared" si="0"/>
        <v>43</v>
      </c>
      <c r="B49" s="199"/>
      <c r="C49" s="207" t="s">
        <v>416</v>
      </c>
      <c r="E49" s="209">
        <v>3000000</v>
      </c>
      <c r="F49" s="209">
        <v>0</v>
      </c>
    </row>
    <row r="50" spans="1:6" ht="16.5">
      <c r="A50" s="184">
        <f t="shared" si="0"/>
        <v>44</v>
      </c>
      <c r="B50" s="234"/>
      <c r="C50" s="235"/>
      <c r="D50" s="236" t="s">
        <v>393</v>
      </c>
      <c r="E50" s="238">
        <f>SUM(E32:E49)</f>
        <v>197291975</v>
      </c>
      <c r="F50" s="238">
        <f>SUM(F32:F49)</f>
        <v>186400706</v>
      </c>
    </row>
    <row r="51" spans="1:6" ht="13.5" customHeight="1">
      <c r="A51" s="184">
        <f t="shared" si="0"/>
        <v>45</v>
      </c>
      <c r="B51" s="212"/>
      <c r="C51" s="213"/>
      <c r="D51" s="214"/>
      <c r="E51" s="215"/>
      <c r="F51" s="215"/>
    </row>
    <row r="52" spans="1:6" ht="16.5">
      <c r="A52" s="184">
        <f t="shared" si="0"/>
        <v>46</v>
      </c>
      <c r="B52" s="212"/>
      <c r="C52" s="213"/>
      <c r="D52" s="185" t="s">
        <v>346</v>
      </c>
      <c r="E52" s="219">
        <f>+E50+E29+E21</f>
        <v>351917225</v>
      </c>
      <c r="F52" s="219">
        <f>+F50+F29+F21</f>
        <v>341025956</v>
      </c>
    </row>
    <row r="53" spans="1:6" ht="12.75" customHeight="1" thickBot="1">
      <c r="A53" s="184">
        <f t="shared" si="0"/>
        <v>47</v>
      </c>
      <c r="B53" s="212"/>
      <c r="C53" s="213"/>
      <c r="D53" s="214"/>
      <c r="E53" s="221"/>
      <c r="F53" s="221"/>
    </row>
    <row r="54" spans="1:6" s="190" customFormat="1" ht="18" thickBot="1" thickTop="1">
      <c r="A54" s="184">
        <f t="shared" si="0"/>
        <v>48</v>
      </c>
      <c r="B54" s="354" t="s">
        <v>372</v>
      </c>
      <c r="C54" s="355"/>
      <c r="D54" s="355"/>
      <c r="E54" s="251">
        <f>+E52+E9</f>
        <v>3814563036</v>
      </c>
      <c r="F54" s="251">
        <f>+F52+F9</f>
        <v>2831456695</v>
      </c>
    </row>
    <row r="55" spans="1:6" s="190" customFormat="1" ht="17.25" thickTop="1">
      <c r="A55" s="184">
        <f t="shared" si="0"/>
        <v>49</v>
      </c>
      <c r="B55" s="210"/>
      <c r="C55" s="262"/>
      <c r="D55" s="266" t="s">
        <v>407</v>
      </c>
      <c r="E55" s="198">
        <f>+E54-E56</f>
        <v>2837047964</v>
      </c>
      <c r="F55" s="205"/>
    </row>
    <row r="56" spans="1:6" s="190" customFormat="1" ht="16.5">
      <c r="A56" s="184">
        <f t="shared" si="0"/>
        <v>50</v>
      </c>
      <c r="B56" s="210"/>
      <c r="C56" s="262"/>
      <c r="D56" s="263" t="s">
        <v>408</v>
      </c>
      <c r="E56" s="264">
        <f>972215072+1100000+1200000+3000000</f>
        <v>977515072</v>
      </c>
      <c r="F56" s="205"/>
    </row>
    <row r="57" spans="1:6" ht="13.5" customHeight="1" thickBot="1">
      <c r="A57" s="184">
        <f t="shared" si="0"/>
        <v>51</v>
      </c>
      <c r="B57" s="212"/>
      <c r="C57" s="213"/>
      <c r="D57" s="214"/>
      <c r="E57" s="219"/>
      <c r="F57" s="219"/>
    </row>
    <row r="58" spans="1:6" ht="16.5">
      <c r="A58" s="184">
        <f t="shared" si="0"/>
        <v>52</v>
      </c>
      <c r="B58" s="361" t="s">
        <v>404</v>
      </c>
      <c r="C58" s="362"/>
      <c r="D58" s="362"/>
      <c r="E58" s="224">
        <f>+E54-E7</f>
        <v>114202327</v>
      </c>
      <c r="F58" s="224">
        <f>+F54-F7</f>
        <v>103311058</v>
      </c>
    </row>
    <row r="59" spans="1:6" ht="17.25" thickBot="1">
      <c r="A59" s="184">
        <f>+A58+1</f>
        <v>53</v>
      </c>
      <c r="B59" s="352" t="s">
        <v>405</v>
      </c>
      <c r="C59" s="353"/>
      <c r="D59" s="353"/>
      <c r="E59" s="226">
        <f>ROUND(((E54/E7)),4)-1</f>
        <v>0.030899999999999928</v>
      </c>
      <c r="F59" s="226">
        <f>ROUND(((F54/F7)),4)-1</f>
        <v>0.037900000000000045</v>
      </c>
    </row>
    <row r="60" spans="1:6" ht="13.5" customHeight="1" thickBot="1">
      <c r="A60" s="184">
        <f>+A59+1</f>
        <v>54</v>
      </c>
      <c r="B60" s="363"/>
      <c r="C60" s="364"/>
      <c r="D60" s="364"/>
      <c r="E60" s="228"/>
      <c r="F60" s="228"/>
    </row>
    <row r="61" spans="1:6" ht="16.5" customHeight="1">
      <c r="A61" s="184">
        <f>+A60+1</f>
        <v>55</v>
      </c>
      <c r="B61" s="361" t="s">
        <v>370</v>
      </c>
      <c r="C61" s="362"/>
      <c r="D61" s="362"/>
      <c r="E61" s="224">
        <f>+E54-E9</f>
        <v>351917225</v>
      </c>
      <c r="F61" s="224">
        <f>+F54-F9</f>
        <v>341025956</v>
      </c>
    </row>
    <row r="62" spans="1:6" ht="16.5">
      <c r="A62" s="184">
        <f>+A61+1</f>
        <v>56</v>
      </c>
      <c r="B62" s="379" t="s">
        <v>371</v>
      </c>
      <c r="C62" s="380"/>
      <c r="D62" s="380"/>
      <c r="E62" s="230">
        <f>ROUND(((E54/E9)),4)-1</f>
        <v>0.10159999999999991</v>
      </c>
      <c r="F62" s="230">
        <f>ROUND(((F54/F9)),4)-1</f>
        <v>0.13690000000000002</v>
      </c>
    </row>
    <row r="63" spans="2:6" ht="16.5">
      <c r="B63" s="360" t="s">
        <v>333</v>
      </c>
      <c r="C63" s="360"/>
      <c r="D63" s="360"/>
      <c r="E63" s="231"/>
      <c r="F63" s="231"/>
    </row>
  </sheetData>
  <mergeCells count="40">
    <mergeCell ref="B63:D63"/>
    <mergeCell ref="B9:D9"/>
    <mergeCell ref="B31:D31"/>
    <mergeCell ref="B11:D11"/>
    <mergeCell ref="B23:D23"/>
    <mergeCell ref="C19:D19"/>
    <mergeCell ref="B59:D59"/>
    <mergeCell ref="B54:D54"/>
    <mergeCell ref="C38:D38"/>
    <mergeCell ref="C26:D26"/>
    <mergeCell ref="B58:D58"/>
    <mergeCell ref="B60:D60"/>
    <mergeCell ref="B61:D61"/>
    <mergeCell ref="B62:D62"/>
    <mergeCell ref="B7:D7"/>
    <mergeCell ref="B8:D8"/>
    <mergeCell ref="C18:D18"/>
    <mergeCell ref="E5:E6"/>
    <mergeCell ref="C17:D17"/>
    <mergeCell ref="C14:D14"/>
    <mergeCell ref="B1:F1"/>
    <mergeCell ref="B2:F2"/>
    <mergeCell ref="B3:F3"/>
    <mergeCell ref="F5:F6"/>
    <mergeCell ref="B5:D6"/>
    <mergeCell ref="C45:D45"/>
    <mergeCell ref="C12:D12"/>
    <mergeCell ref="C13:D13"/>
    <mergeCell ref="C27:D27"/>
    <mergeCell ref="C39:D39"/>
    <mergeCell ref="C40:D40"/>
    <mergeCell ref="C41:D41"/>
    <mergeCell ref="C42:D42"/>
    <mergeCell ref="C43:D43"/>
    <mergeCell ref="C20:D20"/>
    <mergeCell ref="C28:D28"/>
    <mergeCell ref="C44:D44"/>
    <mergeCell ref="B22:D22"/>
    <mergeCell ref="C24:D24"/>
    <mergeCell ref="C25:D25"/>
  </mergeCells>
  <printOptions horizontalCentered="1"/>
  <pageMargins left="0" right="0" top="0.5" bottom="0" header="0.5" footer="0.5"/>
  <pageSetup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zoomScale="80" zoomScaleNormal="80" workbookViewId="0" topLeftCell="A29">
      <pane xSplit="1" topLeftCell="B1" activePane="topRight" state="frozen"/>
      <selection pane="topLeft" activeCell="A6" sqref="A6"/>
      <selection pane="topRight" activeCell="E29" sqref="E29"/>
    </sheetView>
  </sheetViews>
  <sheetFormatPr defaultColWidth="9.140625" defaultRowHeight="12.75"/>
  <cols>
    <col min="1" max="1" width="6.00390625" style="184" bestFit="1" customWidth="1"/>
    <col min="2" max="2" width="3.00390625" style="193" customWidth="1"/>
    <col min="3" max="3" width="2.8515625" style="194" customWidth="1"/>
    <col min="4" max="4" width="76.7109375" style="191" customWidth="1"/>
    <col min="5" max="5" width="18.00390625" style="191" customWidth="1"/>
    <col min="6" max="6" width="17.421875" style="191" hidden="1" customWidth="1"/>
    <col min="7" max="16384" width="9.140625" style="186" customWidth="1"/>
  </cols>
  <sheetData>
    <row r="1" spans="2:6" ht="15" customHeight="1">
      <c r="B1" s="344" t="s">
        <v>0</v>
      </c>
      <c r="C1" s="344"/>
      <c r="D1" s="344"/>
      <c r="E1" s="344"/>
      <c r="F1" s="344"/>
    </row>
    <row r="2" spans="2:6" ht="15" customHeight="1">
      <c r="B2" s="344" t="s">
        <v>387</v>
      </c>
      <c r="C2" s="344"/>
      <c r="D2" s="344"/>
      <c r="E2" s="344"/>
      <c r="F2" s="344"/>
    </row>
    <row r="3" spans="2:6" ht="15" customHeight="1">
      <c r="B3" s="344" t="s">
        <v>325</v>
      </c>
      <c r="C3" s="344"/>
      <c r="D3" s="344"/>
      <c r="E3" s="344"/>
      <c r="F3" s="344"/>
    </row>
    <row r="4" spans="2:6" ht="16.5">
      <c r="B4" s="388" t="s">
        <v>388</v>
      </c>
      <c r="C4" s="388"/>
      <c r="D4" s="388"/>
      <c r="E4" s="388"/>
      <c r="F4" s="388"/>
    </row>
    <row r="5" spans="2:6" ht="16.5">
      <c r="B5" s="187"/>
      <c r="C5" s="187"/>
      <c r="D5" s="188"/>
      <c r="E5" s="188"/>
      <c r="F5" s="188"/>
    </row>
    <row r="6" spans="2:6" ht="15.75" customHeight="1">
      <c r="B6" s="365"/>
      <c r="C6" s="366"/>
      <c r="D6" s="366"/>
      <c r="E6" s="384" t="s">
        <v>389</v>
      </c>
      <c r="F6" s="386" t="s">
        <v>350</v>
      </c>
    </row>
    <row r="7" spans="2:6" ht="50.25" customHeight="1">
      <c r="B7" s="363"/>
      <c r="C7" s="364"/>
      <c r="D7" s="364"/>
      <c r="E7" s="385"/>
      <c r="F7" s="387"/>
    </row>
    <row r="8" spans="1:6" ht="16.5">
      <c r="A8" s="184">
        <v>1</v>
      </c>
      <c r="B8" s="378" t="s">
        <v>347</v>
      </c>
      <c r="C8" s="342"/>
      <c r="D8" s="342"/>
      <c r="E8" s="198">
        <v>3700360709</v>
      </c>
      <c r="F8" s="197">
        <v>3700360709</v>
      </c>
    </row>
    <row r="9" spans="1:6" ht="16.5">
      <c r="A9" s="184">
        <f aca="true" t="shared" si="0" ref="A9:A73">+A8+1</f>
        <v>2</v>
      </c>
      <c r="B9" s="367" t="s">
        <v>348</v>
      </c>
      <c r="C9" s="347"/>
      <c r="D9" s="347"/>
      <c r="E9" s="202">
        <v>-237714898</v>
      </c>
      <c r="F9" s="201">
        <v>-237714898</v>
      </c>
    </row>
    <row r="10" spans="1:6" ht="16.5">
      <c r="A10" s="184">
        <f t="shared" si="0"/>
        <v>3</v>
      </c>
      <c r="B10" s="381" t="s">
        <v>349</v>
      </c>
      <c r="C10" s="382"/>
      <c r="D10" s="382"/>
      <c r="E10" s="204">
        <f>SUM(E8:E9)</f>
        <v>3462645811</v>
      </c>
      <c r="F10" s="203">
        <f>SUM(F8:F9)</f>
        <v>3462645811</v>
      </c>
    </row>
    <row r="11" spans="1:6" ht="16.5">
      <c r="A11" s="184">
        <f t="shared" si="0"/>
        <v>4</v>
      </c>
      <c r="B11" s="199"/>
      <c r="C11" s="200"/>
      <c r="D11" s="200"/>
      <c r="E11" s="255"/>
      <c r="F11" s="200"/>
    </row>
    <row r="12" spans="1:6" ht="16.5">
      <c r="A12" s="184">
        <f t="shared" si="0"/>
        <v>5</v>
      </c>
      <c r="B12" s="348" t="s">
        <v>379</v>
      </c>
      <c r="C12" s="349"/>
      <c r="D12" s="349"/>
      <c r="E12" s="256"/>
      <c r="F12" s="206"/>
    </row>
    <row r="13" spans="1:6" ht="16.5">
      <c r="A13" s="184">
        <f t="shared" si="0"/>
        <v>6</v>
      </c>
      <c r="B13" s="199"/>
      <c r="C13" s="359" t="s">
        <v>351</v>
      </c>
      <c r="D13" s="359"/>
      <c r="E13" s="209">
        <v>3055116</v>
      </c>
      <c r="F13" s="208">
        <v>3055116</v>
      </c>
    </row>
    <row r="14" spans="1:6" ht="16.5">
      <c r="A14" s="184">
        <f t="shared" si="0"/>
        <v>7</v>
      </c>
      <c r="B14" s="199"/>
      <c r="C14" s="359" t="s">
        <v>352</v>
      </c>
      <c r="D14" s="359"/>
      <c r="E14" s="209">
        <v>10000000</v>
      </c>
      <c r="F14" s="208">
        <v>10000000</v>
      </c>
    </row>
    <row r="15" spans="1:6" ht="16.5">
      <c r="A15" s="184">
        <f t="shared" si="0"/>
        <v>8</v>
      </c>
      <c r="B15" s="199"/>
      <c r="C15" s="359" t="s">
        <v>229</v>
      </c>
      <c r="D15" s="359"/>
      <c r="E15" s="209">
        <v>0</v>
      </c>
      <c r="F15" s="208">
        <v>0</v>
      </c>
    </row>
    <row r="16" spans="1:6" ht="16.5">
      <c r="A16" s="184">
        <f t="shared" si="0"/>
        <v>9</v>
      </c>
      <c r="B16" s="199"/>
      <c r="C16" s="359" t="s">
        <v>230</v>
      </c>
      <c r="D16" s="359"/>
      <c r="E16" s="209">
        <v>0</v>
      </c>
      <c r="F16" s="208">
        <v>0</v>
      </c>
    </row>
    <row r="17" spans="1:6" s="190" customFormat="1" ht="16.5">
      <c r="A17" s="184">
        <f t="shared" si="0"/>
        <v>10</v>
      </c>
      <c r="B17" s="210"/>
      <c r="C17" s="374" t="s">
        <v>246</v>
      </c>
      <c r="D17" s="374"/>
      <c r="E17" s="257">
        <v>1800000</v>
      </c>
      <c r="F17" s="207">
        <v>1800000</v>
      </c>
    </row>
    <row r="18" spans="1:6" s="190" customFormat="1" ht="16.5">
      <c r="A18" s="184">
        <f t="shared" si="0"/>
        <v>11</v>
      </c>
      <c r="B18" s="210"/>
      <c r="C18" s="374" t="s">
        <v>381</v>
      </c>
      <c r="D18" s="374"/>
      <c r="E18" s="257">
        <v>20000000</v>
      </c>
      <c r="F18" s="207"/>
    </row>
    <row r="19" spans="1:6" s="190" customFormat="1" ht="16.5">
      <c r="A19" s="184">
        <f t="shared" si="0"/>
        <v>12</v>
      </c>
      <c r="B19" s="210"/>
      <c r="C19" s="207" t="s">
        <v>344</v>
      </c>
      <c r="E19" s="209">
        <v>1867929</v>
      </c>
      <c r="F19" s="208">
        <v>1867929</v>
      </c>
    </row>
    <row r="20" spans="1:6" s="190" customFormat="1" ht="16.5">
      <c r="A20" s="184">
        <f t="shared" si="0"/>
        <v>13</v>
      </c>
      <c r="B20" s="210"/>
      <c r="C20" s="207" t="s">
        <v>353</v>
      </c>
      <c r="E20" s="209">
        <v>700000</v>
      </c>
      <c r="F20" s="208">
        <v>700000</v>
      </c>
    </row>
    <row r="21" spans="1:6" s="190" customFormat="1" ht="16.5">
      <c r="A21" s="184">
        <f t="shared" si="0"/>
        <v>14</v>
      </c>
      <c r="B21" s="210"/>
      <c r="C21" s="207" t="s">
        <v>355</v>
      </c>
      <c r="E21" s="209">
        <v>1200000</v>
      </c>
      <c r="F21" s="208">
        <v>1200000</v>
      </c>
    </row>
    <row r="22" spans="1:6" s="190" customFormat="1" ht="16.5">
      <c r="A22" s="184">
        <f t="shared" si="0"/>
        <v>15</v>
      </c>
      <c r="B22" s="210"/>
      <c r="C22" s="207" t="s">
        <v>354</v>
      </c>
      <c r="E22" s="209">
        <v>400000</v>
      </c>
      <c r="F22" s="208">
        <v>400000</v>
      </c>
    </row>
    <row r="23" spans="1:6" ht="16.5">
      <c r="A23" s="184">
        <f t="shared" si="0"/>
        <v>16</v>
      </c>
      <c r="B23" s="199"/>
      <c r="C23" s="207" t="s">
        <v>385</v>
      </c>
      <c r="E23" s="209">
        <v>3000000</v>
      </c>
      <c r="F23" s="208">
        <v>3000000</v>
      </c>
    </row>
    <row r="24" spans="1:6" ht="16.5">
      <c r="A24" s="184">
        <f t="shared" si="0"/>
        <v>17</v>
      </c>
      <c r="B24" s="199"/>
      <c r="C24" s="207" t="s">
        <v>356</v>
      </c>
      <c r="E24" s="209">
        <v>65000000</v>
      </c>
      <c r="F24" s="208">
        <v>65000000</v>
      </c>
    </row>
    <row r="25" spans="1:6" ht="16.5">
      <c r="A25" s="184">
        <f t="shared" si="0"/>
        <v>18</v>
      </c>
      <c r="B25" s="234"/>
      <c r="C25" s="235"/>
      <c r="D25" s="236" t="s">
        <v>380</v>
      </c>
      <c r="E25" s="238">
        <f>SUM(E13:E24)</f>
        <v>107023045</v>
      </c>
      <c r="F25" s="237">
        <f>SUM(F13:F24)</f>
        <v>87023045</v>
      </c>
    </row>
    <row r="26" spans="1:6" ht="12.75" customHeight="1">
      <c r="A26" s="184">
        <f t="shared" si="0"/>
        <v>19</v>
      </c>
      <c r="B26" s="247"/>
      <c r="C26" s="248"/>
      <c r="D26" s="249"/>
      <c r="E26" s="246"/>
      <c r="F26" s="185"/>
    </row>
    <row r="27" spans="1:6" s="190" customFormat="1" ht="16.5" customHeight="1">
      <c r="A27" s="184">
        <f t="shared" si="0"/>
        <v>20</v>
      </c>
      <c r="B27" s="345" t="s">
        <v>382</v>
      </c>
      <c r="C27" s="346"/>
      <c r="D27" s="346"/>
      <c r="E27" s="258"/>
      <c r="F27" s="196"/>
    </row>
    <row r="28" spans="1:6" s="190" customFormat="1" ht="16.5">
      <c r="A28" s="184">
        <f t="shared" si="0"/>
        <v>21</v>
      </c>
      <c r="B28" s="195"/>
      <c r="C28" s="341" t="s">
        <v>360</v>
      </c>
      <c r="D28" s="341"/>
      <c r="E28" s="209">
        <v>20000000</v>
      </c>
      <c r="F28" s="208">
        <v>25000000</v>
      </c>
    </row>
    <row r="29" spans="1:6" s="190" customFormat="1" ht="16.5">
      <c r="A29" s="184">
        <f t="shared" si="0"/>
        <v>22</v>
      </c>
      <c r="B29" s="195"/>
      <c r="C29" s="341" t="s">
        <v>378</v>
      </c>
      <c r="D29" s="341"/>
      <c r="E29" s="209">
        <v>100000000</v>
      </c>
      <c r="F29" s="208"/>
    </row>
    <row r="30" spans="1:6" s="190" customFormat="1" ht="16.5">
      <c r="A30" s="184">
        <f t="shared" si="0"/>
        <v>23</v>
      </c>
      <c r="B30" s="195"/>
      <c r="C30" s="341" t="s">
        <v>414</v>
      </c>
      <c r="D30" s="341"/>
      <c r="E30" s="209">
        <v>3000000</v>
      </c>
      <c r="F30" s="208"/>
    </row>
    <row r="31" spans="1:6" s="190" customFormat="1" ht="16.5">
      <c r="A31" s="184">
        <f t="shared" si="0"/>
        <v>24</v>
      </c>
      <c r="B31" s="210"/>
      <c r="C31" s="207" t="s">
        <v>357</v>
      </c>
      <c r="E31" s="209">
        <v>0</v>
      </c>
      <c r="F31" s="208">
        <v>0</v>
      </c>
    </row>
    <row r="32" spans="1:6" s="190" customFormat="1" ht="16.5">
      <c r="A32" s="184">
        <f t="shared" si="0"/>
        <v>25</v>
      </c>
      <c r="B32" s="210"/>
      <c r="C32" s="232" t="s">
        <v>358</v>
      </c>
      <c r="E32" s="209"/>
      <c r="F32" s="208"/>
    </row>
    <row r="33" spans="1:6" s="190" customFormat="1" ht="16.5">
      <c r="A33" s="184">
        <f t="shared" si="0"/>
        <v>26</v>
      </c>
      <c r="B33" s="210"/>
      <c r="C33" s="232" t="s">
        <v>359</v>
      </c>
      <c r="E33" s="209"/>
      <c r="F33" s="208"/>
    </row>
    <row r="34" spans="1:6" s="190" customFormat="1" ht="16.5">
      <c r="A34" s="184">
        <f t="shared" si="0"/>
        <v>27</v>
      </c>
      <c r="B34" s="210"/>
      <c r="C34" s="368" t="s">
        <v>411</v>
      </c>
      <c r="D34" s="368"/>
      <c r="E34" s="209">
        <v>583392</v>
      </c>
      <c r="F34" s="208"/>
    </row>
    <row r="35" spans="1:6" s="190" customFormat="1" ht="16.5">
      <c r="A35" s="184">
        <f t="shared" si="0"/>
        <v>28</v>
      </c>
      <c r="B35" s="210"/>
      <c r="C35" s="368" t="s">
        <v>394</v>
      </c>
      <c r="D35" s="368"/>
      <c r="E35" s="209">
        <v>13445000</v>
      </c>
      <c r="F35" s="208"/>
    </row>
    <row r="36" spans="1:6" ht="16.5">
      <c r="A36" s="184">
        <f t="shared" si="0"/>
        <v>29</v>
      </c>
      <c r="B36" s="212"/>
      <c r="C36" s="368" t="s">
        <v>412</v>
      </c>
      <c r="D36" s="368"/>
      <c r="E36" s="209">
        <v>348500</v>
      </c>
      <c r="F36" s="208">
        <v>348500</v>
      </c>
    </row>
    <row r="37" spans="1:6" ht="16.5">
      <c r="A37" s="184">
        <f t="shared" si="0"/>
        <v>30</v>
      </c>
      <c r="B37" s="212"/>
      <c r="C37" s="368" t="s">
        <v>413</v>
      </c>
      <c r="D37" s="368"/>
      <c r="E37" s="209">
        <v>4000000</v>
      </c>
      <c r="F37" s="208">
        <v>4000000</v>
      </c>
    </row>
    <row r="38" spans="1:6" ht="16.5">
      <c r="A38" s="184">
        <f t="shared" si="0"/>
        <v>31</v>
      </c>
      <c r="B38" s="345" t="s">
        <v>376</v>
      </c>
      <c r="C38" s="346"/>
      <c r="D38" s="346"/>
      <c r="E38" s="209"/>
      <c r="F38" s="208"/>
    </row>
    <row r="39" spans="1:6" ht="16.5">
      <c r="A39" s="184">
        <f t="shared" si="0"/>
        <v>32</v>
      </c>
      <c r="B39" s="195"/>
      <c r="C39" s="341" t="s">
        <v>375</v>
      </c>
      <c r="D39" s="341"/>
      <c r="E39" s="209">
        <v>5900000</v>
      </c>
      <c r="F39" s="208">
        <v>5900000</v>
      </c>
    </row>
    <row r="40" spans="1:6" ht="16.5">
      <c r="A40" s="184">
        <f t="shared" si="0"/>
        <v>33</v>
      </c>
      <c r="B40" s="195"/>
      <c r="C40" s="341" t="s">
        <v>361</v>
      </c>
      <c r="D40" s="341"/>
      <c r="E40" s="209">
        <v>1500000</v>
      </c>
      <c r="F40" s="208">
        <v>1500000</v>
      </c>
    </row>
    <row r="41" spans="1:6" ht="16.5">
      <c r="A41" s="184">
        <f t="shared" si="0"/>
        <v>34</v>
      </c>
      <c r="B41" s="195"/>
      <c r="C41" s="341" t="s">
        <v>362</v>
      </c>
      <c r="D41" s="341"/>
      <c r="E41" s="209">
        <v>1000000</v>
      </c>
      <c r="F41" s="208">
        <v>1000000</v>
      </c>
    </row>
    <row r="42" spans="1:6" ht="16.5">
      <c r="A42" s="184">
        <f t="shared" si="0"/>
        <v>35</v>
      </c>
      <c r="B42" s="212"/>
      <c r="C42" s="358" t="s">
        <v>373</v>
      </c>
      <c r="D42" s="358"/>
      <c r="E42" s="209">
        <v>1303575</v>
      </c>
      <c r="F42" s="208">
        <v>1303575</v>
      </c>
    </row>
    <row r="43" spans="1:6" ht="16.5">
      <c r="A43" s="184">
        <f t="shared" si="0"/>
        <v>36</v>
      </c>
      <c r="B43" s="212"/>
      <c r="C43" s="341" t="s">
        <v>377</v>
      </c>
      <c r="D43" s="341"/>
      <c r="E43" s="209">
        <v>30250000</v>
      </c>
      <c r="F43" s="208">
        <v>50000000</v>
      </c>
    </row>
    <row r="44" spans="1:6" ht="16.5">
      <c r="A44" s="184">
        <f t="shared" si="0"/>
        <v>37</v>
      </c>
      <c r="B44" s="195"/>
      <c r="C44" s="341" t="s">
        <v>386</v>
      </c>
      <c r="D44" s="341"/>
      <c r="E44" s="209">
        <f>+'E&amp;G Core'!E38</f>
        <v>23591269</v>
      </c>
      <c r="F44" s="208">
        <v>55573808</v>
      </c>
    </row>
    <row r="45" spans="1:6" ht="16.5">
      <c r="A45" s="184">
        <f t="shared" si="0"/>
        <v>38</v>
      </c>
      <c r="B45" s="195"/>
      <c r="C45" s="341" t="s">
        <v>363</v>
      </c>
      <c r="D45" s="341"/>
      <c r="E45" s="209">
        <v>0</v>
      </c>
      <c r="F45" s="208">
        <v>25087893</v>
      </c>
    </row>
    <row r="46" spans="1:6" ht="16.5" customHeight="1">
      <c r="A46" s="184">
        <f t="shared" si="0"/>
        <v>39</v>
      </c>
      <c r="B46" s="345" t="s">
        <v>383</v>
      </c>
      <c r="C46" s="346"/>
      <c r="D46" s="346"/>
      <c r="E46" s="209"/>
      <c r="F46" s="208"/>
    </row>
    <row r="47" spans="1:6" s="190" customFormat="1" ht="16.5">
      <c r="A47" s="184">
        <f t="shared" si="0"/>
        <v>40</v>
      </c>
      <c r="B47" s="210"/>
      <c r="C47" s="207" t="s">
        <v>366</v>
      </c>
      <c r="E47" s="209">
        <v>3300000</v>
      </c>
      <c r="F47" s="208">
        <v>3300000</v>
      </c>
    </row>
    <row r="48" spans="1:6" s="190" customFormat="1" ht="16.5">
      <c r="A48" s="184">
        <f t="shared" si="0"/>
        <v>41</v>
      </c>
      <c r="B48" s="210"/>
      <c r="C48" s="207" t="s">
        <v>374</v>
      </c>
      <c r="E48" s="209">
        <v>3217938</v>
      </c>
      <c r="F48" s="208">
        <f>+E48</f>
        <v>3217938</v>
      </c>
    </row>
    <row r="49" spans="1:6" s="190" customFormat="1" ht="16.5">
      <c r="A49" s="184">
        <f t="shared" si="0"/>
        <v>42</v>
      </c>
      <c r="B49" s="210"/>
      <c r="C49" s="207" t="s">
        <v>364</v>
      </c>
      <c r="E49" s="209">
        <v>9855049</v>
      </c>
      <c r="F49" s="208">
        <v>9855049</v>
      </c>
    </row>
    <row r="50" spans="1:6" s="190" customFormat="1" ht="16.5">
      <c r="A50" s="184">
        <f t="shared" si="0"/>
        <v>43</v>
      </c>
      <c r="B50" s="210"/>
      <c r="C50" s="207" t="s">
        <v>365</v>
      </c>
      <c r="E50" s="209">
        <v>8438761</v>
      </c>
      <c r="F50" s="208">
        <v>8438761</v>
      </c>
    </row>
    <row r="51" spans="1:6" s="190" customFormat="1" ht="16.5">
      <c r="A51" s="184">
        <f t="shared" si="0"/>
        <v>44</v>
      </c>
      <c r="B51" s="210"/>
      <c r="C51" s="207" t="s">
        <v>367</v>
      </c>
      <c r="E51" s="209">
        <v>16382662</v>
      </c>
      <c r="F51" s="208">
        <v>16382662</v>
      </c>
    </row>
    <row r="52" spans="1:6" ht="16.5">
      <c r="A52" s="184">
        <f t="shared" si="0"/>
        <v>45</v>
      </c>
      <c r="B52" s="239"/>
      <c r="C52" s="240"/>
      <c r="D52" s="241" t="s">
        <v>384</v>
      </c>
      <c r="E52" s="245">
        <f>SUM(E28:E51)</f>
        <v>246116146</v>
      </c>
      <c r="F52" s="242">
        <f>SUM(F28:F51)</f>
        <v>210908186</v>
      </c>
    </row>
    <row r="53" spans="1:6" ht="16.5">
      <c r="A53" s="184">
        <f t="shared" si="0"/>
        <v>46</v>
      </c>
      <c r="B53" s="212"/>
      <c r="C53" s="213"/>
      <c r="D53" s="185"/>
      <c r="E53" s="217"/>
      <c r="F53" s="216"/>
    </row>
    <row r="54" spans="1:6" ht="16.5">
      <c r="A54" s="184">
        <f t="shared" si="0"/>
        <v>47</v>
      </c>
      <c r="B54" s="345" t="s">
        <v>342</v>
      </c>
      <c r="C54" s="346"/>
      <c r="D54" s="346"/>
      <c r="E54" s="259"/>
      <c r="F54" s="214"/>
    </row>
    <row r="55" spans="1:6" ht="16.5" customHeight="1">
      <c r="A55" s="184">
        <f t="shared" si="0"/>
        <v>48</v>
      </c>
      <c r="B55" s="345" t="s">
        <v>248</v>
      </c>
      <c r="C55" s="346"/>
      <c r="D55" s="346"/>
      <c r="E55" s="209"/>
      <c r="F55" s="196"/>
    </row>
    <row r="56" spans="1:6" ht="16.5">
      <c r="A56" s="184">
        <f t="shared" si="0"/>
        <v>49</v>
      </c>
      <c r="B56" s="212"/>
      <c r="C56" s="347" t="s">
        <v>249</v>
      </c>
      <c r="D56" s="347"/>
      <c r="E56" s="257">
        <v>23193037</v>
      </c>
      <c r="F56" s="207">
        <v>9027396</v>
      </c>
    </row>
    <row r="57" spans="1:6" ht="16.5">
      <c r="A57" s="184">
        <f t="shared" si="0"/>
        <v>50</v>
      </c>
      <c r="B57" s="212"/>
      <c r="C57" s="347" t="s">
        <v>254</v>
      </c>
      <c r="D57" s="347"/>
      <c r="E57" s="209">
        <v>9365672</v>
      </c>
      <c r="F57" s="208">
        <v>0</v>
      </c>
    </row>
    <row r="58" spans="1:6" ht="16.5">
      <c r="A58" s="184">
        <f t="shared" si="0"/>
        <v>51</v>
      </c>
      <c r="B58" s="212"/>
      <c r="C58" s="347" t="s">
        <v>257</v>
      </c>
      <c r="D58" s="347"/>
      <c r="E58" s="209">
        <v>6090464</v>
      </c>
      <c r="F58" s="208">
        <v>0</v>
      </c>
    </row>
    <row r="59" spans="1:6" ht="16.5">
      <c r="A59" s="184">
        <f t="shared" si="0"/>
        <v>52</v>
      </c>
      <c r="B59" s="212"/>
      <c r="C59" s="233"/>
      <c r="D59" s="233"/>
      <c r="E59" s="209"/>
      <c r="F59" s="208"/>
    </row>
    <row r="60" spans="1:6" s="190" customFormat="1" ht="16.5">
      <c r="A60" s="184">
        <f t="shared" si="0"/>
        <v>53</v>
      </c>
      <c r="B60" s="345" t="s">
        <v>261</v>
      </c>
      <c r="C60" s="346"/>
      <c r="D60" s="346"/>
      <c r="E60" s="257"/>
      <c r="F60" s="207"/>
    </row>
    <row r="61" spans="1:6" ht="16.5">
      <c r="A61" s="184">
        <f t="shared" si="0"/>
        <v>54</v>
      </c>
      <c r="B61" s="212"/>
      <c r="C61" s="347" t="s">
        <v>262</v>
      </c>
      <c r="D61" s="347"/>
      <c r="E61" s="209">
        <v>4553160</v>
      </c>
      <c r="F61" s="208">
        <v>1319508</v>
      </c>
    </row>
    <row r="62" spans="1:6" ht="16.5">
      <c r="A62" s="184">
        <f t="shared" si="0"/>
        <v>55</v>
      </c>
      <c r="B62" s="212"/>
      <c r="C62" s="347" t="s">
        <v>267</v>
      </c>
      <c r="D62" s="347"/>
      <c r="E62" s="209">
        <f>20196981-1091511-1091511-711505-323411</f>
        <v>16979043</v>
      </c>
      <c r="F62" s="208">
        <f>6929851-812917</f>
        <v>6116934</v>
      </c>
    </row>
    <row r="63" spans="1:6" ht="30.75" customHeight="1">
      <c r="A63" s="184">
        <f t="shared" si="0"/>
        <v>56</v>
      </c>
      <c r="B63" s="212"/>
      <c r="C63" s="347" t="s">
        <v>273</v>
      </c>
      <c r="D63" s="347"/>
      <c r="E63" s="209">
        <v>16022773</v>
      </c>
      <c r="F63" s="208">
        <v>0</v>
      </c>
    </row>
    <row r="64" spans="1:6" ht="16.5">
      <c r="A64" s="184">
        <f t="shared" si="0"/>
        <v>57</v>
      </c>
      <c r="B64" s="212"/>
      <c r="C64" s="233"/>
      <c r="D64" s="233"/>
      <c r="E64" s="259"/>
      <c r="F64" s="214"/>
    </row>
    <row r="65" spans="1:6" ht="16.5">
      <c r="A65" s="184">
        <f t="shared" si="0"/>
        <v>58</v>
      </c>
      <c r="B65" s="345" t="s">
        <v>278</v>
      </c>
      <c r="C65" s="346"/>
      <c r="D65" s="346"/>
      <c r="E65" s="209"/>
      <c r="F65" s="208"/>
    </row>
    <row r="66" spans="1:6" ht="33" customHeight="1">
      <c r="A66" s="184">
        <f t="shared" si="0"/>
        <v>59</v>
      </c>
      <c r="B66" s="195"/>
      <c r="C66" s="347" t="s">
        <v>279</v>
      </c>
      <c r="D66" s="347"/>
      <c r="E66" s="257">
        <v>18196500</v>
      </c>
      <c r="F66" s="207">
        <v>6511803</v>
      </c>
    </row>
    <row r="67" spans="1:6" ht="16.5">
      <c r="A67" s="184">
        <f t="shared" si="0"/>
        <v>60</v>
      </c>
      <c r="B67" s="195"/>
      <c r="C67" s="347" t="s">
        <v>283</v>
      </c>
      <c r="D67" s="347"/>
      <c r="E67" s="209">
        <v>4756428</v>
      </c>
      <c r="F67" s="208">
        <v>0</v>
      </c>
    </row>
    <row r="68" spans="1:6" ht="16.5">
      <c r="A68" s="184">
        <f t="shared" si="0"/>
        <v>61</v>
      </c>
      <c r="B68" s="195"/>
      <c r="C68" s="347" t="s">
        <v>287</v>
      </c>
      <c r="D68" s="347"/>
      <c r="E68" s="209">
        <v>39797667</v>
      </c>
      <c r="F68" s="208">
        <v>9850925</v>
      </c>
    </row>
    <row r="69" spans="1:6" ht="16.5">
      <c r="A69" s="184">
        <f t="shared" si="0"/>
        <v>62</v>
      </c>
      <c r="B69" s="195"/>
      <c r="C69" s="347" t="s">
        <v>295</v>
      </c>
      <c r="D69" s="347"/>
      <c r="E69" s="209">
        <v>33908813</v>
      </c>
      <c r="F69" s="208">
        <v>10525958</v>
      </c>
    </row>
    <row r="70" spans="1:6" s="190" customFormat="1" ht="16.5">
      <c r="A70" s="184">
        <f t="shared" si="0"/>
        <v>63</v>
      </c>
      <c r="B70" s="195"/>
      <c r="C70" s="347" t="s">
        <v>343</v>
      </c>
      <c r="D70" s="347"/>
      <c r="E70" s="257">
        <v>6726359</v>
      </c>
      <c r="F70" s="207">
        <v>1417946</v>
      </c>
    </row>
    <row r="71" spans="1:6" s="190" customFormat="1" ht="36" customHeight="1">
      <c r="A71" s="184">
        <f t="shared" si="0"/>
        <v>64</v>
      </c>
      <c r="B71" s="345" t="s">
        <v>316</v>
      </c>
      <c r="C71" s="383"/>
      <c r="D71" s="383"/>
      <c r="E71" s="209"/>
      <c r="F71" s="208"/>
    </row>
    <row r="72" spans="1:6" s="190" customFormat="1" ht="16.5">
      <c r="A72" s="184">
        <f t="shared" si="0"/>
        <v>65</v>
      </c>
      <c r="B72" s="195"/>
      <c r="C72" s="347" t="s">
        <v>317</v>
      </c>
      <c r="D72" s="347"/>
      <c r="E72" s="209">
        <v>6728000</v>
      </c>
      <c r="F72" s="208">
        <v>1810794</v>
      </c>
    </row>
    <row r="73" spans="1:6" s="190" customFormat="1" ht="16.5">
      <c r="A73" s="184">
        <f t="shared" si="0"/>
        <v>66</v>
      </c>
      <c r="B73" s="195"/>
      <c r="C73" s="347" t="s">
        <v>321</v>
      </c>
      <c r="D73" s="347"/>
      <c r="E73" s="209">
        <v>10936318</v>
      </c>
      <c r="F73" s="208">
        <v>1431660</v>
      </c>
    </row>
    <row r="74" spans="1:6" s="190" customFormat="1" ht="16.5">
      <c r="A74" s="184">
        <f aca="true" t="shared" si="1" ref="A74:A84">+A73+1</f>
        <v>67</v>
      </c>
      <c r="B74" s="243"/>
      <c r="C74" s="244"/>
      <c r="D74" s="241" t="s">
        <v>345</v>
      </c>
      <c r="E74" s="238">
        <f>SUM(E56:E73)</f>
        <v>197254234</v>
      </c>
      <c r="F74" s="237">
        <f>SUM(F56:F73)</f>
        <v>48012924</v>
      </c>
    </row>
    <row r="75" spans="1:6" ht="16.5">
      <c r="A75" s="184">
        <f t="shared" si="1"/>
        <v>68</v>
      </c>
      <c r="B75" s="212"/>
      <c r="C75" s="213"/>
      <c r="D75" s="214"/>
      <c r="E75" s="259"/>
      <c r="F75" s="214"/>
    </row>
    <row r="76" spans="1:6" ht="16.5">
      <c r="A76" s="184">
        <f t="shared" si="1"/>
        <v>69</v>
      </c>
      <c r="B76" s="212"/>
      <c r="C76" s="213"/>
      <c r="D76" s="185" t="s">
        <v>346</v>
      </c>
      <c r="E76" s="219">
        <f>SUM(E25,E52,E74)</f>
        <v>550393425</v>
      </c>
      <c r="F76" s="218">
        <f>SUM(F25,F52,F74)</f>
        <v>345944155</v>
      </c>
    </row>
    <row r="77" spans="1:6" ht="17.25" thickBot="1">
      <c r="A77" s="184">
        <f t="shared" si="1"/>
        <v>70</v>
      </c>
      <c r="B77" s="212"/>
      <c r="C77" s="213"/>
      <c r="D77" s="214"/>
      <c r="E77" s="260"/>
      <c r="F77" s="220"/>
    </row>
    <row r="78" spans="1:6" s="190" customFormat="1" ht="18" thickBot="1" thickTop="1">
      <c r="A78" s="184">
        <f t="shared" si="1"/>
        <v>71</v>
      </c>
      <c r="B78" s="354" t="s">
        <v>372</v>
      </c>
      <c r="C78" s="355"/>
      <c r="D78" s="355"/>
      <c r="E78" s="251">
        <f>+E76+E10</f>
        <v>4013039236</v>
      </c>
      <c r="F78" s="222">
        <f>+F76+F10</f>
        <v>3808589966</v>
      </c>
    </row>
    <row r="79" spans="1:6" ht="18" thickBot="1" thickTop="1">
      <c r="A79" s="184">
        <f t="shared" si="1"/>
        <v>72</v>
      </c>
      <c r="B79" s="212"/>
      <c r="C79" s="213"/>
      <c r="D79" s="214"/>
      <c r="E79" s="219"/>
      <c r="F79" s="218"/>
    </row>
    <row r="80" spans="1:6" ht="16.5">
      <c r="A80" s="184">
        <f t="shared" si="1"/>
        <v>73</v>
      </c>
      <c r="B80" s="361" t="s">
        <v>368</v>
      </c>
      <c r="C80" s="362"/>
      <c r="D80" s="362"/>
      <c r="E80" s="224">
        <f>+E78-E8</f>
        <v>312678527</v>
      </c>
      <c r="F80" s="223">
        <f>+F78-F8</f>
        <v>108229257</v>
      </c>
    </row>
    <row r="81" spans="1:6" ht="17.25" thickBot="1">
      <c r="A81" s="184">
        <f t="shared" si="1"/>
        <v>74</v>
      </c>
      <c r="B81" s="352" t="s">
        <v>369</v>
      </c>
      <c r="C81" s="353"/>
      <c r="D81" s="353"/>
      <c r="E81" s="226">
        <f>ROUND(((E78/E8)),4)-1</f>
        <v>0.08450000000000002</v>
      </c>
      <c r="F81" s="225">
        <f>ROUND(((F78/F8)),4)-1</f>
        <v>0.029199999999999893</v>
      </c>
    </row>
    <row r="82" spans="1:6" ht="17.25" thickBot="1">
      <c r="A82" s="184">
        <f t="shared" si="1"/>
        <v>75</v>
      </c>
      <c r="B82" s="363"/>
      <c r="C82" s="364"/>
      <c r="D82" s="364"/>
      <c r="E82" s="228"/>
      <c r="F82" s="227"/>
    </row>
    <row r="83" spans="1:6" ht="16.5" customHeight="1">
      <c r="A83" s="184">
        <f t="shared" si="1"/>
        <v>76</v>
      </c>
      <c r="B83" s="361" t="s">
        <v>370</v>
      </c>
      <c r="C83" s="362"/>
      <c r="D83" s="362"/>
      <c r="E83" s="224">
        <f>+E78-E10</f>
        <v>550393425</v>
      </c>
      <c r="F83" s="223">
        <f>+F78-F10</f>
        <v>345944155</v>
      </c>
    </row>
    <row r="84" spans="1:6" ht="16.5">
      <c r="A84" s="184">
        <f t="shared" si="1"/>
        <v>77</v>
      </c>
      <c r="B84" s="379" t="s">
        <v>371</v>
      </c>
      <c r="C84" s="380"/>
      <c r="D84" s="380"/>
      <c r="E84" s="230">
        <f>ROUND(((E78/E10)),4)-1</f>
        <v>0.15900000000000003</v>
      </c>
      <c r="F84" s="229">
        <f>ROUND(((F78/F10)),4)-1</f>
        <v>0.0999000000000001</v>
      </c>
    </row>
    <row r="85" spans="2:6" ht="16.5">
      <c r="B85" s="347"/>
      <c r="C85" s="347"/>
      <c r="D85" s="347"/>
      <c r="E85" s="200"/>
      <c r="F85" s="231"/>
    </row>
    <row r="86" spans="2:6" ht="16.5">
      <c r="B86" s="360" t="s">
        <v>333</v>
      </c>
      <c r="C86" s="360"/>
      <c r="D86" s="360"/>
      <c r="E86" s="200"/>
      <c r="F86" s="200"/>
    </row>
  </sheetData>
  <mergeCells count="60">
    <mergeCell ref="B46:D46"/>
    <mergeCell ref="C30:D30"/>
    <mergeCell ref="C42:D42"/>
    <mergeCell ref="C43:D43"/>
    <mergeCell ref="C44:D44"/>
    <mergeCell ref="C45:D45"/>
    <mergeCell ref="C36:D36"/>
    <mergeCell ref="C37:D37"/>
    <mergeCell ref="B38:D38"/>
    <mergeCell ref="C39:D39"/>
    <mergeCell ref="C17:D17"/>
    <mergeCell ref="C18:D18"/>
    <mergeCell ref="C28:D28"/>
    <mergeCell ref="C29:D29"/>
    <mergeCell ref="C13:D13"/>
    <mergeCell ref="C14:D14"/>
    <mergeCell ref="C15:D15"/>
    <mergeCell ref="C16:D16"/>
    <mergeCell ref="B65:D65"/>
    <mergeCell ref="B1:F1"/>
    <mergeCell ref="B2:F2"/>
    <mergeCell ref="B3:F3"/>
    <mergeCell ref="E6:E7"/>
    <mergeCell ref="F6:F7"/>
    <mergeCell ref="B4:F4"/>
    <mergeCell ref="C61:D61"/>
    <mergeCell ref="B54:D54"/>
    <mergeCell ref="C63:D63"/>
    <mergeCell ref="B85:D85"/>
    <mergeCell ref="B81:D81"/>
    <mergeCell ref="B78:D78"/>
    <mergeCell ref="B80:D80"/>
    <mergeCell ref="B82:D82"/>
    <mergeCell ref="B83:D83"/>
    <mergeCell ref="B84:D84"/>
    <mergeCell ref="B86:D86"/>
    <mergeCell ref="B10:D10"/>
    <mergeCell ref="B12:D12"/>
    <mergeCell ref="B27:D27"/>
    <mergeCell ref="C62:D62"/>
    <mergeCell ref="B55:D55"/>
    <mergeCell ref="C57:D57"/>
    <mergeCell ref="C58:D58"/>
    <mergeCell ref="B60:D60"/>
    <mergeCell ref="C40:D40"/>
    <mergeCell ref="C73:D73"/>
    <mergeCell ref="C68:D68"/>
    <mergeCell ref="C69:D69"/>
    <mergeCell ref="C70:D70"/>
    <mergeCell ref="B71:D71"/>
    <mergeCell ref="C34:D34"/>
    <mergeCell ref="C35:D35"/>
    <mergeCell ref="B6:D7"/>
    <mergeCell ref="C72:D72"/>
    <mergeCell ref="C56:D56"/>
    <mergeCell ref="B8:D8"/>
    <mergeCell ref="B9:D9"/>
    <mergeCell ref="C67:D67"/>
    <mergeCell ref="C41:D41"/>
    <mergeCell ref="C66:D66"/>
  </mergeCells>
  <printOptions horizontalCentered="1"/>
  <pageMargins left="0" right="0" top="0.75" bottom="0.25" header="0.5" footer="0.5"/>
  <pageSetup horizontalDpi="600" verticalDpi="600" orientation="portrait" scale="8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FDOE</dc:creator>
  <cp:keywords/>
  <dc:description/>
  <cp:lastModifiedBy>michele.childers</cp:lastModifiedBy>
  <cp:lastPrinted>2007-07-26T16:37:06Z</cp:lastPrinted>
  <dcterms:created xsi:type="dcterms:W3CDTF">2006-01-27T18:26:10Z</dcterms:created>
  <dcterms:modified xsi:type="dcterms:W3CDTF">2007-07-30T15:41:52Z</dcterms:modified>
  <cp:category/>
  <cp:version/>
  <cp:contentType/>
  <cp:contentStatus/>
</cp:coreProperties>
</file>