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375" windowHeight="4650" tabRatio="601" activeTab="0"/>
  </bookViews>
  <sheets>
    <sheet name="summary" sheetId="1" r:id="rId1"/>
    <sheet name="07-08 Univ1" sheetId="2" state="hidden" r:id="rId2"/>
    <sheet name="07-08 Univ2" sheetId="3" state="hidden" r:id="rId3"/>
    <sheet name="07-08 Sp Units &amp; Others" sheetId="4" state="hidden" r:id="rId4"/>
  </sheets>
  <externalReferences>
    <externalReference r:id="rId7"/>
  </externalReferences>
  <definedNames>
    <definedName name="_xlnm.Print_Area" localSheetId="3">'07-08 Sp Units &amp; Others'!$A$1:$K$78</definedName>
    <definedName name="_xlnm.Print_Area" localSheetId="1">'07-08 Univ1'!$A$1:$H$65</definedName>
    <definedName name="_xlnm.Print_Area" localSheetId="2">'07-08 Univ2'!$A$1:$I$78</definedName>
    <definedName name="_xlnm.Print_Area" localSheetId="0">'summary'!$A$1:$Q$62</definedName>
    <definedName name="_xlnm.Print_Titles" localSheetId="1">'07-08 Univ1'!$1:$7</definedName>
    <definedName name="_xlnm.Print_Titles" localSheetId="0">'summary'!$1:$7</definedName>
  </definedNames>
  <calcPr fullCalcOnLoad="1"/>
</workbook>
</file>

<file path=xl/sharedStrings.xml><?xml version="1.0" encoding="utf-8"?>
<sst xmlns="http://schemas.openxmlformats.org/spreadsheetml/2006/main" count="303" uniqueCount="130">
  <si>
    <t>E&amp;G</t>
  </si>
  <si>
    <t>UF</t>
  </si>
  <si>
    <t>FSU</t>
  </si>
  <si>
    <t>FAMU</t>
  </si>
  <si>
    <t>USF</t>
  </si>
  <si>
    <t>FAU</t>
  </si>
  <si>
    <t>UWF</t>
  </si>
  <si>
    <t>UCF</t>
  </si>
  <si>
    <t>FIU</t>
  </si>
  <si>
    <t>UNF</t>
  </si>
  <si>
    <t>FGCU</t>
  </si>
  <si>
    <t>TOTAL</t>
  </si>
  <si>
    <t>UF-IFAS</t>
  </si>
  <si>
    <t>UF-HSC</t>
  </si>
  <si>
    <t>USF-HSC</t>
  </si>
  <si>
    <t>FSU-MS</t>
  </si>
  <si>
    <t>G/A - IFAS</t>
  </si>
  <si>
    <t>SAR / MAN</t>
  </si>
  <si>
    <t xml:space="preserve"> </t>
  </si>
  <si>
    <t>NCF</t>
  </si>
  <si>
    <t>UNIVERSITIES</t>
  </si>
  <si>
    <t>ST. PETE</t>
  </si>
  <si>
    <t>MAJOR GIFTS/</t>
  </si>
  <si>
    <t>SUCCEED/OTHER</t>
  </si>
  <si>
    <t xml:space="preserve">Moffitt Cancer </t>
  </si>
  <si>
    <t>Center</t>
  </si>
  <si>
    <t>Inst of Human</t>
  </si>
  <si>
    <t>&amp; Mach Cogn</t>
  </si>
  <si>
    <t>Total S/C - Risk Management Insurance</t>
  </si>
  <si>
    <t xml:space="preserve">   General Revenue Fund</t>
  </si>
  <si>
    <t>Grand Total</t>
  </si>
  <si>
    <t xml:space="preserve">   General Revenue</t>
  </si>
  <si>
    <t xml:space="preserve">   Educational Enhancement TF</t>
  </si>
  <si>
    <t>G/A - Educational &amp; General</t>
  </si>
  <si>
    <t xml:space="preserve">   Student Fees TF</t>
  </si>
  <si>
    <t xml:space="preserve">   Phosphate Research TF</t>
  </si>
  <si>
    <t>Total G/A - Educational &amp; General</t>
  </si>
  <si>
    <t>State University System of Florida</t>
  </si>
  <si>
    <t>General  Appropriations Act and Other Previously Appropriated  Trust Funds</t>
  </si>
  <si>
    <t>University Detail by Grant &amp; Aids / Special Category / Fund</t>
  </si>
  <si>
    <t>NOTE:  Excludes vetoed appropriations.</t>
  </si>
  <si>
    <t>NOTE:  Excludes vetoed appropriations</t>
  </si>
  <si>
    <t xml:space="preserve">   Experimental Stn Fed Grant TF</t>
  </si>
  <si>
    <t xml:space="preserve">   Experimental Stn Incidental TF</t>
  </si>
  <si>
    <t xml:space="preserve">   Extension Svc Fed Grant TF</t>
  </si>
  <si>
    <t>Total G/A - IFAS</t>
  </si>
  <si>
    <t>G/A - UF Health Center</t>
  </si>
  <si>
    <t xml:space="preserve">   Extension Svc Incidental TF</t>
  </si>
  <si>
    <t xml:space="preserve">   Incidental TF</t>
  </si>
  <si>
    <t xml:space="preserve">   UF-HC Operations &amp; Maintenance TF</t>
  </si>
  <si>
    <t xml:space="preserve">   Operations &amp; Maintenance TF</t>
  </si>
  <si>
    <t>Total G/A - UF Health Center</t>
  </si>
  <si>
    <t>G/A - USF Medical Center</t>
  </si>
  <si>
    <t>Total G/A - USF Medical Center</t>
  </si>
  <si>
    <t>G/A - FSU Medical School</t>
  </si>
  <si>
    <t xml:space="preserve">   General  Revenue Fund</t>
  </si>
  <si>
    <t>Total G/A - FSU Medical School</t>
  </si>
  <si>
    <t>G/A - Student Financial Assistance</t>
  </si>
  <si>
    <t>G/A - Cancer Center Operations</t>
  </si>
  <si>
    <t>S/C - Challenge Grants</t>
  </si>
  <si>
    <t>S/C - Risk Management Insurance</t>
  </si>
  <si>
    <t xml:space="preserve">   Other Trust Funds</t>
  </si>
  <si>
    <t xml:space="preserve">   Educational  Enhancement TF</t>
  </si>
  <si>
    <t>Total All Funds</t>
  </si>
  <si>
    <t>General Appropriations Act and Other Previously Appropriated Trust Funds</t>
  </si>
  <si>
    <t>University Detail by Grants &amp; Aids / Lump Sum / Special Category / Fund</t>
  </si>
  <si>
    <t>University</t>
  </si>
  <si>
    <t>Totals</t>
  </si>
  <si>
    <t>Total</t>
  </si>
  <si>
    <t xml:space="preserve">G/A - Institute for Human &amp; Machine Cognition </t>
  </si>
  <si>
    <t>GA - Institute for Human &amp; Machine Cognition</t>
  </si>
  <si>
    <t>Risk Management Insurance</t>
  </si>
  <si>
    <t>2007-2008</t>
  </si>
  <si>
    <t>ALG - Centers of Excellence</t>
  </si>
  <si>
    <t>G/A - UCF Medical School</t>
  </si>
  <si>
    <t>G/A - FIU Medical School</t>
  </si>
  <si>
    <t>UCF-MS</t>
  </si>
  <si>
    <t>FIU-MS</t>
  </si>
  <si>
    <t xml:space="preserve">Centers of </t>
  </si>
  <si>
    <t>Excellence</t>
  </si>
  <si>
    <t>Major</t>
  </si>
  <si>
    <t>Gifts</t>
  </si>
  <si>
    <t>GR</t>
  </si>
  <si>
    <t>USF-ST. Pete</t>
  </si>
  <si>
    <t>USF-Sar/Manatee</t>
  </si>
  <si>
    <t>Lottery</t>
  </si>
  <si>
    <t>UF - IFAS</t>
  </si>
  <si>
    <t>UF Health Center</t>
  </si>
  <si>
    <t>FSU Medical School</t>
  </si>
  <si>
    <t>UCF Medical School</t>
  </si>
  <si>
    <t>FIU Medical School</t>
  </si>
  <si>
    <t>Centers of Excellence</t>
  </si>
  <si>
    <t>Cancer Center Operations</t>
  </si>
  <si>
    <t>Challenge Grants</t>
  </si>
  <si>
    <t>Student Financial Assistance Total</t>
  </si>
  <si>
    <t xml:space="preserve">*Institute for Human &amp; Machine Cognition </t>
  </si>
  <si>
    <t>2007-08 Non-recurring Funds</t>
  </si>
  <si>
    <t>Education &amp; General Total</t>
  </si>
  <si>
    <t>Appropriation Category</t>
  </si>
  <si>
    <t>HB 83 Venture Capital Program</t>
  </si>
  <si>
    <t>USF Health Center</t>
  </si>
  <si>
    <t>IHMC*</t>
  </si>
  <si>
    <t>2007-08 Recurring</t>
  </si>
  <si>
    <t>Appropriation</t>
  </si>
  <si>
    <t>2007-08 Total</t>
  </si>
  <si>
    <t>Student Fees</t>
  </si>
  <si>
    <t>2008-09</t>
  </si>
  <si>
    <t>% Change</t>
  </si>
  <si>
    <t>Approp</t>
  </si>
  <si>
    <t>Adjusted Recurring</t>
  </si>
  <si>
    <t>Incremental</t>
  </si>
  <si>
    <t>Increase</t>
  </si>
  <si>
    <t>Total 2008-09</t>
  </si>
  <si>
    <t>NA</t>
  </si>
  <si>
    <t>Non-recurring</t>
  </si>
  <si>
    <t>Core SUS Budget</t>
  </si>
  <si>
    <t>Risk Management Insurance - Univ</t>
  </si>
  <si>
    <t>Total Core Budget</t>
  </si>
  <si>
    <t>Special Units &amp; Other State Initiatives</t>
  </si>
  <si>
    <t>Risk Management Insurance - Sp Units</t>
  </si>
  <si>
    <t>Tuition Support</t>
  </si>
  <si>
    <t>State Support</t>
  </si>
  <si>
    <t>Board of Governors</t>
  </si>
  <si>
    <t>Detail by Grant &amp; Aids and Special Categories</t>
  </si>
  <si>
    <t>Attachment II-a</t>
  </si>
  <si>
    <t>Board of Governors General Office</t>
  </si>
  <si>
    <t>&amp; Budget Cuts</t>
  </si>
  <si>
    <t xml:space="preserve">2008-2009  Budget Summary </t>
  </si>
  <si>
    <t>Over Total</t>
  </si>
  <si>
    <t>Budget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</si>
</sst>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_);[Red]\(&quot;$&quot;#,##0.0\)"/>
    <numFmt numFmtId="166" formatCode="_(* #,##0_);_(* \(#,##0\);_(* &quot;-&quot;??_);_(@_)"/>
    <numFmt numFmtId="167" formatCode="_(* #,##0.0_);_(* \(#,##0.0\);_(* &quot;-&quot;??_);_(@_)"/>
    <numFmt numFmtId="168" formatCode="0.0%"/>
  </numFmts>
  <fonts count="2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3"/>
      <name val="Arial"/>
      <family val="2"/>
    </font>
    <font>
      <b/>
      <sz val="13"/>
      <name val="Arial"/>
      <family val="2"/>
    </font>
    <font>
      <sz val="13"/>
      <name val="MS Sans Serif"/>
      <family val="0"/>
    </font>
    <font>
      <b/>
      <sz val="13"/>
      <name val="MS Sans Serif"/>
      <family val="0"/>
    </font>
    <font>
      <sz val="15"/>
      <name val="MS Sans Serif"/>
      <family val="0"/>
    </font>
    <font>
      <sz val="15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b/>
      <sz val="18"/>
      <name val="MS Sans Serif"/>
      <family val="0"/>
    </font>
    <font>
      <sz val="18"/>
      <name val="MS Sans Serif"/>
      <family val="0"/>
    </font>
    <font>
      <sz val="18"/>
      <name val="Arial"/>
      <family val="2"/>
    </font>
    <font>
      <sz val="17"/>
      <name val="Arial"/>
      <family val="2"/>
    </font>
    <font>
      <u val="single"/>
      <sz val="5"/>
      <color indexed="12"/>
      <name val="MS Sans Serif"/>
      <family val="0"/>
    </font>
    <font>
      <u val="single"/>
      <sz val="5"/>
      <color indexed="36"/>
      <name val="MS Sans Serif"/>
      <family val="0"/>
    </font>
    <font>
      <b/>
      <sz val="15"/>
      <name val="Arial"/>
      <family val="2"/>
    </font>
    <font>
      <b/>
      <sz val="16"/>
      <name val="Arial"/>
      <family val="2"/>
    </font>
    <font>
      <b/>
      <sz val="12"/>
      <name val="Book Antiqua"/>
      <family val="1"/>
    </font>
    <font>
      <b/>
      <sz val="10"/>
      <name val="Book Antiqua"/>
      <family val="1"/>
    </font>
    <font>
      <b/>
      <sz val="14"/>
      <name val="Book Antiqua"/>
      <family val="1"/>
    </font>
    <font>
      <b/>
      <u val="single"/>
      <sz val="12"/>
      <name val="Book Antiqua"/>
      <family val="1"/>
    </font>
    <font>
      <sz val="12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5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5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6" fontId="10" fillId="0" borderId="0" xfId="0" applyNumberFormat="1" applyFont="1" applyAlignment="1">
      <alignment vertical="center"/>
    </xf>
    <xf numFmtId="6" fontId="10" fillId="0" borderId="2" xfId="0" applyNumberFormat="1" applyFont="1" applyBorder="1" applyAlignment="1">
      <alignment vertical="center"/>
    </xf>
    <xf numFmtId="5" fontId="10" fillId="0" borderId="0" xfId="0" applyNumberFormat="1" applyFont="1" applyBorder="1" applyAlignment="1">
      <alignment vertical="center"/>
    </xf>
    <xf numFmtId="5" fontId="10" fillId="0" borderId="0" xfId="0" applyNumberFormat="1" applyFont="1" applyAlignment="1">
      <alignment vertical="center"/>
    </xf>
    <xf numFmtId="5" fontId="10" fillId="0" borderId="3" xfId="0" applyNumberFormat="1" applyFont="1" applyBorder="1" applyAlignment="1">
      <alignment vertical="center"/>
    </xf>
    <xf numFmtId="6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centerContinuous" vertical="center"/>
    </xf>
    <xf numFmtId="164" fontId="10" fillId="0" borderId="0" xfId="0" applyNumberFormat="1" applyFont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164" fontId="10" fillId="0" borderId="2" xfId="0" applyNumberFormat="1" applyFont="1" applyBorder="1" applyAlignment="1">
      <alignment vertical="center"/>
    </xf>
    <xf numFmtId="164" fontId="10" fillId="0" borderId="0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5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6" fontId="10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/>
    </xf>
    <xf numFmtId="164" fontId="10" fillId="0" borderId="3" xfId="0" applyNumberFormat="1" applyFont="1" applyBorder="1" applyAlignment="1">
      <alignment/>
    </xf>
    <xf numFmtId="0" fontId="18" fillId="0" borderId="0" xfId="0" applyFont="1" applyAlignment="1">
      <alignment/>
    </xf>
    <xf numFmtId="5" fontId="10" fillId="0" borderId="0" xfId="0" applyNumberFormat="1" applyFont="1" applyAlignment="1">
      <alignment vertical="justify"/>
    </xf>
    <xf numFmtId="164" fontId="10" fillId="0" borderId="0" xfId="0" applyNumberFormat="1" applyFont="1" applyAlignment="1">
      <alignment vertical="justify"/>
    </xf>
    <xf numFmtId="0" fontId="10" fillId="0" borderId="0" xfId="0" applyFont="1" applyAlignment="1">
      <alignment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horizontal="center" vertical="center"/>
    </xf>
    <xf numFmtId="6" fontId="20" fillId="0" borderId="0" xfId="0" applyNumberFormat="1" applyFont="1" applyAlignment="1">
      <alignment/>
    </xf>
    <xf numFmtId="6" fontId="20" fillId="0" borderId="0" xfId="0" applyNumberFormat="1" applyFont="1" applyBorder="1" applyAlignment="1">
      <alignment vertical="center"/>
    </xf>
    <xf numFmtId="6" fontId="20" fillId="0" borderId="1" xfId="0" applyNumberFormat="1" applyFont="1" applyBorder="1" applyAlignment="1">
      <alignment vertical="center"/>
    </xf>
    <xf numFmtId="5" fontId="20" fillId="0" borderId="0" xfId="0" applyNumberFormat="1" applyFont="1" applyBorder="1" applyAlignment="1">
      <alignment vertical="center"/>
    </xf>
    <xf numFmtId="5" fontId="20" fillId="0" borderId="0" xfId="0" applyNumberFormat="1" applyFont="1" applyAlignment="1">
      <alignment/>
    </xf>
    <xf numFmtId="0" fontId="20" fillId="0" borderId="0" xfId="0" applyFont="1" applyAlignment="1">
      <alignment horizontal="center" vertical="center"/>
    </xf>
    <xf numFmtId="6" fontId="20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/>
    </xf>
    <xf numFmtId="6" fontId="20" fillId="0" borderId="4" xfId="0" applyNumberFormat="1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6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" xfId="0" applyFont="1" applyBorder="1" applyAlignment="1">
      <alignment vertical="center"/>
    </xf>
    <xf numFmtId="0" fontId="20" fillId="0" borderId="1" xfId="0" applyFont="1" applyBorder="1" applyAlignment="1">
      <alignment vertical="center" wrapText="1"/>
    </xf>
    <xf numFmtId="5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vertical="center"/>
    </xf>
    <xf numFmtId="0" fontId="20" fillId="0" borderId="1" xfId="0" applyFont="1" applyFill="1" applyBorder="1" applyAlignment="1">
      <alignment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0" fillId="0" borderId="2" xfId="0" applyFont="1" applyBorder="1" applyAlignment="1">
      <alignment vertical="center"/>
    </xf>
    <xf numFmtId="5" fontId="20" fillId="0" borderId="2" xfId="0" applyNumberFormat="1" applyFont="1" applyBorder="1" applyAlignment="1">
      <alignment vertical="center"/>
    </xf>
    <xf numFmtId="6" fontId="20" fillId="0" borderId="2" xfId="0" applyNumberFormat="1" applyFont="1" applyBorder="1" applyAlignment="1">
      <alignment/>
    </xf>
    <xf numFmtId="0" fontId="20" fillId="0" borderId="2" xfId="0" applyFont="1" applyBorder="1" applyAlignment="1">
      <alignment/>
    </xf>
    <xf numFmtId="164" fontId="20" fillId="0" borderId="0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vertical="center"/>
    </xf>
    <xf numFmtId="5" fontId="20" fillId="0" borderId="3" xfId="0" applyNumberFormat="1" applyFont="1" applyBorder="1" applyAlignment="1">
      <alignment vertical="center"/>
    </xf>
    <xf numFmtId="6" fontId="20" fillId="0" borderId="3" xfId="0" applyNumberFormat="1" applyFont="1" applyBorder="1" applyAlignment="1">
      <alignment/>
    </xf>
    <xf numFmtId="6" fontId="24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6" fontId="24" fillId="0" borderId="1" xfId="0" applyNumberFormat="1" applyFont="1" applyBorder="1" applyAlignment="1">
      <alignment vertical="center"/>
    </xf>
    <xf numFmtId="6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6" fontId="24" fillId="0" borderId="0" xfId="0" applyNumberFormat="1" applyFont="1" applyBorder="1" applyAlignment="1">
      <alignment vertical="center"/>
    </xf>
    <xf numFmtId="5" fontId="24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10" fontId="24" fillId="0" borderId="1" xfId="21" applyNumberFormat="1" applyFont="1" applyBorder="1" applyAlignment="1">
      <alignment/>
    </xf>
    <xf numFmtId="10" fontId="24" fillId="0" borderId="1" xfId="21" applyNumberFormat="1" applyFont="1" applyBorder="1" applyAlignment="1">
      <alignment horizontal="right"/>
    </xf>
    <xf numFmtId="10" fontId="20" fillId="0" borderId="1" xfId="21" applyNumberFormat="1" applyFont="1" applyBorder="1" applyAlignment="1">
      <alignment/>
    </xf>
    <xf numFmtId="10" fontId="20" fillId="0" borderId="3" xfId="21" applyNumberFormat="1" applyFont="1" applyBorder="1" applyAlignment="1">
      <alignment/>
    </xf>
    <xf numFmtId="0" fontId="20" fillId="2" borderId="1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6" fontId="20" fillId="0" borderId="2" xfId="0" applyNumberFormat="1" applyFont="1" applyBorder="1" applyAlignment="1">
      <alignment vertical="center"/>
    </xf>
    <xf numFmtId="6" fontId="24" fillId="0" borderId="2" xfId="0" applyNumberFormat="1" applyFont="1" applyBorder="1" applyAlignment="1">
      <alignment/>
    </xf>
    <xf numFmtId="0" fontId="20" fillId="0" borderId="0" xfId="0" applyFont="1" applyFill="1" applyBorder="1" applyAlignment="1">
      <alignment vertical="center"/>
    </xf>
    <xf numFmtId="10" fontId="24" fillId="0" borderId="0" xfId="21" applyNumberFormat="1" applyFont="1" applyBorder="1" applyAlignment="1">
      <alignment/>
    </xf>
    <xf numFmtId="0" fontId="20" fillId="0" borderId="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6" fontId="24" fillId="0" borderId="5" xfId="0" applyNumberFormat="1" applyFont="1" applyBorder="1" applyAlignment="1">
      <alignment/>
    </xf>
    <xf numFmtId="10" fontId="24" fillId="0" borderId="6" xfId="21" applyNumberFormat="1" applyFont="1" applyBorder="1" applyAlignment="1">
      <alignment/>
    </xf>
    <xf numFmtId="6" fontId="24" fillId="0" borderId="7" xfId="0" applyNumberFormat="1" applyFont="1" applyBorder="1" applyAlignment="1">
      <alignment/>
    </xf>
    <xf numFmtId="10" fontId="24" fillId="0" borderId="8" xfId="21" applyNumberFormat="1" applyFont="1" applyBorder="1" applyAlignment="1">
      <alignment/>
    </xf>
    <xf numFmtId="0" fontId="23" fillId="0" borderId="0" xfId="0" applyFont="1" applyAlignment="1">
      <alignment/>
    </xf>
    <xf numFmtId="0" fontId="20" fillId="0" borderId="3" xfId="0" applyFont="1" applyBorder="1" applyAlignment="1">
      <alignment/>
    </xf>
    <xf numFmtId="6" fontId="20" fillId="0" borderId="3" xfId="0" applyNumberFormat="1" applyFont="1" applyBorder="1" applyAlignment="1">
      <alignment vertical="center"/>
    </xf>
    <xf numFmtId="164" fontId="20" fillId="0" borderId="3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0" fontId="20" fillId="0" borderId="0" xfId="0" applyFont="1" applyAlignment="1">
      <alignment vertical="top" textRotation="18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2008%20Legislative%20Budget%20Request\0809%20ExecSumm%20LBR_2007_07_19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S"/>
      <sheetName val="SUS NR"/>
      <sheetName val="BOG Gen Ofc"/>
      <sheetName val="detail"/>
      <sheetName val="Sp Units (2)"/>
      <sheetName val="Sp Units"/>
      <sheetName val="E&amp;G Core"/>
      <sheetName val="Proposal"/>
      <sheetName val="All issues"/>
    </sheetNames>
    <sheetDataSet>
      <sheetData sheetId="6">
        <row r="16">
          <cell r="E16">
            <v>14766703</v>
          </cell>
        </row>
        <row r="40">
          <cell r="E40">
            <v>1100000</v>
          </cell>
        </row>
        <row r="41">
          <cell r="E41">
            <v>3000000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view="pageBreakPreview" zoomScale="75" zoomScaleNormal="75" zoomScaleSheetLayoutView="75" workbookViewId="0" topLeftCell="A1">
      <pane xSplit="2" ySplit="7" topLeftCell="J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8" sqref="O8"/>
    </sheetView>
  </sheetViews>
  <sheetFormatPr defaultColWidth="9.140625" defaultRowHeight="12" customHeight="1"/>
  <cols>
    <col min="1" max="1" width="4.00390625" style="52" bestFit="1" customWidth="1"/>
    <col min="2" max="2" width="41.28125" style="52" customWidth="1"/>
    <col min="3" max="3" width="16.57421875" style="52" hidden="1" customWidth="1"/>
    <col min="4" max="4" width="14.8515625" style="52" hidden="1" customWidth="1"/>
    <col min="5" max="5" width="17.57421875" style="52" hidden="1" customWidth="1"/>
    <col min="6" max="6" width="16.57421875" style="52" bestFit="1" customWidth="1"/>
    <col min="7" max="7" width="4.00390625" style="52" hidden="1" customWidth="1"/>
    <col min="8" max="8" width="22.140625" style="52" hidden="1" customWidth="1"/>
    <col min="9" max="9" width="23.28125" style="52" hidden="1" customWidth="1"/>
    <col min="10" max="10" width="16.57421875" style="52" bestFit="1" customWidth="1"/>
    <col min="11" max="11" width="23.28125" style="52" hidden="1" customWidth="1"/>
    <col min="12" max="12" width="20.28125" style="52" bestFit="1" customWidth="1"/>
    <col min="13" max="13" width="4.7109375" style="52" customWidth="1"/>
    <col min="14" max="15" width="16.57421875" style="52" bestFit="1" customWidth="1"/>
    <col min="16" max="16" width="18.00390625" style="52" bestFit="1" customWidth="1"/>
    <col min="17" max="17" width="5.28125" style="68" bestFit="1" customWidth="1"/>
    <col min="18" max="18" width="9.140625" style="68" customWidth="1"/>
    <col min="19" max="16384" width="9.140625" style="52" customWidth="1"/>
  </cols>
  <sheetData>
    <row r="1" spans="2:18" s="76" customFormat="1" ht="18.75">
      <c r="B1" s="120" t="s">
        <v>122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18"/>
      <c r="R1" s="77"/>
    </row>
    <row r="2" spans="2:18" s="76" customFormat="1" ht="21" customHeight="1">
      <c r="B2" s="121" t="s">
        <v>123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18"/>
      <c r="R2" s="77"/>
    </row>
    <row r="3" spans="2:18" s="76" customFormat="1" ht="21" customHeight="1">
      <c r="B3" s="121" t="s">
        <v>127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18"/>
      <c r="R3" s="77"/>
    </row>
    <row r="4" spans="2:17" ht="21" customHeight="1">
      <c r="B4" s="61"/>
      <c r="C4" s="61"/>
      <c r="D4" s="61"/>
      <c r="E4" s="61"/>
      <c r="F4" s="61"/>
      <c r="O4" s="51"/>
      <c r="Q4" s="118"/>
    </row>
    <row r="5" spans="2:16" ht="21" customHeight="1">
      <c r="B5" s="53"/>
      <c r="C5" s="53"/>
      <c r="D5" s="53"/>
      <c r="E5" s="53"/>
      <c r="J5" s="51" t="s">
        <v>114</v>
      </c>
      <c r="N5" s="51" t="s">
        <v>106</v>
      </c>
      <c r="O5" s="51"/>
      <c r="P5" s="51" t="s">
        <v>107</v>
      </c>
    </row>
    <row r="6" spans="2:16" ht="16.5">
      <c r="B6" s="54"/>
      <c r="C6" s="116" t="s">
        <v>104</v>
      </c>
      <c r="D6" s="116"/>
      <c r="E6" s="116"/>
      <c r="F6" s="116"/>
      <c r="H6" s="117" t="s">
        <v>96</v>
      </c>
      <c r="I6" s="117"/>
      <c r="J6" s="65" t="s">
        <v>103</v>
      </c>
      <c r="K6" s="52" t="s">
        <v>109</v>
      </c>
      <c r="L6" s="51" t="s">
        <v>102</v>
      </c>
      <c r="M6" s="51"/>
      <c r="N6" s="51" t="s">
        <v>110</v>
      </c>
      <c r="O6" s="51" t="s">
        <v>112</v>
      </c>
      <c r="P6" s="51" t="s">
        <v>128</v>
      </c>
    </row>
    <row r="7" spans="2:16" ht="16.5" customHeight="1">
      <c r="B7" s="54" t="s">
        <v>98</v>
      </c>
      <c r="C7" s="55" t="s">
        <v>82</v>
      </c>
      <c r="D7" s="55" t="s">
        <v>85</v>
      </c>
      <c r="E7" s="55" t="s">
        <v>105</v>
      </c>
      <c r="F7" s="94" t="s">
        <v>103</v>
      </c>
      <c r="H7" s="55" t="s">
        <v>82</v>
      </c>
      <c r="I7" s="55" t="s">
        <v>85</v>
      </c>
      <c r="J7" s="111" t="s">
        <v>126</v>
      </c>
      <c r="K7" s="51" t="s">
        <v>103</v>
      </c>
      <c r="L7" s="78" t="s">
        <v>103</v>
      </c>
      <c r="M7" s="65"/>
      <c r="N7" s="78" t="s">
        <v>111</v>
      </c>
      <c r="O7" s="78" t="s">
        <v>129</v>
      </c>
      <c r="P7" s="78" t="s">
        <v>108</v>
      </c>
    </row>
    <row r="8" spans="2:14" ht="16.5">
      <c r="B8" s="100" t="s">
        <v>115</v>
      </c>
      <c r="C8" s="57"/>
      <c r="D8" s="57"/>
      <c r="E8" s="57"/>
      <c r="F8" s="68"/>
      <c r="G8" s="68"/>
      <c r="H8" s="57"/>
      <c r="I8" s="57"/>
      <c r="J8" s="57"/>
      <c r="K8" s="57"/>
      <c r="L8" s="57"/>
      <c r="M8" s="57"/>
      <c r="N8" s="68"/>
    </row>
    <row r="9" spans="1:13" ht="18.75" customHeight="1" hidden="1">
      <c r="A9" s="75">
        <v>1</v>
      </c>
      <c r="B9" s="69" t="s">
        <v>1</v>
      </c>
      <c r="C9" s="62">
        <v>392475602</v>
      </c>
      <c r="D9" s="62">
        <v>25839152</v>
      </c>
      <c r="E9" s="62">
        <v>180857340</v>
      </c>
      <c r="F9" s="64">
        <f>SUM(C9:E9)</f>
        <v>599172094</v>
      </c>
      <c r="G9" s="63"/>
      <c r="H9" s="62">
        <v>10649993</v>
      </c>
      <c r="I9" s="62">
        <v>26929</v>
      </c>
      <c r="J9" s="62">
        <f>SUM(H9:I9)</f>
        <v>10676922</v>
      </c>
      <c r="K9" s="62">
        <f aca="true" t="shared" si="0" ref="K9:K21">+C9-H9</f>
        <v>381825609</v>
      </c>
      <c r="L9" s="62">
        <f aca="true" t="shared" si="1" ref="L9:L21">+F9-H9-I9</f>
        <v>588495172</v>
      </c>
      <c r="M9" s="62"/>
    </row>
    <row r="10" spans="1:13" ht="18.75" customHeight="1" hidden="1">
      <c r="A10" s="75">
        <f aca="true" t="shared" si="2" ref="A10:A21">+A9+1</f>
        <v>2</v>
      </c>
      <c r="B10" s="69" t="s">
        <v>2</v>
      </c>
      <c r="C10" s="62">
        <v>306874929</v>
      </c>
      <c r="D10" s="62">
        <v>23893629</v>
      </c>
      <c r="E10" s="62">
        <v>132282130</v>
      </c>
      <c r="F10" s="64">
        <f aca="true" t="shared" si="3" ref="F10:F21">SUM(C10:E10)</f>
        <v>463050688</v>
      </c>
      <c r="G10" s="63"/>
      <c r="H10" s="62">
        <v>4122533</v>
      </c>
      <c r="I10" s="62">
        <v>1052403</v>
      </c>
      <c r="J10" s="62">
        <f aca="true" t="shared" si="4" ref="J10:J21">SUM(H10:I10)</f>
        <v>5174936</v>
      </c>
      <c r="K10" s="62">
        <f t="shared" si="0"/>
        <v>302752396</v>
      </c>
      <c r="L10" s="62">
        <f t="shared" si="1"/>
        <v>457875752</v>
      </c>
      <c r="M10" s="62"/>
    </row>
    <row r="11" spans="1:13" ht="18.75" customHeight="1" hidden="1">
      <c r="A11" s="75">
        <f t="shared" si="2"/>
        <v>3</v>
      </c>
      <c r="B11" s="69" t="s">
        <v>3</v>
      </c>
      <c r="C11" s="62">
        <v>117953603</v>
      </c>
      <c r="D11" s="62">
        <v>8839567</v>
      </c>
      <c r="E11" s="62">
        <v>51404918</v>
      </c>
      <c r="F11" s="64">
        <f t="shared" si="3"/>
        <v>178198088</v>
      </c>
      <c r="G11" s="63"/>
      <c r="H11" s="62">
        <v>1263737</v>
      </c>
      <c r="I11" s="62"/>
      <c r="J11" s="62">
        <f t="shared" si="4"/>
        <v>1263737</v>
      </c>
      <c r="K11" s="62">
        <f t="shared" si="0"/>
        <v>116689866</v>
      </c>
      <c r="L11" s="62">
        <f t="shared" si="1"/>
        <v>176934351</v>
      </c>
      <c r="M11" s="62"/>
    </row>
    <row r="12" spans="1:13" ht="18.75" customHeight="1" hidden="1">
      <c r="A12" s="75">
        <f t="shared" si="2"/>
        <v>4</v>
      </c>
      <c r="B12" s="69" t="s">
        <v>4</v>
      </c>
      <c r="C12" s="62">
        <v>236861829</v>
      </c>
      <c r="D12" s="62">
        <v>22572213</v>
      </c>
      <c r="E12" s="62">
        <f>103210686+7242068</f>
        <v>110452754</v>
      </c>
      <c r="F12" s="64">
        <f t="shared" si="3"/>
        <v>369886796</v>
      </c>
      <c r="G12" s="63"/>
      <c r="H12" s="62">
        <v>3302130</v>
      </c>
      <c r="I12" s="62">
        <v>127854</v>
      </c>
      <c r="J12" s="62">
        <f t="shared" si="4"/>
        <v>3429984</v>
      </c>
      <c r="K12" s="62">
        <f t="shared" si="0"/>
        <v>233559699</v>
      </c>
      <c r="L12" s="62">
        <f t="shared" si="1"/>
        <v>366456812</v>
      </c>
      <c r="M12" s="62"/>
    </row>
    <row r="13" spans="1:13" ht="18.75" customHeight="1" hidden="1">
      <c r="A13" s="75">
        <f t="shared" si="2"/>
        <v>5</v>
      </c>
      <c r="B13" s="69" t="s">
        <v>5</v>
      </c>
      <c r="C13" s="62">
        <v>179273516</v>
      </c>
      <c r="D13" s="62">
        <v>11881615</v>
      </c>
      <c r="E13" s="62">
        <v>71726292</v>
      </c>
      <c r="F13" s="64">
        <f t="shared" si="3"/>
        <v>262881423</v>
      </c>
      <c r="G13" s="63"/>
      <c r="H13" s="62">
        <v>6783090</v>
      </c>
      <c r="I13" s="62">
        <v>63320</v>
      </c>
      <c r="J13" s="62">
        <f t="shared" si="4"/>
        <v>6846410</v>
      </c>
      <c r="K13" s="62">
        <f t="shared" si="0"/>
        <v>172490426</v>
      </c>
      <c r="L13" s="62">
        <f t="shared" si="1"/>
        <v>256035013</v>
      </c>
      <c r="M13" s="62"/>
    </row>
    <row r="14" spans="1:13" ht="18.75" customHeight="1" hidden="1">
      <c r="A14" s="75">
        <f t="shared" si="2"/>
        <v>6</v>
      </c>
      <c r="B14" s="69" t="s">
        <v>6</v>
      </c>
      <c r="C14" s="62">
        <v>71223547</v>
      </c>
      <c r="D14" s="62">
        <v>6221355</v>
      </c>
      <c r="E14" s="62">
        <v>25381298</v>
      </c>
      <c r="F14" s="64">
        <f t="shared" si="3"/>
        <v>102826200</v>
      </c>
      <c r="G14" s="63"/>
      <c r="H14" s="62">
        <v>5039737</v>
      </c>
      <c r="I14" s="62">
        <v>1507400</v>
      </c>
      <c r="J14" s="62">
        <f t="shared" si="4"/>
        <v>6547137</v>
      </c>
      <c r="K14" s="62">
        <f t="shared" si="0"/>
        <v>66183810</v>
      </c>
      <c r="L14" s="62">
        <f t="shared" si="1"/>
        <v>96279063</v>
      </c>
      <c r="M14" s="62"/>
    </row>
    <row r="15" spans="1:13" ht="18.75" customHeight="1" hidden="1">
      <c r="A15" s="75">
        <f t="shared" si="2"/>
        <v>7</v>
      </c>
      <c r="B15" s="69" t="s">
        <v>7</v>
      </c>
      <c r="C15" s="62">
        <v>267221229</v>
      </c>
      <c r="D15" s="62">
        <v>21832279</v>
      </c>
      <c r="E15" s="62">
        <v>134532745</v>
      </c>
      <c r="F15" s="64">
        <f t="shared" si="3"/>
        <v>423586253</v>
      </c>
      <c r="G15" s="63"/>
      <c r="H15" s="62">
        <v>3281647</v>
      </c>
      <c r="I15" s="62">
        <v>364275</v>
      </c>
      <c r="J15" s="62">
        <f t="shared" si="4"/>
        <v>3645922</v>
      </c>
      <c r="K15" s="62">
        <f t="shared" si="0"/>
        <v>263939582</v>
      </c>
      <c r="L15" s="62">
        <f t="shared" si="1"/>
        <v>419940331</v>
      </c>
      <c r="M15" s="62"/>
    </row>
    <row r="16" spans="1:13" ht="18.75" customHeight="1" hidden="1">
      <c r="A16" s="75">
        <f t="shared" si="2"/>
        <v>8</v>
      </c>
      <c r="B16" s="69" t="s">
        <v>8</v>
      </c>
      <c r="C16" s="62">
        <v>217164798</v>
      </c>
      <c r="D16" s="62">
        <v>19913076</v>
      </c>
      <c r="E16" s="62">
        <v>116993470</v>
      </c>
      <c r="F16" s="64">
        <f t="shared" si="3"/>
        <v>354071344</v>
      </c>
      <c r="G16" s="63"/>
      <c r="H16" s="62">
        <v>7610545</v>
      </c>
      <c r="I16" s="62">
        <v>1027785</v>
      </c>
      <c r="J16" s="62">
        <f t="shared" si="4"/>
        <v>8638330</v>
      </c>
      <c r="K16" s="62">
        <f t="shared" si="0"/>
        <v>209554253</v>
      </c>
      <c r="L16" s="62">
        <f t="shared" si="1"/>
        <v>345433014</v>
      </c>
      <c r="M16" s="62"/>
    </row>
    <row r="17" spans="1:13" ht="18.75" customHeight="1" hidden="1">
      <c r="A17" s="75">
        <f t="shared" si="2"/>
        <v>9</v>
      </c>
      <c r="B17" s="69" t="s">
        <v>9</v>
      </c>
      <c r="C17" s="62">
        <v>83253351</v>
      </c>
      <c r="D17" s="62">
        <v>8237233</v>
      </c>
      <c r="E17" s="62">
        <v>44186756</v>
      </c>
      <c r="F17" s="64">
        <f t="shared" si="3"/>
        <v>135677340</v>
      </c>
      <c r="G17" s="63"/>
      <c r="H17" s="62">
        <v>885199</v>
      </c>
      <c r="I17" s="62">
        <v>61622</v>
      </c>
      <c r="J17" s="62">
        <f t="shared" si="4"/>
        <v>946821</v>
      </c>
      <c r="K17" s="62">
        <f t="shared" si="0"/>
        <v>82368152</v>
      </c>
      <c r="L17" s="62">
        <f t="shared" si="1"/>
        <v>134730519</v>
      </c>
      <c r="M17" s="62"/>
    </row>
    <row r="18" spans="1:13" ht="18.75" customHeight="1" hidden="1">
      <c r="A18" s="75">
        <f t="shared" si="2"/>
        <v>10</v>
      </c>
      <c r="B18" s="69" t="s">
        <v>10</v>
      </c>
      <c r="C18" s="62">
        <v>52594134</v>
      </c>
      <c r="D18" s="62">
        <v>4625216</v>
      </c>
      <c r="E18" s="62">
        <v>27042842</v>
      </c>
      <c r="F18" s="64">
        <f t="shared" si="3"/>
        <v>84262192</v>
      </c>
      <c r="G18" s="63"/>
      <c r="H18" s="62">
        <v>1952790</v>
      </c>
      <c r="I18" s="62">
        <v>227444</v>
      </c>
      <c r="J18" s="62">
        <f t="shared" si="4"/>
        <v>2180234</v>
      </c>
      <c r="K18" s="62">
        <f t="shared" si="0"/>
        <v>50641344</v>
      </c>
      <c r="L18" s="62">
        <f t="shared" si="1"/>
        <v>82081958</v>
      </c>
      <c r="M18" s="62"/>
    </row>
    <row r="19" spans="1:13" ht="18.75" customHeight="1" hidden="1">
      <c r="A19" s="75">
        <f t="shared" si="2"/>
        <v>11</v>
      </c>
      <c r="B19" s="69" t="s">
        <v>19</v>
      </c>
      <c r="C19" s="62">
        <v>18407946</v>
      </c>
      <c r="D19" s="62">
        <v>297544</v>
      </c>
      <c r="E19" s="62">
        <v>3990616</v>
      </c>
      <c r="F19" s="64">
        <f t="shared" si="3"/>
        <v>22696106</v>
      </c>
      <c r="G19" s="63"/>
      <c r="H19" s="62">
        <v>335545</v>
      </c>
      <c r="I19" s="62">
        <v>4004</v>
      </c>
      <c r="J19" s="62">
        <f t="shared" si="4"/>
        <v>339549</v>
      </c>
      <c r="K19" s="62">
        <f t="shared" si="0"/>
        <v>18072401</v>
      </c>
      <c r="L19" s="62">
        <f t="shared" si="1"/>
        <v>22356557</v>
      </c>
      <c r="M19" s="62"/>
    </row>
    <row r="20" spans="1:13" ht="18.75" customHeight="1" hidden="1">
      <c r="A20" s="75">
        <f t="shared" si="2"/>
        <v>12</v>
      </c>
      <c r="B20" s="69" t="s">
        <v>83</v>
      </c>
      <c r="C20" s="62">
        <v>27502101</v>
      </c>
      <c r="D20" s="62">
        <v>359880</v>
      </c>
      <c r="E20" s="62">
        <v>7848566</v>
      </c>
      <c r="F20" s="64">
        <f t="shared" si="3"/>
        <v>35710547</v>
      </c>
      <c r="G20" s="63"/>
      <c r="H20" s="62"/>
      <c r="I20" s="62"/>
      <c r="J20" s="62">
        <f t="shared" si="4"/>
        <v>0</v>
      </c>
      <c r="K20" s="62">
        <f t="shared" si="0"/>
        <v>27502101</v>
      </c>
      <c r="L20" s="62">
        <f t="shared" si="1"/>
        <v>35710547</v>
      </c>
      <c r="M20" s="62"/>
    </row>
    <row r="21" spans="1:13" ht="18.75" customHeight="1" hidden="1">
      <c r="A21" s="75">
        <f t="shared" si="2"/>
        <v>13</v>
      </c>
      <c r="B21" s="69" t="s">
        <v>84</v>
      </c>
      <c r="C21" s="62">
        <v>15038387</v>
      </c>
      <c r="D21" s="62">
        <v>937035</v>
      </c>
      <c r="E21" s="62">
        <v>4340099</v>
      </c>
      <c r="F21" s="64">
        <f t="shared" si="3"/>
        <v>20315521</v>
      </c>
      <c r="G21" s="63"/>
      <c r="H21" s="62"/>
      <c r="I21" s="62"/>
      <c r="J21" s="62">
        <f t="shared" si="4"/>
        <v>0</v>
      </c>
      <c r="K21" s="62">
        <f t="shared" si="0"/>
        <v>15038387</v>
      </c>
      <c r="L21" s="62">
        <f t="shared" si="1"/>
        <v>20315521</v>
      </c>
      <c r="M21" s="62"/>
    </row>
    <row r="22" spans="1:18" s="72" customFormat="1" ht="16.5">
      <c r="A22" s="75">
        <v>1</v>
      </c>
      <c r="B22" s="74" t="s">
        <v>97</v>
      </c>
      <c r="C22" s="58">
        <f>SUM(C9:C21)</f>
        <v>1985844972</v>
      </c>
      <c r="D22" s="58">
        <f>SUM(D9:D21)</f>
        <v>155449794</v>
      </c>
      <c r="E22" s="58">
        <f>SUM(E9:E21)</f>
        <v>911039826</v>
      </c>
      <c r="F22" s="87">
        <f>SUM(F9:F21)+30000000</f>
        <v>3082334592</v>
      </c>
      <c r="G22" s="88"/>
      <c r="H22" s="89">
        <f>SUM(H9:H21)</f>
        <v>45226946</v>
      </c>
      <c r="I22" s="89">
        <f>SUM(I9:I21)</f>
        <v>4463036</v>
      </c>
      <c r="J22" s="89">
        <f>SUM(J9:J21)+100000000+30000000</f>
        <v>179689982</v>
      </c>
      <c r="K22" s="89">
        <f>SUM(K9:K21)</f>
        <v>1940618026</v>
      </c>
      <c r="L22" s="89">
        <f>+F22-H22-I22-100000000-30000000</f>
        <v>2902644610</v>
      </c>
      <c r="M22" s="89"/>
      <c r="N22" s="89">
        <v>317217861</v>
      </c>
      <c r="O22" s="87">
        <f>+L22+N22</f>
        <v>3219862471</v>
      </c>
      <c r="P22" s="95">
        <f>O22/F22-1</f>
        <v>0.0446180889501564</v>
      </c>
      <c r="Q22" s="68"/>
      <c r="R22" s="68"/>
    </row>
    <row r="23" spans="1:16" s="68" customFormat="1" ht="18.75" customHeight="1" hidden="1">
      <c r="A23" s="75">
        <v>1</v>
      </c>
      <c r="B23" s="66" t="s">
        <v>1</v>
      </c>
      <c r="C23" s="57">
        <v>4922123</v>
      </c>
      <c r="D23" s="57"/>
      <c r="E23" s="57"/>
      <c r="F23" s="90">
        <f aca="true" t="shared" si="5" ref="F23:F34">+D23+C23</f>
        <v>4922123</v>
      </c>
      <c r="G23" s="91"/>
      <c r="H23" s="92"/>
      <c r="I23" s="92"/>
      <c r="J23" s="89">
        <f aca="true" t="shared" si="6" ref="J23:J35">SUM(H23:I23)</f>
        <v>0</v>
      </c>
      <c r="K23" s="92"/>
      <c r="L23" s="92">
        <f>+F23</f>
        <v>4922123</v>
      </c>
      <c r="M23" s="92"/>
      <c r="N23" s="91"/>
      <c r="O23" s="91"/>
      <c r="P23" s="95">
        <f>O23/F23-1</f>
        <v>-1</v>
      </c>
    </row>
    <row r="24" spans="1:16" s="68" customFormat="1" ht="18.75" customHeight="1" hidden="1">
      <c r="A24" s="75">
        <v>1</v>
      </c>
      <c r="B24" s="66" t="s">
        <v>2</v>
      </c>
      <c r="C24" s="57">
        <v>4158006</v>
      </c>
      <c r="D24" s="57"/>
      <c r="E24" s="57"/>
      <c r="F24" s="90">
        <f t="shared" si="5"/>
        <v>4158006</v>
      </c>
      <c r="G24" s="91"/>
      <c r="H24" s="92"/>
      <c r="I24" s="92"/>
      <c r="J24" s="89">
        <f t="shared" si="6"/>
        <v>0</v>
      </c>
      <c r="K24" s="92"/>
      <c r="L24" s="92">
        <f aca="true" t="shared" si="7" ref="L24:L33">+F24</f>
        <v>4158006</v>
      </c>
      <c r="M24" s="92"/>
      <c r="N24" s="91"/>
      <c r="O24" s="91"/>
      <c r="P24" s="95">
        <f aca="true" t="shared" si="8" ref="P22:P38">O24/L24-1</f>
        <v>-1</v>
      </c>
    </row>
    <row r="25" spans="1:16" s="68" customFormat="1" ht="18.75" customHeight="1" hidden="1">
      <c r="A25" s="75">
        <v>1</v>
      </c>
      <c r="B25" s="66" t="s">
        <v>3</v>
      </c>
      <c r="C25" s="57">
        <v>1769020</v>
      </c>
      <c r="D25" s="57"/>
      <c r="E25" s="57"/>
      <c r="F25" s="90">
        <f t="shared" si="5"/>
        <v>1769020</v>
      </c>
      <c r="G25" s="91"/>
      <c r="H25" s="92"/>
      <c r="I25" s="92"/>
      <c r="J25" s="89">
        <f t="shared" si="6"/>
        <v>0</v>
      </c>
      <c r="K25" s="92"/>
      <c r="L25" s="92">
        <f t="shared" si="7"/>
        <v>1769020</v>
      </c>
      <c r="M25" s="92"/>
      <c r="N25" s="91"/>
      <c r="O25" s="91"/>
      <c r="P25" s="95">
        <f t="shared" si="8"/>
        <v>-1</v>
      </c>
    </row>
    <row r="26" spans="1:16" s="68" customFormat="1" ht="18.75" customHeight="1" hidden="1">
      <c r="A26" s="75">
        <v>1</v>
      </c>
      <c r="B26" s="66" t="s">
        <v>4</v>
      </c>
      <c r="C26" s="57">
        <v>2411988</v>
      </c>
      <c r="D26" s="57"/>
      <c r="E26" s="57"/>
      <c r="F26" s="90">
        <f t="shared" si="5"/>
        <v>2411988</v>
      </c>
      <c r="G26" s="91"/>
      <c r="H26" s="92"/>
      <c r="I26" s="92"/>
      <c r="J26" s="89">
        <f t="shared" si="6"/>
        <v>0</v>
      </c>
      <c r="K26" s="92"/>
      <c r="L26" s="92">
        <f t="shared" si="7"/>
        <v>2411988</v>
      </c>
      <c r="M26" s="92"/>
      <c r="N26" s="91"/>
      <c r="O26" s="91"/>
      <c r="P26" s="95">
        <f t="shared" si="8"/>
        <v>-1</v>
      </c>
    </row>
    <row r="27" spans="1:16" s="68" customFormat="1" ht="18.75" customHeight="1" hidden="1">
      <c r="A27" s="75">
        <v>1</v>
      </c>
      <c r="B27" s="66" t="s">
        <v>5</v>
      </c>
      <c r="C27" s="57">
        <v>1132259</v>
      </c>
      <c r="D27" s="57"/>
      <c r="E27" s="57"/>
      <c r="F27" s="90">
        <f t="shared" si="5"/>
        <v>1132259</v>
      </c>
      <c r="G27" s="91"/>
      <c r="H27" s="92"/>
      <c r="I27" s="92"/>
      <c r="J27" s="89">
        <f t="shared" si="6"/>
        <v>0</v>
      </c>
      <c r="K27" s="92"/>
      <c r="L27" s="92">
        <f t="shared" si="7"/>
        <v>1132259</v>
      </c>
      <c r="M27" s="92"/>
      <c r="N27" s="91"/>
      <c r="O27" s="91"/>
      <c r="P27" s="95">
        <f t="shared" si="8"/>
        <v>-1</v>
      </c>
    </row>
    <row r="28" spans="1:16" s="68" customFormat="1" ht="18.75" customHeight="1" hidden="1">
      <c r="A28" s="75">
        <v>1</v>
      </c>
      <c r="B28" s="66" t="s">
        <v>6</v>
      </c>
      <c r="C28" s="57">
        <v>446963</v>
      </c>
      <c r="D28" s="57"/>
      <c r="E28" s="57"/>
      <c r="F28" s="90">
        <f t="shared" si="5"/>
        <v>446963</v>
      </c>
      <c r="G28" s="91"/>
      <c r="H28" s="92"/>
      <c r="I28" s="92"/>
      <c r="J28" s="89">
        <f t="shared" si="6"/>
        <v>0</v>
      </c>
      <c r="K28" s="92"/>
      <c r="L28" s="92">
        <f t="shared" si="7"/>
        <v>446963</v>
      </c>
      <c r="M28" s="92"/>
      <c r="N28" s="91"/>
      <c r="O28" s="91"/>
      <c r="P28" s="95">
        <f t="shared" si="8"/>
        <v>-1</v>
      </c>
    </row>
    <row r="29" spans="1:16" s="68" customFormat="1" ht="18.75" customHeight="1" hidden="1">
      <c r="A29" s="75">
        <v>1</v>
      </c>
      <c r="B29" s="66" t="s">
        <v>7</v>
      </c>
      <c r="C29" s="57">
        <v>2431925</v>
      </c>
      <c r="D29" s="57"/>
      <c r="E29" s="57"/>
      <c r="F29" s="90">
        <f t="shared" si="5"/>
        <v>2431925</v>
      </c>
      <c r="G29" s="91"/>
      <c r="H29" s="92"/>
      <c r="I29" s="92"/>
      <c r="J29" s="89">
        <f t="shared" si="6"/>
        <v>0</v>
      </c>
      <c r="K29" s="92"/>
      <c r="L29" s="92">
        <f t="shared" si="7"/>
        <v>2431925</v>
      </c>
      <c r="M29" s="92"/>
      <c r="N29" s="91"/>
      <c r="O29" s="91"/>
      <c r="P29" s="95">
        <f t="shared" si="8"/>
        <v>-1</v>
      </c>
    </row>
    <row r="30" spans="1:16" s="68" customFormat="1" ht="18.75" customHeight="1" hidden="1">
      <c r="A30" s="75">
        <v>1</v>
      </c>
      <c r="B30" s="66" t="s">
        <v>8</v>
      </c>
      <c r="C30" s="57">
        <v>1531744</v>
      </c>
      <c r="D30" s="57"/>
      <c r="E30" s="57"/>
      <c r="F30" s="90">
        <f t="shared" si="5"/>
        <v>1531744</v>
      </c>
      <c r="G30" s="91"/>
      <c r="H30" s="92"/>
      <c r="I30" s="92"/>
      <c r="J30" s="89">
        <f t="shared" si="6"/>
        <v>0</v>
      </c>
      <c r="K30" s="92"/>
      <c r="L30" s="92">
        <f t="shared" si="7"/>
        <v>1531744</v>
      </c>
      <c r="M30" s="92"/>
      <c r="N30" s="91"/>
      <c r="O30" s="91"/>
      <c r="P30" s="95">
        <f t="shared" si="8"/>
        <v>-1</v>
      </c>
    </row>
    <row r="31" spans="1:16" s="68" customFormat="1" ht="18.75" customHeight="1" hidden="1">
      <c r="A31" s="75">
        <v>1</v>
      </c>
      <c r="B31" s="66" t="s">
        <v>9</v>
      </c>
      <c r="C31" s="57">
        <v>568227</v>
      </c>
      <c r="D31" s="57"/>
      <c r="E31" s="57"/>
      <c r="F31" s="90">
        <f t="shared" si="5"/>
        <v>568227</v>
      </c>
      <c r="G31" s="91"/>
      <c r="H31" s="92"/>
      <c r="I31" s="92"/>
      <c r="J31" s="89">
        <f t="shared" si="6"/>
        <v>0</v>
      </c>
      <c r="K31" s="92"/>
      <c r="L31" s="92">
        <f t="shared" si="7"/>
        <v>568227</v>
      </c>
      <c r="M31" s="92"/>
      <c r="N31" s="91"/>
      <c r="O31" s="91"/>
      <c r="P31" s="95">
        <f t="shared" si="8"/>
        <v>-1</v>
      </c>
    </row>
    <row r="32" spans="1:16" s="68" customFormat="1" ht="18.75" customHeight="1" hidden="1">
      <c r="A32" s="75">
        <v>1</v>
      </c>
      <c r="B32" s="66" t="s">
        <v>10</v>
      </c>
      <c r="C32" s="57">
        <v>277849</v>
      </c>
      <c r="D32" s="57"/>
      <c r="E32" s="57"/>
      <c r="F32" s="90">
        <f t="shared" si="5"/>
        <v>277849</v>
      </c>
      <c r="G32" s="91"/>
      <c r="H32" s="92"/>
      <c r="I32" s="92"/>
      <c r="J32" s="89">
        <f t="shared" si="6"/>
        <v>0</v>
      </c>
      <c r="K32" s="92"/>
      <c r="L32" s="92">
        <f t="shared" si="7"/>
        <v>277849</v>
      </c>
      <c r="M32" s="92"/>
      <c r="N32" s="91"/>
      <c r="O32" s="91"/>
      <c r="P32" s="95">
        <f t="shared" si="8"/>
        <v>-1</v>
      </c>
    </row>
    <row r="33" spans="1:16" s="68" customFormat="1" ht="21" customHeight="1" hidden="1">
      <c r="A33" s="75">
        <v>1</v>
      </c>
      <c r="B33" s="66" t="s">
        <v>19</v>
      </c>
      <c r="C33" s="57">
        <v>579103</v>
      </c>
      <c r="D33" s="57"/>
      <c r="E33" s="57"/>
      <c r="F33" s="90">
        <f t="shared" si="5"/>
        <v>579103</v>
      </c>
      <c r="G33" s="91"/>
      <c r="H33" s="92"/>
      <c r="I33" s="92"/>
      <c r="J33" s="89">
        <f t="shared" si="6"/>
        <v>0</v>
      </c>
      <c r="K33" s="92"/>
      <c r="L33" s="92">
        <f t="shared" si="7"/>
        <v>579103</v>
      </c>
      <c r="M33" s="92"/>
      <c r="N33" s="91"/>
      <c r="O33" s="91"/>
      <c r="P33" s="95">
        <f t="shared" si="8"/>
        <v>-1</v>
      </c>
    </row>
    <row r="34" spans="1:18" s="72" customFormat="1" ht="16.5">
      <c r="A34" s="75">
        <f>+A22+1</f>
        <v>2</v>
      </c>
      <c r="B34" s="74" t="s">
        <v>94</v>
      </c>
      <c r="C34" s="58">
        <f>SUM(C23:C33)</f>
        <v>20229207</v>
      </c>
      <c r="D34" s="58"/>
      <c r="E34" s="58"/>
      <c r="F34" s="87">
        <f t="shared" si="5"/>
        <v>20229207</v>
      </c>
      <c r="G34" s="88"/>
      <c r="H34" s="89"/>
      <c r="I34" s="89"/>
      <c r="J34" s="89">
        <f t="shared" si="6"/>
        <v>0</v>
      </c>
      <c r="K34" s="89">
        <f>+C34-H34</f>
        <v>20229207</v>
      </c>
      <c r="L34" s="89">
        <f>+F34-H34-I34</f>
        <v>20229207</v>
      </c>
      <c r="M34" s="89"/>
      <c r="N34" s="88">
        <v>0</v>
      </c>
      <c r="O34" s="87">
        <f>+L34+N34</f>
        <v>20229207</v>
      </c>
      <c r="P34" s="95">
        <f t="shared" si="8"/>
        <v>0</v>
      </c>
      <c r="Q34" s="68"/>
      <c r="R34" s="68"/>
    </row>
    <row r="35" spans="1:18" s="72" customFormat="1" ht="16.5">
      <c r="A35" s="75">
        <f aca="true" t="shared" si="9" ref="A35:A43">+A34+1</f>
        <v>3</v>
      </c>
      <c r="B35" s="73" t="s">
        <v>116</v>
      </c>
      <c r="C35" s="58">
        <f>SUM(C45:C51)</f>
        <v>170510166</v>
      </c>
      <c r="D35" s="58"/>
      <c r="E35" s="58"/>
      <c r="F35" s="87">
        <v>12771962</v>
      </c>
      <c r="G35" s="88"/>
      <c r="H35" s="89"/>
      <c r="I35" s="89"/>
      <c r="J35" s="89">
        <f t="shared" si="6"/>
        <v>0</v>
      </c>
      <c r="K35" s="89">
        <f>+C35-H35</f>
        <v>170510166</v>
      </c>
      <c r="L35" s="89">
        <f>+F35-H35-I35</f>
        <v>12771962</v>
      </c>
      <c r="M35" s="89"/>
      <c r="N35" s="88">
        <v>0</v>
      </c>
      <c r="O35" s="87">
        <f>+L35+N35</f>
        <v>12771962</v>
      </c>
      <c r="P35" s="95">
        <f t="shared" si="8"/>
        <v>0</v>
      </c>
      <c r="Q35" s="68"/>
      <c r="R35" s="68"/>
    </row>
    <row r="36" spans="1:18" s="72" customFormat="1" ht="16.5">
      <c r="A36" s="75">
        <f t="shared" si="9"/>
        <v>4</v>
      </c>
      <c r="B36" s="74" t="s">
        <v>117</v>
      </c>
      <c r="C36" s="58"/>
      <c r="D36" s="58"/>
      <c r="E36" s="58"/>
      <c r="F36" s="87">
        <f>SUM(F35+F34+F22)</f>
        <v>3115335761</v>
      </c>
      <c r="G36" s="87">
        <f aca="true" t="shared" si="10" ref="G36:N36">SUM(G35+G34+G22)</f>
        <v>0</v>
      </c>
      <c r="H36" s="87">
        <f t="shared" si="10"/>
        <v>45226946</v>
      </c>
      <c r="I36" s="87">
        <f t="shared" si="10"/>
        <v>4463036</v>
      </c>
      <c r="J36" s="87">
        <f t="shared" si="10"/>
        <v>179689982</v>
      </c>
      <c r="K36" s="87">
        <f t="shared" si="10"/>
        <v>2131357399</v>
      </c>
      <c r="L36" s="87">
        <f>SUM(L35+L34+L22)</f>
        <v>2935645779</v>
      </c>
      <c r="M36" s="87"/>
      <c r="N36" s="87">
        <f t="shared" si="10"/>
        <v>317217861</v>
      </c>
      <c r="O36" s="87">
        <f>SUM(O35+O34+O22)</f>
        <v>3252863640</v>
      </c>
      <c r="P36" s="95">
        <f>O36/F36-1</f>
        <v>0.04414544355753636</v>
      </c>
      <c r="Q36" s="68"/>
      <c r="R36" s="68"/>
    </row>
    <row r="37" spans="1:18" s="72" customFormat="1" ht="16.5" hidden="1">
      <c r="A37" s="75"/>
      <c r="B37" s="105" t="s">
        <v>121</v>
      </c>
      <c r="C37" s="101"/>
      <c r="D37" s="101"/>
      <c r="E37" s="101"/>
      <c r="F37" s="102"/>
      <c r="G37" s="102"/>
      <c r="H37" s="102"/>
      <c r="I37" s="102"/>
      <c r="J37" s="102"/>
      <c r="K37" s="102"/>
      <c r="L37" s="107">
        <f>O37-N37</f>
        <v>2028705953</v>
      </c>
      <c r="M37" s="102"/>
      <c r="N37" s="102">
        <f>N36-N38</f>
        <v>298351158</v>
      </c>
      <c r="O37" s="102">
        <f>O36-O38</f>
        <v>2327057111</v>
      </c>
      <c r="P37" s="108">
        <f t="shared" si="8"/>
        <v>0.14706476192806828</v>
      </c>
      <c r="Q37" s="68"/>
      <c r="R37" s="68"/>
    </row>
    <row r="38" spans="1:18" s="72" customFormat="1" ht="16.5" hidden="1">
      <c r="A38" s="75"/>
      <c r="B38" s="106" t="s">
        <v>120</v>
      </c>
      <c r="C38" s="57"/>
      <c r="D38" s="57"/>
      <c r="E38" s="57"/>
      <c r="F38" s="90"/>
      <c r="G38" s="90"/>
      <c r="H38" s="90"/>
      <c r="I38" s="90"/>
      <c r="J38" s="90"/>
      <c r="K38" s="90"/>
      <c r="L38" s="109">
        <f>O38-N38</f>
        <v>906939826</v>
      </c>
      <c r="M38" s="87"/>
      <c r="N38" s="87">
        <f>'[1]E&amp;G Core'!$E$40+'[1]E&amp;G Core'!$E$41+'[1]E&amp;G Core'!$E$16</f>
        <v>18866703</v>
      </c>
      <c r="O38" s="87">
        <v>925806529</v>
      </c>
      <c r="P38" s="110">
        <f t="shared" si="8"/>
        <v>0.020802596224283487</v>
      </c>
      <c r="Q38" s="68"/>
      <c r="R38" s="68"/>
    </row>
    <row r="39" spans="1:18" s="72" customFormat="1" ht="16.5" hidden="1">
      <c r="A39" s="75"/>
      <c r="B39" s="103"/>
      <c r="C39" s="57"/>
      <c r="D39" s="57"/>
      <c r="E39" s="57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104"/>
      <c r="Q39" s="68"/>
      <c r="R39" s="68"/>
    </row>
    <row r="40" spans="1:18" s="72" customFormat="1" ht="16.5">
      <c r="A40" s="75">
        <f>+A36+1</f>
        <v>5</v>
      </c>
      <c r="B40" s="74"/>
      <c r="C40" s="58"/>
      <c r="D40" s="58"/>
      <c r="E40" s="58"/>
      <c r="F40" s="87"/>
      <c r="G40" s="88"/>
      <c r="H40" s="89"/>
      <c r="I40" s="89"/>
      <c r="J40" s="89"/>
      <c r="K40" s="89"/>
      <c r="L40" s="89"/>
      <c r="M40" s="89"/>
      <c r="N40" s="89"/>
      <c r="O40" s="87"/>
      <c r="P40" s="95"/>
      <c r="Q40" s="68"/>
      <c r="R40" s="68"/>
    </row>
    <row r="41" spans="1:18" s="72" customFormat="1" ht="16.5">
      <c r="A41" s="75">
        <f t="shared" si="9"/>
        <v>6</v>
      </c>
      <c r="B41" s="99" t="s">
        <v>118</v>
      </c>
      <c r="C41" s="58"/>
      <c r="D41" s="58"/>
      <c r="E41" s="58"/>
      <c r="F41" s="87"/>
      <c r="G41" s="88"/>
      <c r="H41" s="89"/>
      <c r="I41" s="89"/>
      <c r="J41" s="89"/>
      <c r="K41" s="89"/>
      <c r="L41" s="89"/>
      <c r="M41" s="89"/>
      <c r="N41" s="89"/>
      <c r="O41" s="87"/>
      <c r="P41" s="95"/>
      <c r="Q41" s="68"/>
      <c r="R41" s="68"/>
    </row>
    <row r="42" spans="1:18" s="72" customFormat="1" ht="16.5">
      <c r="A42" s="75">
        <f t="shared" si="9"/>
        <v>7</v>
      </c>
      <c r="B42" s="74" t="s">
        <v>86</v>
      </c>
      <c r="C42" s="58">
        <v>135237011</v>
      </c>
      <c r="D42" s="58">
        <v>8720592</v>
      </c>
      <c r="E42" s="58">
        <v>0</v>
      </c>
      <c r="F42" s="87">
        <f>SUM(C42:E42)</f>
        <v>143957603</v>
      </c>
      <c r="G42" s="88"/>
      <c r="H42" s="89">
        <v>500000</v>
      </c>
      <c r="I42" s="89"/>
      <c r="J42" s="89">
        <f>SUM(H42:I42)</f>
        <v>500000</v>
      </c>
      <c r="K42" s="89">
        <f aca="true" t="shared" si="11" ref="K42:K49">+C42-H42</f>
        <v>134737011</v>
      </c>
      <c r="L42" s="89">
        <f aca="true" t="shared" si="12" ref="L42:L49">+F42-H42-I42</f>
        <v>143457603</v>
      </c>
      <c r="M42" s="89"/>
      <c r="N42" s="89">
        <f>1867929+1188191</f>
        <v>3056120</v>
      </c>
      <c r="O42" s="87">
        <f aca="true" t="shared" si="13" ref="O42:O53">+L42+N42</f>
        <v>146513723</v>
      </c>
      <c r="P42" s="95">
        <f>O42/F42-1</f>
        <v>0.01775606113697248</v>
      </c>
      <c r="Q42" s="68"/>
      <c r="R42" s="68"/>
    </row>
    <row r="43" spans="1:18" s="72" customFormat="1" ht="16.5">
      <c r="A43" s="75">
        <f t="shared" si="9"/>
        <v>8</v>
      </c>
      <c r="B43" s="74" t="s">
        <v>87</v>
      </c>
      <c r="C43" s="58">
        <v>96396180</v>
      </c>
      <c r="D43" s="58">
        <v>4490799</v>
      </c>
      <c r="E43" s="58">
        <v>20613583</v>
      </c>
      <c r="F43" s="87">
        <f>SUM(C43:E43)</f>
        <v>121500562</v>
      </c>
      <c r="G43" s="88"/>
      <c r="H43" s="89">
        <v>2000000</v>
      </c>
      <c r="I43" s="89"/>
      <c r="J43" s="89">
        <f aca="true" t="shared" si="14" ref="J43:J53">SUM(H43:I43)</f>
        <v>2000000</v>
      </c>
      <c r="K43" s="89">
        <f t="shared" si="11"/>
        <v>94396180</v>
      </c>
      <c r="L43" s="89">
        <f t="shared" si="12"/>
        <v>119500562</v>
      </c>
      <c r="M43" s="89"/>
      <c r="N43" s="89">
        <f>8941760+1114714</f>
        <v>10056474</v>
      </c>
      <c r="O43" s="87">
        <f t="shared" si="13"/>
        <v>129557036</v>
      </c>
      <c r="P43" s="95">
        <f aca="true" t="shared" si="15" ref="P43:P48">O43/F43-1</f>
        <v>0.06630812127436903</v>
      </c>
      <c r="Q43" s="68"/>
      <c r="R43" s="68"/>
    </row>
    <row r="44" spans="1:18" s="72" customFormat="1" ht="16.5">
      <c r="A44" s="75">
        <f aca="true" t="shared" si="16" ref="A44:A58">+A43+1</f>
        <v>9</v>
      </c>
      <c r="B44" s="74" t="s">
        <v>100</v>
      </c>
      <c r="C44" s="58">
        <v>64927955</v>
      </c>
      <c r="D44" s="58">
        <v>2698719</v>
      </c>
      <c r="E44" s="58">
        <v>20871302</v>
      </c>
      <c r="F44" s="87">
        <f>SUM(C44:E44)</f>
        <v>88497976</v>
      </c>
      <c r="G44" s="88"/>
      <c r="H44" s="89">
        <v>929801</v>
      </c>
      <c r="I44" s="89"/>
      <c r="J44" s="89">
        <f t="shared" si="14"/>
        <v>929801</v>
      </c>
      <c r="K44" s="89">
        <f t="shared" si="11"/>
        <v>63998154</v>
      </c>
      <c r="L44" s="89">
        <f t="shared" si="12"/>
        <v>87568175</v>
      </c>
      <c r="M44" s="89"/>
      <c r="N44" s="89">
        <f>7440902+440866</f>
        <v>7881768</v>
      </c>
      <c r="O44" s="87">
        <f t="shared" si="13"/>
        <v>95449943</v>
      </c>
      <c r="P44" s="95">
        <f t="shared" si="15"/>
        <v>0.07855509599451183</v>
      </c>
      <c r="Q44" s="68"/>
      <c r="R44" s="68"/>
    </row>
    <row r="45" spans="1:18" s="72" customFormat="1" ht="16.5">
      <c r="A45" s="75">
        <f>+A51+1</f>
        <v>16</v>
      </c>
      <c r="B45" s="74" t="s">
        <v>119</v>
      </c>
      <c r="C45" s="58">
        <v>1472671</v>
      </c>
      <c r="D45" s="58"/>
      <c r="E45" s="58"/>
      <c r="F45" s="87">
        <f>15542079-12771962</f>
        <v>2770117</v>
      </c>
      <c r="G45" s="88"/>
      <c r="H45" s="89"/>
      <c r="I45" s="89"/>
      <c r="J45" s="89">
        <f>SUM(H45:I45)</f>
        <v>0</v>
      </c>
      <c r="K45" s="89"/>
      <c r="L45" s="89">
        <f t="shared" si="12"/>
        <v>2770117</v>
      </c>
      <c r="M45" s="89"/>
      <c r="N45" s="89">
        <v>0</v>
      </c>
      <c r="O45" s="87">
        <f t="shared" si="13"/>
        <v>2770117</v>
      </c>
      <c r="P45" s="95">
        <f t="shared" si="15"/>
        <v>0</v>
      </c>
      <c r="Q45" s="68"/>
      <c r="R45" s="68"/>
    </row>
    <row r="46" spans="1:18" s="72" customFormat="1" ht="16.5">
      <c r="A46" s="75">
        <f>+A44+1</f>
        <v>10</v>
      </c>
      <c r="B46" s="74" t="s">
        <v>88</v>
      </c>
      <c r="C46" s="58">
        <f>45017734-100000</f>
        <v>44917734</v>
      </c>
      <c r="D46" s="58">
        <v>3132</v>
      </c>
      <c r="E46" s="58">
        <v>7921099</v>
      </c>
      <c r="F46" s="87">
        <f>SUM(C46:E46)</f>
        <v>52841965</v>
      </c>
      <c r="G46" s="88"/>
      <c r="H46" s="89">
        <v>4374999</v>
      </c>
      <c r="I46" s="89"/>
      <c r="J46" s="89">
        <f t="shared" si="14"/>
        <v>4374999</v>
      </c>
      <c r="K46" s="89">
        <f t="shared" si="11"/>
        <v>40542735</v>
      </c>
      <c r="L46" s="89">
        <f t="shared" si="12"/>
        <v>48466966</v>
      </c>
      <c r="M46" s="89"/>
      <c r="N46" s="89">
        <f>3217938+1200000+469271</f>
        <v>4887209</v>
      </c>
      <c r="O46" s="87">
        <f t="shared" si="13"/>
        <v>53354175</v>
      </c>
      <c r="P46" s="95">
        <f t="shared" si="15"/>
        <v>0.009693242861048113</v>
      </c>
      <c r="Q46" s="68"/>
      <c r="R46" s="68"/>
    </row>
    <row r="47" spans="1:18" s="72" customFormat="1" ht="16.5">
      <c r="A47" s="75">
        <f t="shared" si="16"/>
        <v>11</v>
      </c>
      <c r="B47" s="74" t="s">
        <v>89</v>
      </c>
      <c r="C47" s="58">
        <v>4707531</v>
      </c>
      <c r="D47" s="58"/>
      <c r="E47" s="58">
        <v>0</v>
      </c>
      <c r="F47" s="87">
        <f>SUM(C47:E47)</f>
        <v>4707531</v>
      </c>
      <c r="G47" s="88"/>
      <c r="H47" s="89"/>
      <c r="I47" s="89"/>
      <c r="J47" s="89">
        <f t="shared" si="14"/>
        <v>0</v>
      </c>
      <c r="K47" s="89">
        <f t="shared" si="11"/>
        <v>4707531</v>
      </c>
      <c r="L47" s="89">
        <f t="shared" si="12"/>
        <v>4707531</v>
      </c>
      <c r="M47" s="89"/>
      <c r="N47" s="89">
        <v>8438761</v>
      </c>
      <c r="O47" s="87">
        <f t="shared" si="13"/>
        <v>13146292</v>
      </c>
      <c r="P47" s="95">
        <f t="shared" si="15"/>
        <v>1.7926086944515074</v>
      </c>
      <c r="Q47" s="68"/>
      <c r="R47" s="68"/>
    </row>
    <row r="48" spans="1:18" s="72" customFormat="1" ht="16.5">
      <c r="A48" s="75">
        <f t="shared" si="16"/>
        <v>12</v>
      </c>
      <c r="B48" s="74" t="s">
        <v>90</v>
      </c>
      <c r="C48" s="58">
        <v>5471895</v>
      </c>
      <c r="D48" s="58"/>
      <c r="E48" s="58">
        <v>0</v>
      </c>
      <c r="F48" s="87">
        <f>+D48+C48</f>
        <v>5471895</v>
      </c>
      <c r="G48" s="88"/>
      <c r="H48" s="89"/>
      <c r="I48" s="89"/>
      <c r="J48" s="89">
        <f t="shared" si="14"/>
        <v>0</v>
      </c>
      <c r="K48" s="89">
        <f t="shared" si="11"/>
        <v>5471895</v>
      </c>
      <c r="L48" s="89">
        <f t="shared" si="12"/>
        <v>5471895</v>
      </c>
      <c r="M48" s="89"/>
      <c r="N48" s="89">
        <v>9855049</v>
      </c>
      <c r="O48" s="87">
        <f t="shared" si="13"/>
        <v>15326944</v>
      </c>
      <c r="P48" s="95">
        <f t="shared" si="15"/>
        <v>1.801030356028396</v>
      </c>
      <c r="Q48" s="68"/>
      <c r="R48" s="68"/>
    </row>
    <row r="49" spans="1:18" s="72" customFormat="1" ht="16.5">
      <c r="A49" s="75">
        <f t="shared" si="16"/>
        <v>13</v>
      </c>
      <c r="B49" s="74" t="s">
        <v>91</v>
      </c>
      <c r="C49" s="58">
        <v>100000000</v>
      </c>
      <c r="D49" s="58"/>
      <c r="E49" s="58"/>
      <c r="F49" s="87">
        <f>+D49+C49</f>
        <v>100000000</v>
      </c>
      <c r="G49" s="88"/>
      <c r="H49" s="89">
        <v>100000000</v>
      </c>
      <c r="I49" s="89"/>
      <c r="J49" s="89">
        <f t="shared" si="14"/>
        <v>100000000</v>
      </c>
      <c r="K49" s="89">
        <f t="shared" si="11"/>
        <v>0</v>
      </c>
      <c r="L49" s="89">
        <f t="shared" si="12"/>
        <v>0</v>
      </c>
      <c r="M49" s="89"/>
      <c r="N49" s="89">
        <v>30250000</v>
      </c>
      <c r="O49" s="87">
        <f t="shared" si="13"/>
        <v>30250000</v>
      </c>
      <c r="P49" s="96" t="s">
        <v>113</v>
      </c>
      <c r="Q49" s="68"/>
      <c r="R49" s="68"/>
    </row>
    <row r="50" spans="1:18" s="72" customFormat="1" ht="16.5">
      <c r="A50" s="75">
        <f t="shared" si="16"/>
        <v>14</v>
      </c>
      <c r="B50" s="74" t="s">
        <v>92</v>
      </c>
      <c r="C50" s="58">
        <v>13940335</v>
      </c>
      <c r="D50" s="58"/>
      <c r="E50" s="58"/>
      <c r="F50" s="87">
        <f>+D50+C50</f>
        <v>13940335</v>
      </c>
      <c r="G50" s="88"/>
      <c r="H50" s="89">
        <v>500000</v>
      </c>
      <c r="I50" s="89"/>
      <c r="J50" s="89">
        <f t="shared" si="14"/>
        <v>500000</v>
      </c>
      <c r="K50" s="89">
        <f>+C50-H50</f>
        <v>13440335</v>
      </c>
      <c r="L50" s="89">
        <f>+F50-H50-I50</f>
        <v>13440335</v>
      </c>
      <c r="M50" s="89"/>
      <c r="N50" s="88">
        <v>0</v>
      </c>
      <c r="O50" s="87">
        <f t="shared" si="13"/>
        <v>13440335</v>
      </c>
      <c r="P50" s="96" t="s">
        <v>113</v>
      </c>
      <c r="Q50" s="68"/>
      <c r="R50" s="68"/>
    </row>
    <row r="51" spans="1:18" s="72" customFormat="1" ht="18.75" customHeight="1">
      <c r="A51" s="75">
        <f t="shared" si="16"/>
        <v>15</v>
      </c>
      <c r="B51" s="73" t="s">
        <v>93</v>
      </c>
      <c r="C51" s="58"/>
      <c r="D51" s="58">
        <v>74336964</v>
      </c>
      <c r="E51" s="58"/>
      <c r="F51" s="87">
        <f>+D51+C51</f>
        <v>74336964</v>
      </c>
      <c r="G51" s="88"/>
      <c r="H51" s="89"/>
      <c r="I51" s="89">
        <v>74336964</v>
      </c>
      <c r="J51" s="89">
        <f t="shared" si="14"/>
        <v>74336964</v>
      </c>
      <c r="K51" s="89">
        <f>+C51-H51</f>
        <v>0</v>
      </c>
      <c r="L51" s="89">
        <f>+F51-H51-I51</f>
        <v>0</v>
      </c>
      <c r="M51" s="89"/>
      <c r="N51" s="89">
        <v>55000000</v>
      </c>
      <c r="O51" s="87">
        <f t="shared" si="13"/>
        <v>55000000</v>
      </c>
      <c r="P51" s="96" t="s">
        <v>113</v>
      </c>
      <c r="Q51" s="68"/>
      <c r="R51" s="68"/>
    </row>
    <row r="52" spans="1:18" s="72" customFormat="1" ht="16.5">
      <c r="A52" s="75">
        <f t="shared" si="16"/>
        <v>16</v>
      </c>
      <c r="B52" s="73" t="s">
        <v>99</v>
      </c>
      <c r="C52" s="71">
        <v>4000000</v>
      </c>
      <c r="D52" s="71"/>
      <c r="E52" s="71"/>
      <c r="F52" s="87">
        <f>SUM(C52:D52)</f>
        <v>4000000</v>
      </c>
      <c r="G52" s="88"/>
      <c r="H52" s="93">
        <v>4000000</v>
      </c>
      <c r="I52" s="93"/>
      <c r="J52" s="89">
        <f t="shared" si="14"/>
        <v>4000000</v>
      </c>
      <c r="K52" s="89">
        <f>+C52-H52</f>
        <v>0</v>
      </c>
      <c r="L52" s="93">
        <v>0</v>
      </c>
      <c r="M52" s="93"/>
      <c r="N52" s="88">
        <v>0</v>
      </c>
      <c r="O52" s="87">
        <f t="shared" si="13"/>
        <v>0</v>
      </c>
      <c r="P52" s="96" t="s">
        <v>113</v>
      </c>
      <c r="Q52" s="68"/>
      <c r="R52" s="68"/>
    </row>
    <row r="53" spans="1:16" ht="16.5">
      <c r="A53" s="75">
        <f t="shared" si="16"/>
        <v>17</v>
      </c>
      <c r="B53" s="70" t="s">
        <v>101</v>
      </c>
      <c r="C53" s="71">
        <v>3000000</v>
      </c>
      <c r="D53" s="71"/>
      <c r="E53" s="71"/>
      <c r="F53" s="87">
        <f>+D53+C53</f>
        <v>3000000</v>
      </c>
      <c r="G53" s="88"/>
      <c r="H53" s="93">
        <v>1383152</v>
      </c>
      <c r="I53" s="93"/>
      <c r="J53" s="89">
        <f t="shared" si="14"/>
        <v>1383152</v>
      </c>
      <c r="K53" s="89">
        <f>+C53-H53</f>
        <v>1616848</v>
      </c>
      <c r="L53" s="89">
        <f>+F53-H53-I53</f>
        <v>1616848</v>
      </c>
      <c r="M53" s="89"/>
      <c r="N53" s="88">
        <v>0</v>
      </c>
      <c r="O53" s="87">
        <f t="shared" si="13"/>
        <v>1616848</v>
      </c>
      <c r="P53" s="95">
        <f>O53/L53-1</f>
        <v>0</v>
      </c>
    </row>
    <row r="54" spans="1:16" ht="12.75" customHeight="1">
      <c r="A54" s="75">
        <f t="shared" si="16"/>
        <v>18</v>
      </c>
      <c r="B54" s="79"/>
      <c r="C54" s="80"/>
      <c r="D54" s="80"/>
      <c r="E54" s="80"/>
      <c r="F54" s="81"/>
      <c r="G54" s="82"/>
      <c r="H54" s="80"/>
      <c r="I54" s="80"/>
      <c r="J54" s="80"/>
      <c r="K54" s="80"/>
      <c r="L54" s="80"/>
      <c r="M54" s="80"/>
      <c r="P54" s="97"/>
    </row>
    <row r="55" spans="1:16" ht="18.75" customHeight="1" thickBot="1">
      <c r="A55" s="75">
        <f t="shared" si="16"/>
        <v>19</v>
      </c>
      <c r="B55" s="84" t="s">
        <v>30</v>
      </c>
      <c r="C55" s="85">
        <f>+C53+C35+C50+C34+C49+C48+C47+C46+C44+C43+C42+C22+C52</f>
        <v>2649182986</v>
      </c>
      <c r="D55" s="85">
        <f>+D53+D35+D51+D34+D49+D48+D47+D46+D44+D43+D42+D22</f>
        <v>245700000</v>
      </c>
      <c r="E55" s="85">
        <f>+E53+E35+E51+E34+E49+E48+E47+E46+E44+E43+E42+E22</f>
        <v>960445810</v>
      </c>
      <c r="F55" s="86">
        <f>+F53+F52+F51+F50+F49+F48+F47+F46+F45+F44+F43+F42+F36</f>
        <v>3730360709</v>
      </c>
      <c r="G55" s="86">
        <f aca="true" t="shared" si="17" ref="G55:N55">+G53+G52+G51+G50+G49+G48+G47+G46+G45+G44+G43+G42+G36</f>
        <v>0</v>
      </c>
      <c r="H55" s="86">
        <f t="shared" si="17"/>
        <v>158914898</v>
      </c>
      <c r="I55" s="86">
        <f t="shared" si="17"/>
        <v>78800000</v>
      </c>
      <c r="J55" s="86">
        <f t="shared" si="17"/>
        <v>367714898</v>
      </c>
      <c r="K55" s="86">
        <f t="shared" si="17"/>
        <v>2490268088</v>
      </c>
      <c r="L55" s="86">
        <f t="shared" si="17"/>
        <v>3362645811</v>
      </c>
      <c r="M55" s="86"/>
      <c r="N55" s="86">
        <f t="shared" si="17"/>
        <v>446643242</v>
      </c>
      <c r="O55" s="86">
        <f>+O53+O52+O51+O50+O49+O48+O47+O46+O45+O44+O43+O42+O36</f>
        <v>3809289053</v>
      </c>
      <c r="P55" s="98">
        <f>O55/F55-1</f>
        <v>0.02115836782474534</v>
      </c>
    </row>
    <row r="56" spans="1:15" ht="18.75" customHeight="1" thickTop="1">
      <c r="A56" s="75">
        <f t="shared" si="16"/>
        <v>20</v>
      </c>
      <c r="B56" s="66"/>
      <c r="C56" s="67" t="e">
        <f>+C53+C52+C35+C51+C50+C34+C49+#REF!+C48+C47+C46+C44+C43+C42+C22</f>
        <v>#REF!</v>
      </c>
      <c r="D56" s="67" t="e">
        <f>+D53+D52+D35+D51+D50+D34+D49+#REF!+D48+D47+D46+D44+D43+D42+D22</f>
        <v>#REF!</v>
      </c>
      <c r="E56" s="67" t="e">
        <f>+E53+E52+E35+E51+E50+E34+E49+#REF!+E48+E47+E46+E44+E43+E42+E22</f>
        <v>#REF!</v>
      </c>
      <c r="F56" s="67"/>
      <c r="G56" s="68"/>
      <c r="H56" s="59"/>
      <c r="I56" s="59"/>
      <c r="J56" s="59"/>
      <c r="K56" s="59"/>
      <c r="L56" s="57"/>
      <c r="M56" s="57"/>
      <c r="N56" s="83"/>
      <c r="O56" s="56"/>
    </row>
    <row r="57" spans="1:15" ht="18.75" customHeight="1">
      <c r="A57" s="75">
        <f t="shared" si="16"/>
        <v>21</v>
      </c>
      <c r="B57" s="66"/>
      <c r="C57" s="67"/>
      <c r="D57" s="67"/>
      <c r="E57" s="67"/>
      <c r="F57" s="67"/>
      <c r="G57" s="68"/>
      <c r="H57" s="59"/>
      <c r="I57" s="59"/>
      <c r="J57" s="59"/>
      <c r="K57" s="59"/>
      <c r="L57" s="57"/>
      <c r="M57" s="57"/>
      <c r="N57" s="83"/>
      <c r="O57" s="56"/>
    </row>
    <row r="58" spans="1:17" ht="18.75" customHeight="1" thickBot="1">
      <c r="A58" s="75">
        <f t="shared" si="16"/>
        <v>22</v>
      </c>
      <c r="B58" s="84" t="s">
        <v>125</v>
      </c>
      <c r="C58" s="86"/>
      <c r="D58" s="86"/>
      <c r="E58" s="86"/>
      <c r="F58" s="86">
        <v>8877793</v>
      </c>
      <c r="G58" s="112"/>
      <c r="H58" s="85"/>
      <c r="I58" s="85"/>
      <c r="J58" s="85">
        <v>1350000</v>
      </c>
      <c r="K58" s="85"/>
      <c r="L58" s="113">
        <f>+F58-J58</f>
        <v>7527793</v>
      </c>
      <c r="M58" s="113"/>
      <c r="N58" s="114">
        <v>69855</v>
      </c>
      <c r="O58" s="86">
        <f>+N58+L58</f>
        <v>7597648</v>
      </c>
      <c r="P58" s="98">
        <f>O58/F58-1</f>
        <v>-0.14419631095250818</v>
      </c>
      <c r="Q58" s="119" t="s">
        <v>124</v>
      </c>
    </row>
    <row r="59" spans="1:17" ht="18.75" customHeight="1" thickTop="1">
      <c r="A59" s="75"/>
      <c r="B59" s="66"/>
      <c r="C59" s="67"/>
      <c r="D59" s="67"/>
      <c r="E59" s="67"/>
      <c r="F59" s="67"/>
      <c r="G59" s="68"/>
      <c r="H59" s="59"/>
      <c r="I59" s="59"/>
      <c r="J59" s="59"/>
      <c r="K59" s="59"/>
      <c r="L59" s="57"/>
      <c r="M59" s="57"/>
      <c r="N59" s="83"/>
      <c r="O59" s="56"/>
      <c r="Q59" s="119"/>
    </row>
    <row r="60" spans="2:17" ht="18.75" customHeight="1">
      <c r="B60" s="66"/>
      <c r="C60" s="67"/>
      <c r="D60" s="67"/>
      <c r="E60" s="67"/>
      <c r="F60" s="67"/>
      <c r="G60" s="68"/>
      <c r="H60" s="59"/>
      <c r="I60" s="59"/>
      <c r="J60" s="59"/>
      <c r="K60" s="59"/>
      <c r="L60" s="57"/>
      <c r="M60" s="57"/>
      <c r="N60" s="83"/>
      <c r="O60" s="56"/>
      <c r="Q60" s="119"/>
    </row>
    <row r="61" spans="2:17" ht="18.75" customHeight="1">
      <c r="B61" s="66"/>
      <c r="C61" s="67"/>
      <c r="D61" s="67"/>
      <c r="E61" s="67"/>
      <c r="F61" s="67"/>
      <c r="G61" s="68"/>
      <c r="H61" s="59"/>
      <c r="I61" s="59"/>
      <c r="J61" s="59"/>
      <c r="K61" s="59"/>
      <c r="L61" s="57"/>
      <c r="M61" s="57"/>
      <c r="N61" s="83"/>
      <c r="O61" s="56"/>
      <c r="Q61" s="119"/>
    </row>
    <row r="62" spans="2:17" ht="18.75" customHeight="1">
      <c r="B62" s="115" t="s">
        <v>95</v>
      </c>
      <c r="C62" s="115"/>
      <c r="D62" s="115"/>
      <c r="E62" s="115"/>
      <c r="F62" s="115"/>
      <c r="G62" s="68"/>
      <c r="H62" s="59"/>
      <c r="M62" s="57"/>
      <c r="Q62" s="119"/>
    </row>
    <row r="63" spans="3:5" ht="16.5">
      <c r="C63" s="60"/>
      <c r="D63" s="60"/>
      <c r="E63" s="60"/>
    </row>
    <row r="64" spans="3:12" ht="12" customHeight="1">
      <c r="C64" s="60"/>
      <c r="D64" s="60"/>
      <c r="E64" s="60"/>
      <c r="I64" s="59"/>
      <c r="J64" s="59"/>
      <c r="K64" s="59"/>
      <c r="L64" s="57"/>
    </row>
    <row r="65" spans="3:13" ht="27" customHeight="1">
      <c r="C65" s="60"/>
      <c r="D65" s="60"/>
      <c r="E65" s="60"/>
      <c r="F65" s="56">
        <f>+F53+F50+F48+F47+F46+F44+F43+F42+F22</f>
        <v>3516252459</v>
      </c>
      <c r="L65" s="56"/>
      <c r="M65" s="56"/>
    </row>
    <row r="66" spans="3:5" ht="12" customHeight="1">
      <c r="C66" s="60"/>
      <c r="D66" s="60"/>
      <c r="E66" s="60"/>
    </row>
    <row r="67" spans="3:5" ht="12" customHeight="1">
      <c r="C67" s="60"/>
      <c r="D67" s="60"/>
      <c r="E67" s="60"/>
    </row>
    <row r="68" spans="3:5" ht="12" customHeight="1">
      <c r="C68" s="60"/>
      <c r="D68" s="60"/>
      <c r="E68" s="60"/>
    </row>
    <row r="69" spans="3:5" ht="12" customHeight="1">
      <c r="C69" s="60"/>
      <c r="D69" s="60"/>
      <c r="E69" s="60"/>
    </row>
    <row r="70" spans="3:5" ht="12" customHeight="1">
      <c r="C70" s="60"/>
      <c r="D70" s="60"/>
      <c r="E70" s="60"/>
    </row>
    <row r="71" spans="3:5" ht="12" customHeight="1">
      <c r="C71" s="60"/>
      <c r="D71" s="60"/>
      <c r="E71" s="60"/>
    </row>
    <row r="72" spans="3:5" ht="12" customHeight="1">
      <c r="C72" s="60"/>
      <c r="D72" s="60"/>
      <c r="E72" s="60"/>
    </row>
    <row r="73" spans="3:5" ht="12" customHeight="1">
      <c r="C73" s="60"/>
      <c r="D73" s="60"/>
      <c r="E73" s="60"/>
    </row>
    <row r="74" spans="3:5" ht="12" customHeight="1">
      <c r="C74" s="60"/>
      <c r="D74" s="60"/>
      <c r="E74" s="60"/>
    </row>
    <row r="75" spans="3:5" ht="12" customHeight="1">
      <c r="C75" s="60"/>
      <c r="D75" s="60"/>
      <c r="E75" s="60"/>
    </row>
    <row r="76" spans="3:5" ht="12" customHeight="1">
      <c r="C76" s="60"/>
      <c r="D76" s="60"/>
      <c r="E76" s="60"/>
    </row>
    <row r="77" spans="3:5" ht="12" customHeight="1">
      <c r="C77" s="60"/>
      <c r="D77" s="60"/>
      <c r="E77" s="60"/>
    </row>
    <row r="78" spans="3:5" ht="12" customHeight="1">
      <c r="C78" s="60"/>
      <c r="D78" s="60"/>
      <c r="E78" s="60"/>
    </row>
    <row r="79" spans="3:5" ht="12" customHeight="1">
      <c r="C79" s="60"/>
      <c r="D79" s="60"/>
      <c r="E79" s="60"/>
    </row>
    <row r="80" spans="3:5" ht="12" customHeight="1">
      <c r="C80" s="60"/>
      <c r="D80" s="60"/>
      <c r="E80" s="60"/>
    </row>
    <row r="81" spans="3:5" ht="12" customHeight="1">
      <c r="C81" s="60"/>
      <c r="D81" s="60"/>
      <c r="E81" s="60"/>
    </row>
    <row r="82" spans="3:5" ht="12" customHeight="1">
      <c r="C82" s="60"/>
      <c r="D82" s="60"/>
      <c r="E82" s="60"/>
    </row>
    <row r="83" spans="3:5" ht="12" customHeight="1">
      <c r="C83" s="60"/>
      <c r="D83" s="60"/>
      <c r="E83" s="60"/>
    </row>
    <row r="84" spans="3:5" ht="12" customHeight="1">
      <c r="C84" s="60"/>
      <c r="D84" s="60"/>
      <c r="E84" s="60"/>
    </row>
    <row r="85" spans="3:5" ht="12" customHeight="1">
      <c r="C85" s="60"/>
      <c r="D85" s="60"/>
      <c r="E85" s="60"/>
    </row>
    <row r="86" spans="3:5" ht="12" customHeight="1">
      <c r="C86" s="60"/>
      <c r="D86" s="60"/>
      <c r="E86" s="60"/>
    </row>
  </sheetData>
  <mergeCells count="8">
    <mergeCell ref="B62:F62"/>
    <mergeCell ref="C6:F6"/>
    <mergeCell ref="H6:I6"/>
    <mergeCell ref="Q1:Q4"/>
    <mergeCell ref="Q58:Q62"/>
    <mergeCell ref="B1:P1"/>
    <mergeCell ref="B2:P2"/>
    <mergeCell ref="B3:P3"/>
  </mergeCells>
  <printOptions horizontalCentered="1"/>
  <pageMargins left="0" right="0" top="0.75" bottom="0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8"/>
  <sheetViews>
    <sheetView zoomScale="50" zoomScaleNormal="50" zoomScaleSheetLayoutView="5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"/>
    </sheetView>
  </sheetViews>
  <sheetFormatPr defaultColWidth="9.140625" defaultRowHeight="12" customHeight="1"/>
  <cols>
    <col min="1" max="1" width="80.7109375" style="8" customWidth="1"/>
    <col min="2" max="8" width="25.7109375" style="8" customWidth="1"/>
    <col min="9" max="9" width="24.00390625" style="7" bestFit="1" customWidth="1"/>
    <col min="10" max="13" width="22.00390625" style="7" bestFit="1" customWidth="1"/>
    <col min="14" max="14" width="22.00390625" style="8" bestFit="1" customWidth="1"/>
    <col min="15" max="15" width="10.140625" style="8" customWidth="1"/>
    <col min="16" max="16" width="24.00390625" style="8" bestFit="1" customWidth="1"/>
    <col min="17" max="19" width="22.00390625" style="8" bestFit="1" customWidth="1"/>
    <col min="20" max="21" width="20.00390625" style="8" bestFit="1" customWidth="1"/>
    <col min="22" max="22" width="26.140625" style="8" bestFit="1" customWidth="1"/>
    <col min="23" max="23" width="24.57421875" style="8" bestFit="1" customWidth="1"/>
    <col min="24" max="24" width="24.00390625" style="8" bestFit="1" customWidth="1"/>
    <col min="25" max="25" width="22.00390625" style="8" bestFit="1" customWidth="1"/>
    <col min="26" max="16384" width="9.140625" style="8" customWidth="1"/>
  </cols>
  <sheetData>
    <row r="1" spans="1:13" s="11" customFormat="1" ht="24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0"/>
      <c r="J1" s="10"/>
      <c r="K1" s="10"/>
      <c r="L1" s="10"/>
      <c r="M1" s="10"/>
    </row>
    <row r="2" spans="1:13" s="13" customFormat="1" ht="21" customHeight="1">
      <c r="A2" s="122" t="s">
        <v>38</v>
      </c>
      <c r="B2" s="122"/>
      <c r="C2" s="122"/>
      <c r="D2" s="122"/>
      <c r="E2" s="122"/>
      <c r="F2" s="122"/>
      <c r="G2" s="122"/>
      <c r="H2" s="122"/>
      <c r="I2" s="12"/>
      <c r="J2" s="12"/>
      <c r="K2" s="12"/>
      <c r="L2" s="12"/>
      <c r="M2" s="12"/>
    </row>
    <row r="3" spans="1:13" s="13" customFormat="1" ht="21" customHeight="1">
      <c r="A3" s="123" t="s">
        <v>39</v>
      </c>
      <c r="B3" s="123"/>
      <c r="C3" s="123"/>
      <c r="D3" s="123"/>
      <c r="E3" s="123"/>
      <c r="F3" s="123"/>
      <c r="G3" s="123"/>
      <c r="H3" s="123"/>
      <c r="I3" s="12"/>
      <c r="J3" s="12"/>
      <c r="K3" s="12"/>
      <c r="L3" s="12"/>
      <c r="M3" s="12"/>
    </row>
    <row r="4" spans="1:13" s="13" customFormat="1" ht="21" customHeight="1">
      <c r="A4" s="123" t="s">
        <v>72</v>
      </c>
      <c r="B4" s="123"/>
      <c r="C4" s="123"/>
      <c r="D4" s="123"/>
      <c r="E4" s="123"/>
      <c r="F4" s="123"/>
      <c r="G4" s="123"/>
      <c r="H4" s="123"/>
      <c r="I4" s="12"/>
      <c r="J4" s="12"/>
      <c r="K4" s="12"/>
      <c r="L4" s="12"/>
      <c r="M4" s="12"/>
    </row>
    <row r="5" spans="1:14" ht="12" customHeight="1">
      <c r="A5" s="14"/>
      <c r="B5" s="14"/>
      <c r="C5" s="14"/>
      <c r="D5" s="14"/>
      <c r="E5" s="14"/>
      <c r="F5" s="14"/>
      <c r="G5" s="14"/>
      <c r="H5" s="14"/>
      <c r="I5" s="17"/>
      <c r="J5" s="17"/>
      <c r="K5" s="17"/>
      <c r="L5" s="17"/>
      <c r="M5" s="17"/>
      <c r="N5" s="17"/>
    </row>
    <row r="6" spans="1:25" ht="24" customHeight="1">
      <c r="A6" s="15"/>
      <c r="B6" s="16"/>
      <c r="C6" s="16"/>
      <c r="D6" s="16"/>
      <c r="E6" s="17"/>
      <c r="F6" s="17"/>
      <c r="G6" s="17"/>
      <c r="H6" s="17"/>
      <c r="I6" s="17"/>
      <c r="J6" s="17"/>
      <c r="K6" s="17"/>
      <c r="L6" s="17"/>
      <c r="M6" s="17" t="s">
        <v>4</v>
      </c>
      <c r="N6" s="17" t="s">
        <v>4</v>
      </c>
      <c r="P6" s="17"/>
      <c r="Q6" s="17"/>
      <c r="R6" s="17"/>
      <c r="S6" s="17"/>
      <c r="T6" s="17"/>
      <c r="U6" s="17"/>
      <c r="V6" s="17" t="s">
        <v>24</v>
      </c>
      <c r="W6" s="17" t="s">
        <v>26</v>
      </c>
      <c r="X6" s="17" t="s">
        <v>78</v>
      </c>
      <c r="Y6" s="17" t="s">
        <v>80</v>
      </c>
    </row>
    <row r="7" spans="1:25" ht="16.5" customHeight="1">
      <c r="A7" s="15"/>
      <c r="B7" s="18" t="s">
        <v>1</v>
      </c>
      <c r="C7" s="18" t="s">
        <v>2</v>
      </c>
      <c r="D7" s="18" t="s">
        <v>3</v>
      </c>
      <c r="E7" s="18" t="s">
        <v>4</v>
      </c>
      <c r="F7" s="18" t="s">
        <v>5</v>
      </c>
      <c r="G7" s="18" t="s">
        <v>6</v>
      </c>
      <c r="H7" s="18" t="s">
        <v>7</v>
      </c>
      <c r="I7" s="18" t="s">
        <v>8</v>
      </c>
      <c r="J7" s="18" t="s">
        <v>9</v>
      </c>
      <c r="K7" s="18" t="s">
        <v>10</v>
      </c>
      <c r="L7" s="18" t="s">
        <v>19</v>
      </c>
      <c r="M7" s="18" t="s">
        <v>21</v>
      </c>
      <c r="N7" s="18" t="s">
        <v>17</v>
      </c>
      <c r="P7" s="18" t="s">
        <v>12</v>
      </c>
      <c r="Q7" s="18" t="s">
        <v>13</v>
      </c>
      <c r="R7" s="18" t="s">
        <v>14</v>
      </c>
      <c r="S7" s="18" t="s">
        <v>15</v>
      </c>
      <c r="T7" s="18" t="s">
        <v>76</v>
      </c>
      <c r="U7" s="18" t="s">
        <v>77</v>
      </c>
      <c r="V7" s="18" t="s">
        <v>25</v>
      </c>
      <c r="W7" s="18" t="s">
        <v>27</v>
      </c>
      <c r="X7" s="18" t="s">
        <v>79</v>
      </c>
      <c r="Y7" s="18" t="s">
        <v>81</v>
      </c>
    </row>
    <row r="8" spans="1:15" ht="21.75">
      <c r="A8" s="19"/>
      <c r="B8" s="20"/>
      <c r="C8" s="20"/>
      <c r="D8" s="20"/>
      <c r="E8" s="20"/>
      <c r="F8" s="20"/>
      <c r="G8" s="20"/>
      <c r="H8" s="20"/>
      <c r="O8" s="9"/>
    </row>
    <row r="9" spans="1:15" ht="18.75" customHeight="1">
      <c r="A9" s="19" t="s">
        <v>33</v>
      </c>
      <c r="B9" s="20"/>
      <c r="C9" s="20"/>
      <c r="D9" s="20"/>
      <c r="E9" s="20"/>
      <c r="F9" s="20"/>
      <c r="G9" s="20"/>
      <c r="H9" s="20"/>
      <c r="N9" s="9"/>
      <c r="O9" s="9"/>
    </row>
    <row r="10" spans="1:15" ht="18.75" customHeight="1">
      <c r="A10" s="19" t="s">
        <v>29</v>
      </c>
      <c r="B10" s="20">
        <v>392475602</v>
      </c>
      <c r="C10" s="20">
        <v>306874929</v>
      </c>
      <c r="D10" s="20">
        <v>117953603</v>
      </c>
      <c r="E10" s="20">
        <v>236861829</v>
      </c>
      <c r="F10" s="20">
        <v>179273516</v>
      </c>
      <c r="G10" s="20">
        <v>71223547</v>
      </c>
      <c r="H10" s="20">
        <v>267221229</v>
      </c>
      <c r="I10" s="20">
        <v>217164798</v>
      </c>
      <c r="J10" s="20">
        <v>83253351</v>
      </c>
      <c r="K10" s="20">
        <v>52594134</v>
      </c>
      <c r="L10" s="20">
        <v>18407946</v>
      </c>
      <c r="M10" s="20">
        <v>27502101</v>
      </c>
      <c r="N10" s="20">
        <v>15038387</v>
      </c>
      <c r="O10" s="9"/>
    </row>
    <row r="11" spans="1:14" ht="18.75" customHeight="1">
      <c r="A11" s="19" t="s">
        <v>32</v>
      </c>
      <c r="B11" s="20">
        <v>25839152</v>
      </c>
      <c r="C11" s="20">
        <v>23893629</v>
      </c>
      <c r="D11" s="20">
        <v>8839567</v>
      </c>
      <c r="E11" s="20">
        <v>22572213</v>
      </c>
      <c r="F11" s="20">
        <v>11881615</v>
      </c>
      <c r="G11" s="20">
        <v>6221355</v>
      </c>
      <c r="H11" s="20">
        <v>21832279</v>
      </c>
      <c r="I11" s="20">
        <v>19913076</v>
      </c>
      <c r="J11" s="20">
        <v>8237233</v>
      </c>
      <c r="K11" s="20">
        <v>4625216</v>
      </c>
      <c r="L11" s="20">
        <v>297544</v>
      </c>
      <c r="M11" s="20">
        <v>359880</v>
      </c>
      <c r="N11" s="20">
        <v>937035</v>
      </c>
    </row>
    <row r="12" spans="1:15" ht="18.75" customHeight="1">
      <c r="A12" s="19" t="s">
        <v>36</v>
      </c>
      <c r="B12" s="21">
        <f aca="true" t="shared" si="0" ref="B12:H12">SUM(B10:B11)</f>
        <v>418314754</v>
      </c>
      <c r="C12" s="21">
        <f t="shared" si="0"/>
        <v>330768558</v>
      </c>
      <c r="D12" s="21">
        <f t="shared" si="0"/>
        <v>126793170</v>
      </c>
      <c r="E12" s="21">
        <f t="shared" si="0"/>
        <v>259434042</v>
      </c>
      <c r="F12" s="21">
        <f t="shared" si="0"/>
        <v>191155131</v>
      </c>
      <c r="G12" s="21">
        <f t="shared" si="0"/>
        <v>77444902</v>
      </c>
      <c r="H12" s="21">
        <f t="shared" si="0"/>
        <v>289053508</v>
      </c>
      <c r="N12" s="9"/>
      <c r="O12" s="9"/>
    </row>
    <row r="13" spans="1:15" ht="12.75" customHeight="1">
      <c r="A13" s="19"/>
      <c r="B13" s="20"/>
      <c r="C13" s="20"/>
      <c r="D13" s="20"/>
      <c r="E13" s="20"/>
      <c r="F13" s="20"/>
      <c r="G13" s="20"/>
      <c r="H13" s="20"/>
      <c r="N13" s="9"/>
      <c r="O13" s="9"/>
    </row>
    <row r="14" spans="1:15" ht="18.75" customHeight="1">
      <c r="A14" s="19" t="s">
        <v>16</v>
      </c>
      <c r="B14" s="20"/>
      <c r="C14" s="20"/>
      <c r="D14" s="20"/>
      <c r="E14" s="20"/>
      <c r="F14" s="20"/>
      <c r="G14" s="20"/>
      <c r="H14" s="20"/>
      <c r="N14" s="9"/>
      <c r="O14" s="9"/>
    </row>
    <row r="15" spans="1:16" ht="18.75" customHeight="1">
      <c r="A15" s="19" t="s">
        <v>29</v>
      </c>
      <c r="B15" s="20"/>
      <c r="C15" s="20"/>
      <c r="D15" s="20"/>
      <c r="E15" s="20"/>
      <c r="F15" s="20"/>
      <c r="G15" s="20"/>
      <c r="H15" s="20"/>
      <c r="N15" s="9"/>
      <c r="O15" s="9"/>
      <c r="P15" s="20">
        <v>135237011</v>
      </c>
    </row>
    <row r="16" spans="1:16" ht="18.75" customHeight="1">
      <c r="A16" s="19" t="s">
        <v>32</v>
      </c>
      <c r="B16" s="20"/>
      <c r="C16" s="20"/>
      <c r="D16" s="20"/>
      <c r="E16" s="20"/>
      <c r="F16" s="20"/>
      <c r="G16" s="20"/>
      <c r="H16" s="20"/>
      <c r="N16" s="9"/>
      <c r="O16" s="9"/>
      <c r="P16" s="20">
        <v>8720592</v>
      </c>
    </row>
    <row r="17" spans="1:15" ht="18.75" customHeight="1">
      <c r="A17" s="19" t="s">
        <v>45</v>
      </c>
      <c r="B17" s="21">
        <f>SUM(B15:B16)</f>
        <v>0</v>
      </c>
      <c r="C17" s="21">
        <f aca="true" t="shared" si="1" ref="C17:H17">SUM(C15:C16)</f>
        <v>0</v>
      </c>
      <c r="D17" s="21">
        <f t="shared" si="1"/>
        <v>0</v>
      </c>
      <c r="E17" s="21">
        <f t="shared" si="1"/>
        <v>0</v>
      </c>
      <c r="F17" s="21">
        <f t="shared" si="1"/>
        <v>0</v>
      </c>
      <c r="G17" s="21">
        <f t="shared" si="1"/>
        <v>0</v>
      </c>
      <c r="H17" s="21">
        <f t="shared" si="1"/>
        <v>0</v>
      </c>
      <c r="N17" s="9"/>
      <c r="O17" s="9"/>
    </row>
    <row r="18" spans="1:15" ht="12" customHeight="1">
      <c r="A18" s="19"/>
      <c r="B18" s="20"/>
      <c r="C18" s="20"/>
      <c r="D18" s="20"/>
      <c r="E18" s="20"/>
      <c r="F18" s="20"/>
      <c r="G18" s="20"/>
      <c r="H18" s="20"/>
      <c r="N18" s="9"/>
      <c r="O18" s="9"/>
    </row>
    <row r="19" spans="1:15" ht="21.75">
      <c r="A19" s="19" t="s">
        <v>46</v>
      </c>
      <c r="B19" s="20"/>
      <c r="C19" s="20"/>
      <c r="D19" s="20"/>
      <c r="E19" s="20"/>
      <c r="F19" s="20"/>
      <c r="G19" s="20"/>
      <c r="H19" s="20"/>
      <c r="N19" s="9"/>
      <c r="O19" s="9"/>
    </row>
    <row r="20" spans="1:17" ht="21.75">
      <c r="A20" s="19" t="s">
        <v>29</v>
      </c>
      <c r="B20" s="20"/>
      <c r="C20" s="20"/>
      <c r="D20" s="20"/>
      <c r="E20" s="20"/>
      <c r="F20" s="20"/>
      <c r="G20" s="20"/>
      <c r="H20" s="20"/>
      <c r="N20" s="9"/>
      <c r="O20" s="9"/>
      <c r="Q20" s="20">
        <v>96396180</v>
      </c>
    </row>
    <row r="21" spans="1:17" ht="21.75">
      <c r="A21" s="19" t="s">
        <v>32</v>
      </c>
      <c r="B21" s="20"/>
      <c r="C21" s="20"/>
      <c r="D21" s="20"/>
      <c r="E21" s="20"/>
      <c r="F21" s="20"/>
      <c r="G21" s="20"/>
      <c r="H21" s="20"/>
      <c r="N21" s="9"/>
      <c r="O21" s="9"/>
      <c r="Q21" s="20">
        <v>4490799</v>
      </c>
    </row>
    <row r="22" spans="1:15" ht="21.75">
      <c r="A22" s="19" t="s">
        <v>51</v>
      </c>
      <c r="B22" s="21"/>
      <c r="C22" s="21"/>
      <c r="D22" s="21"/>
      <c r="E22" s="21"/>
      <c r="F22" s="21"/>
      <c r="G22" s="21"/>
      <c r="H22" s="21"/>
      <c r="N22" s="9"/>
      <c r="O22" s="9"/>
    </row>
    <row r="23" spans="1:15" ht="12" customHeight="1">
      <c r="A23" s="19"/>
      <c r="B23" s="20"/>
      <c r="C23" s="20"/>
      <c r="D23" s="20"/>
      <c r="E23" s="20"/>
      <c r="F23" s="20"/>
      <c r="G23" s="20"/>
      <c r="H23" s="20"/>
      <c r="N23" s="9"/>
      <c r="O23" s="9"/>
    </row>
    <row r="24" spans="1:15" ht="21.75">
      <c r="A24" s="19" t="s">
        <v>52</v>
      </c>
      <c r="B24" s="20"/>
      <c r="C24" s="20"/>
      <c r="D24" s="20"/>
      <c r="E24" s="20"/>
      <c r="F24" s="20"/>
      <c r="G24" s="20"/>
      <c r="H24" s="20"/>
      <c r="N24" s="9"/>
      <c r="O24" s="9"/>
    </row>
    <row r="25" spans="1:18" ht="21.75">
      <c r="A25" s="19" t="s">
        <v>29</v>
      </c>
      <c r="B25" s="20"/>
      <c r="C25" s="20"/>
      <c r="D25" s="20"/>
      <c r="E25" s="20"/>
      <c r="F25" s="20"/>
      <c r="G25" s="20"/>
      <c r="H25" s="20"/>
      <c r="N25" s="9"/>
      <c r="O25" s="9"/>
      <c r="R25" s="20">
        <v>64927955</v>
      </c>
    </row>
    <row r="26" spans="1:18" ht="21.75">
      <c r="A26" s="19" t="s">
        <v>32</v>
      </c>
      <c r="B26" s="20"/>
      <c r="C26" s="20"/>
      <c r="D26" s="20"/>
      <c r="E26" s="20"/>
      <c r="F26" s="20"/>
      <c r="G26" s="20"/>
      <c r="H26" s="20"/>
      <c r="N26" s="9"/>
      <c r="O26" s="9"/>
      <c r="R26" s="20">
        <v>2698719</v>
      </c>
    </row>
    <row r="27" spans="1:15" ht="21.75">
      <c r="A27" s="19" t="s">
        <v>53</v>
      </c>
      <c r="B27" s="21">
        <f aca="true" t="shared" si="2" ref="B27:H27">SUM(B25:B26)</f>
        <v>0</v>
      </c>
      <c r="C27" s="21">
        <f t="shared" si="2"/>
        <v>0</v>
      </c>
      <c r="D27" s="21">
        <f t="shared" si="2"/>
        <v>0</v>
      </c>
      <c r="E27" s="21">
        <f t="shared" si="2"/>
        <v>0</v>
      </c>
      <c r="F27" s="21">
        <f t="shared" si="2"/>
        <v>0</v>
      </c>
      <c r="G27" s="21">
        <f t="shared" si="2"/>
        <v>0</v>
      </c>
      <c r="H27" s="21">
        <f t="shared" si="2"/>
        <v>0</v>
      </c>
      <c r="N27" s="9"/>
      <c r="O27" s="9"/>
    </row>
    <row r="28" spans="1:15" ht="12" customHeight="1">
      <c r="A28" s="19"/>
      <c r="B28" s="20"/>
      <c r="C28" s="20"/>
      <c r="D28" s="20"/>
      <c r="E28" s="20"/>
      <c r="F28" s="20"/>
      <c r="G28" s="20"/>
      <c r="H28" s="20"/>
      <c r="N28" s="9"/>
      <c r="O28" s="9"/>
    </row>
    <row r="29" spans="1:15" ht="18.75" customHeight="1">
      <c r="A29" s="19" t="s">
        <v>54</v>
      </c>
      <c r="B29" s="20"/>
      <c r="C29" s="20"/>
      <c r="D29" s="20"/>
      <c r="E29" s="20"/>
      <c r="F29" s="20"/>
      <c r="G29" s="20"/>
      <c r="H29" s="20"/>
      <c r="N29" s="9"/>
      <c r="O29" s="9"/>
    </row>
    <row r="30" spans="1:19" ht="18.75" customHeight="1">
      <c r="A30" s="19" t="s">
        <v>55</v>
      </c>
      <c r="B30" s="20"/>
      <c r="C30" s="20"/>
      <c r="D30" s="20"/>
      <c r="E30" s="20"/>
      <c r="F30" s="20"/>
      <c r="G30" s="20"/>
      <c r="H30" s="20"/>
      <c r="N30" s="9"/>
      <c r="O30" s="9"/>
      <c r="S30" s="20">
        <v>45017734</v>
      </c>
    </row>
    <row r="31" spans="1:19" ht="18.75" customHeight="1">
      <c r="A31" s="19" t="s">
        <v>32</v>
      </c>
      <c r="B31" s="20"/>
      <c r="C31" s="20"/>
      <c r="D31" s="20"/>
      <c r="E31" s="20"/>
      <c r="F31" s="20"/>
      <c r="G31" s="20"/>
      <c r="H31" s="20"/>
      <c r="N31" s="9"/>
      <c r="O31" s="9"/>
      <c r="S31" s="25">
        <v>3132</v>
      </c>
    </row>
    <row r="32" spans="1:15" ht="18.75" customHeight="1">
      <c r="A32" s="19" t="s">
        <v>34</v>
      </c>
      <c r="B32" s="20"/>
      <c r="C32" s="20"/>
      <c r="D32" s="20"/>
      <c r="E32" s="20"/>
      <c r="F32" s="20"/>
      <c r="G32" s="20"/>
      <c r="H32" s="20"/>
      <c r="N32" s="9"/>
      <c r="O32" s="9"/>
    </row>
    <row r="33" spans="1:15" ht="18.75" customHeight="1">
      <c r="A33" s="19" t="s">
        <v>56</v>
      </c>
      <c r="B33" s="21">
        <f>SUM(B30:B31)</f>
        <v>0</v>
      </c>
      <c r="C33" s="21">
        <f aca="true" t="shared" si="3" ref="C33:H33">SUM(C30:C31)</f>
        <v>0</v>
      </c>
      <c r="D33" s="21">
        <f t="shared" si="3"/>
        <v>0</v>
      </c>
      <c r="E33" s="21">
        <f t="shared" si="3"/>
        <v>0</v>
      </c>
      <c r="F33" s="21">
        <f>SUM(F30:F31)</f>
        <v>0</v>
      </c>
      <c r="G33" s="21">
        <f t="shared" si="3"/>
        <v>0</v>
      </c>
      <c r="H33" s="21">
        <f t="shared" si="3"/>
        <v>0</v>
      </c>
      <c r="N33" s="9"/>
      <c r="O33" s="9"/>
    </row>
    <row r="34" spans="1:15" ht="12.75" customHeight="1">
      <c r="A34" s="19"/>
      <c r="B34" s="20"/>
      <c r="C34" s="20"/>
      <c r="D34" s="20"/>
      <c r="E34" s="20"/>
      <c r="F34" s="20"/>
      <c r="G34" s="20"/>
      <c r="H34" s="20"/>
      <c r="N34" s="9"/>
      <c r="O34" s="9"/>
    </row>
    <row r="35" spans="1:15" ht="18.75" customHeight="1">
      <c r="A35" s="19" t="s">
        <v>74</v>
      </c>
      <c r="B35" s="20"/>
      <c r="C35" s="20"/>
      <c r="D35" s="20"/>
      <c r="E35" s="20"/>
      <c r="F35" s="20"/>
      <c r="G35" s="20"/>
      <c r="H35" s="20"/>
      <c r="N35" s="9"/>
      <c r="O35" s="9"/>
    </row>
    <row r="36" spans="1:20" ht="18.75" customHeight="1">
      <c r="A36" s="19" t="s">
        <v>29</v>
      </c>
      <c r="B36" s="20"/>
      <c r="C36" s="20"/>
      <c r="D36" s="20"/>
      <c r="E36" s="20"/>
      <c r="F36" s="20"/>
      <c r="G36" s="20"/>
      <c r="H36" s="20"/>
      <c r="N36" s="9"/>
      <c r="O36" s="9"/>
      <c r="T36" s="20">
        <v>4707531</v>
      </c>
    </row>
    <row r="37" spans="1:15" ht="12.75" customHeight="1">
      <c r="A37" s="19"/>
      <c r="B37" s="20"/>
      <c r="C37" s="20"/>
      <c r="D37" s="20"/>
      <c r="E37" s="20"/>
      <c r="F37" s="20"/>
      <c r="G37" s="20"/>
      <c r="H37" s="20"/>
      <c r="N37" s="9"/>
      <c r="O37" s="9"/>
    </row>
    <row r="38" spans="1:15" ht="18.75" customHeight="1">
      <c r="A38" s="19" t="s">
        <v>75</v>
      </c>
      <c r="B38" s="20"/>
      <c r="C38" s="20"/>
      <c r="D38" s="20"/>
      <c r="E38" s="20"/>
      <c r="F38" s="20"/>
      <c r="G38" s="20"/>
      <c r="H38" s="20"/>
      <c r="N38" s="9"/>
      <c r="O38" s="9"/>
    </row>
    <row r="39" spans="1:21" ht="18.75" customHeight="1">
      <c r="A39" s="19" t="s">
        <v>29</v>
      </c>
      <c r="B39" s="20"/>
      <c r="C39" s="20"/>
      <c r="D39" s="20"/>
      <c r="E39" s="20"/>
      <c r="F39" s="20"/>
      <c r="G39" s="20"/>
      <c r="H39" s="20"/>
      <c r="N39" s="9"/>
      <c r="O39" s="9"/>
      <c r="U39" s="20">
        <v>5471895</v>
      </c>
    </row>
    <row r="40" spans="1:15" ht="12.75" customHeight="1">
      <c r="A40" s="19"/>
      <c r="B40" s="20"/>
      <c r="C40" s="20"/>
      <c r="D40" s="20"/>
      <c r="E40" s="20"/>
      <c r="F40" s="20"/>
      <c r="G40" s="20"/>
      <c r="H40" s="20"/>
      <c r="N40" s="9"/>
      <c r="O40" s="9"/>
    </row>
    <row r="41" spans="1:15" ht="18.75" customHeight="1">
      <c r="A41" s="19" t="s">
        <v>73</v>
      </c>
      <c r="B41" s="20"/>
      <c r="C41" s="20"/>
      <c r="D41" s="20"/>
      <c r="E41" s="20"/>
      <c r="F41" s="20"/>
      <c r="G41" s="20"/>
      <c r="H41" s="20"/>
      <c r="N41" s="9"/>
      <c r="O41" s="9"/>
    </row>
    <row r="42" spans="1:24" ht="18.75" customHeight="1">
      <c r="A42" s="19" t="s">
        <v>29</v>
      </c>
      <c r="B42" s="20"/>
      <c r="C42" s="20"/>
      <c r="D42" s="20"/>
      <c r="E42" s="20"/>
      <c r="F42" s="20"/>
      <c r="G42" s="20"/>
      <c r="H42" s="20"/>
      <c r="N42" s="9"/>
      <c r="O42" s="9"/>
      <c r="X42" s="20">
        <v>100000000</v>
      </c>
    </row>
    <row r="43" spans="1:24" ht="12.75" customHeight="1">
      <c r="A43" s="19"/>
      <c r="B43" s="20"/>
      <c r="C43" s="20"/>
      <c r="D43" s="20"/>
      <c r="E43" s="20"/>
      <c r="F43" s="20"/>
      <c r="G43" s="20"/>
      <c r="H43" s="20"/>
      <c r="N43" s="9"/>
      <c r="O43" s="9"/>
      <c r="X43" s="20"/>
    </row>
    <row r="44" spans="1:15" ht="18.75" customHeight="1">
      <c r="A44" s="34" t="s">
        <v>57</v>
      </c>
      <c r="B44" s="20"/>
      <c r="C44" s="20"/>
      <c r="D44" s="20"/>
      <c r="E44" s="20"/>
      <c r="F44" s="20"/>
      <c r="G44" s="20"/>
      <c r="H44" s="20"/>
      <c r="N44" s="9"/>
      <c r="O44" s="9"/>
    </row>
    <row r="45" spans="1:15" ht="18.75" customHeight="1">
      <c r="A45" s="34" t="s">
        <v>29</v>
      </c>
      <c r="B45" s="20">
        <v>4922123</v>
      </c>
      <c r="C45" s="20">
        <v>4158006</v>
      </c>
      <c r="D45" s="20">
        <v>1769020</v>
      </c>
      <c r="E45" s="20">
        <v>2411988</v>
      </c>
      <c r="F45" s="20">
        <v>1132259</v>
      </c>
      <c r="G45" s="20">
        <v>446963</v>
      </c>
      <c r="H45" s="20">
        <v>2431925</v>
      </c>
      <c r="N45" s="9"/>
      <c r="O45" s="9"/>
    </row>
    <row r="46" spans="1:15" ht="12.75" customHeight="1">
      <c r="A46" s="34"/>
      <c r="B46" s="20"/>
      <c r="C46" s="20"/>
      <c r="D46" s="20"/>
      <c r="E46" s="20"/>
      <c r="F46" s="20"/>
      <c r="G46" s="20"/>
      <c r="H46" s="20"/>
      <c r="N46" s="9"/>
      <c r="O46" s="9"/>
    </row>
    <row r="47" spans="1:15" ht="21.75">
      <c r="A47" s="34" t="s">
        <v>58</v>
      </c>
      <c r="B47" s="20"/>
      <c r="C47" s="20"/>
      <c r="D47" s="20"/>
      <c r="E47" s="20"/>
      <c r="F47" s="20"/>
      <c r="G47" s="20"/>
      <c r="H47" s="20"/>
      <c r="N47" s="9"/>
      <c r="O47" s="9"/>
    </row>
    <row r="48" spans="1:22" ht="21.75">
      <c r="A48" s="34" t="s">
        <v>29</v>
      </c>
      <c r="B48" s="20"/>
      <c r="C48" s="20"/>
      <c r="D48" s="20"/>
      <c r="E48" s="20"/>
      <c r="F48" s="20"/>
      <c r="G48" s="20"/>
      <c r="H48" s="20"/>
      <c r="N48" s="9"/>
      <c r="O48" s="9"/>
      <c r="V48" s="20">
        <v>13940335</v>
      </c>
    </row>
    <row r="49" spans="1:15" ht="12.75" customHeight="1">
      <c r="A49" s="34"/>
      <c r="B49" s="20"/>
      <c r="C49" s="20"/>
      <c r="D49" s="20"/>
      <c r="E49" s="20"/>
      <c r="F49" s="20"/>
      <c r="G49" s="20"/>
      <c r="H49" s="20"/>
      <c r="N49" s="9"/>
      <c r="O49" s="9"/>
    </row>
    <row r="50" spans="1:15" ht="18.75" customHeight="1">
      <c r="A50" s="19" t="s">
        <v>59</v>
      </c>
      <c r="B50" s="20"/>
      <c r="C50" s="20"/>
      <c r="D50" s="20"/>
      <c r="E50" s="20"/>
      <c r="F50" s="20"/>
      <c r="G50" s="20"/>
      <c r="H50" s="20"/>
      <c r="N50" s="9"/>
      <c r="O50" s="9"/>
    </row>
    <row r="51" spans="1:25" ht="18.75" customHeight="1">
      <c r="A51" s="19" t="s">
        <v>32</v>
      </c>
      <c r="B51" s="20"/>
      <c r="C51" s="20"/>
      <c r="D51" s="20"/>
      <c r="E51" s="20"/>
      <c r="F51" s="20"/>
      <c r="G51" s="20"/>
      <c r="H51" s="20"/>
      <c r="N51" s="9"/>
      <c r="O51" s="9"/>
      <c r="Y51" s="20">
        <v>74336964</v>
      </c>
    </row>
    <row r="52" spans="1:15" ht="12.75" customHeight="1">
      <c r="A52" s="19"/>
      <c r="B52" s="20"/>
      <c r="C52" s="20"/>
      <c r="D52" s="20"/>
      <c r="E52" s="20"/>
      <c r="F52" s="20"/>
      <c r="G52" s="20"/>
      <c r="H52" s="20"/>
      <c r="N52" s="9"/>
      <c r="O52" s="9"/>
    </row>
    <row r="53" spans="1:15" ht="18.75" customHeight="1">
      <c r="A53" s="19" t="s">
        <v>60</v>
      </c>
      <c r="B53" s="20"/>
      <c r="C53" s="20"/>
      <c r="D53" s="20"/>
      <c r="E53" s="20"/>
      <c r="F53" s="20"/>
      <c r="G53" s="20"/>
      <c r="H53" s="20"/>
      <c r="N53" s="9"/>
      <c r="O53" s="9"/>
    </row>
    <row r="54" spans="1:15" ht="21.75">
      <c r="A54" s="34" t="s">
        <v>29</v>
      </c>
      <c r="B54" s="20">
        <v>1472671</v>
      </c>
      <c r="C54" s="20">
        <v>2097763</v>
      </c>
      <c r="D54" s="20">
        <v>1221696</v>
      </c>
      <c r="E54" s="20">
        <v>2288431</v>
      </c>
      <c r="F54" s="20">
        <v>1205330</v>
      </c>
      <c r="G54" s="20">
        <v>461018</v>
      </c>
      <c r="H54" s="20">
        <v>1461905</v>
      </c>
      <c r="N54" s="9"/>
      <c r="O54" s="9"/>
    </row>
    <row r="55" spans="1:16" ht="18.75" customHeight="1">
      <c r="A55" s="19" t="s">
        <v>35</v>
      </c>
      <c r="B55" s="39"/>
      <c r="C55" s="39"/>
      <c r="D55" s="39"/>
      <c r="E55" s="39">
        <v>4131</v>
      </c>
      <c r="F55" s="39"/>
      <c r="G55" s="39"/>
      <c r="H55" s="39"/>
      <c r="N55" s="9"/>
      <c r="O55" s="9"/>
      <c r="P55" s="9"/>
    </row>
    <row r="56" spans="1:16" ht="21.75">
      <c r="A56" s="19" t="s">
        <v>28</v>
      </c>
      <c r="B56" s="20">
        <f>SUM(B54:B55)</f>
        <v>1472671</v>
      </c>
      <c r="C56" s="20">
        <f aca="true" t="shared" si="4" ref="C56:H56">SUM(C54:C55)</f>
        <v>2097763</v>
      </c>
      <c r="D56" s="20">
        <f t="shared" si="4"/>
        <v>1221696</v>
      </c>
      <c r="E56" s="20">
        <f t="shared" si="4"/>
        <v>2292562</v>
      </c>
      <c r="F56" s="20">
        <f t="shared" si="4"/>
        <v>1205330</v>
      </c>
      <c r="G56" s="20">
        <f t="shared" si="4"/>
        <v>461018</v>
      </c>
      <c r="H56" s="20">
        <f t="shared" si="4"/>
        <v>1461905</v>
      </c>
      <c r="N56" s="9"/>
      <c r="O56" s="9"/>
      <c r="P56" s="9"/>
    </row>
    <row r="57" spans="1:16" ht="12.75" customHeight="1">
      <c r="A57" s="19"/>
      <c r="B57" s="22"/>
      <c r="C57" s="22"/>
      <c r="D57" s="22"/>
      <c r="E57" s="22"/>
      <c r="F57" s="22"/>
      <c r="G57" s="22"/>
      <c r="H57" s="22"/>
      <c r="N57" s="9"/>
      <c r="O57" s="9"/>
      <c r="P57" s="9"/>
    </row>
    <row r="58" spans="1:16" ht="18.75" customHeight="1">
      <c r="A58" s="49" t="s">
        <v>69</v>
      </c>
      <c r="B58" s="22"/>
      <c r="C58" s="22"/>
      <c r="D58" s="22"/>
      <c r="E58" s="22"/>
      <c r="F58" s="22"/>
      <c r="G58" s="22"/>
      <c r="H58" s="22"/>
      <c r="N58" s="9"/>
      <c r="O58" s="9"/>
      <c r="P58" s="9"/>
    </row>
    <row r="59" spans="1:23" ht="18.75" customHeight="1">
      <c r="A59" s="19" t="s">
        <v>31</v>
      </c>
      <c r="B59" s="22"/>
      <c r="C59" s="22"/>
      <c r="D59" s="22"/>
      <c r="E59" s="22"/>
      <c r="F59" s="22"/>
      <c r="G59" s="22"/>
      <c r="H59" s="22"/>
      <c r="N59" s="9"/>
      <c r="O59" s="9"/>
      <c r="P59" s="9"/>
      <c r="W59" s="23">
        <v>3000000</v>
      </c>
    </row>
    <row r="60" spans="1:16" ht="12.75" customHeight="1">
      <c r="A60" s="19"/>
      <c r="B60" s="22"/>
      <c r="C60" s="22"/>
      <c r="D60" s="22"/>
      <c r="E60" s="22"/>
      <c r="F60" s="22"/>
      <c r="G60" s="22"/>
      <c r="H60" s="22"/>
      <c r="N60" s="9"/>
      <c r="O60" s="9"/>
      <c r="P60" s="9"/>
    </row>
    <row r="61" spans="1:15" ht="18.75" customHeight="1">
      <c r="A61" s="19" t="s">
        <v>30</v>
      </c>
      <c r="B61" s="23"/>
      <c r="C61" s="23"/>
      <c r="D61" s="23"/>
      <c r="E61" s="23"/>
      <c r="F61" s="23"/>
      <c r="G61" s="23"/>
      <c r="H61" s="23"/>
      <c r="N61" s="9"/>
      <c r="O61" s="9"/>
    </row>
    <row r="62" spans="1:15" ht="18.75" customHeight="1">
      <c r="A62" s="19" t="s">
        <v>31</v>
      </c>
      <c r="B62" s="23">
        <f>B10+B45+B54</f>
        <v>398870396</v>
      </c>
      <c r="C62" s="23">
        <f>C54+C48+C45+C30+C25+C20+C15+C10</f>
        <v>313130698</v>
      </c>
      <c r="D62" s="23">
        <f>D54+D48+D45+D30+D25+D20+D15+D10</f>
        <v>120944319</v>
      </c>
      <c r="E62" s="23">
        <f>E54+E48+E45+E30+E25+E20+E15+E10</f>
        <v>241562248</v>
      </c>
      <c r="F62" s="23">
        <f>F54+F48+F45+F30+F25+F20+F15+F10</f>
        <v>181611105</v>
      </c>
      <c r="G62" s="23">
        <f>+G54+G48+G45+G30+G25+G20+G15+G10</f>
        <v>72131528</v>
      </c>
      <c r="H62" s="23">
        <f>H54+H48+H45+H30+H25+H20+H15+H10</f>
        <v>271115059</v>
      </c>
      <c r="I62" s="23">
        <f aca="true" t="shared" si="5" ref="I62:N62">I54+I48+I45+I30+I25+I20+I15+I10</f>
        <v>217164798</v>
      </c>
      <c r="J62" s="23">
        <f t="shared" si="5"/>
        <v>83253351</v>
      </c>
      <c r="K62" s="23">
        <f t="shared" si="5"/>
        <v>52594134</v>
      </c>
      <c r="L62" s="23">
        <f t="shared" si="5"/>
        <v>18407946</v>
      </c>
      <c r="M62" s="23">
        <f t="shared" si="5"/>
        <v>27502101</v>
      </c>
      <c r="N62" s="23">
        <f t="shared" si="5"/>
        <v>15038387</v>
      </c>
      <c r="O62" s="9"/>
    </row>
    <row r="63" spans="1:15" ht="18.75" customHeight="1">
      <c r="A63" s="19" t="s">
        <v>32</v>
      </c>
      <c r="B63" s="23">
        <f aca="true" t="shared" si="6" ref="B63:H63">+B51+B31+B26+B21+B16+B11</f>
        <v>25839152</v>
      </c>
      <c r="C63" s="23">
        <f t="shared" si="6"/>
        <v>23893629</v>
      </c>
      <c r="D63" s="23">
        <f t="shared" si="6"/>
        <v>8839567</v>
      </c>
      <c r="E63" s="23">
        <f t="shared" si="6"/>
        <v>22572213</v>
      </c>
      <c r="F63" s="23">
        <f t="shared" si="6"/>
        <v>11881615</v>
      </c>
      <c r="G63" s="23">
        <f t="shared" si="6"/>
        <v>6221355</v>
      </c>
      <c r="H63" s="23">
        <f t="shared" si="6"/>
        <v>21832279</v>
      </c>
      <c r="I63" s="23">
        <f aca="true" t="shared" si="7" ref="I63:N63">+I51+I31+I26+I21+I16+I11</f>
        <v>19913076</v>
      </c>
      <c r="J63" s="23">
        <f t="shared" si="7"/>
        <v>8237233</v>
      </c>
      <c r="K63" s="23">
        <f t="shared" si="7"/>
        <v>4625216</v>
      </c>
      <c r="L63" s="23">
        <f t="shared" si="7"/>
        <v>297544</v>
      </c>
      <c r="M63" s="23">
        <f t="shared" si="7"/>
        <v>359880</v>
      </c>
      <c r="N63" s="23">
        <f t="shared" si="7"/>
        <v>937035</v>
      </c>
      <c r="O63" s="9"/>
    </row>
    <row r="64" spans="1:15" ht="22.5" customHeight="1" thickBot="1">
      <c r="A64" s="17" t="s">
        <v>63</v>
      </c>
      <c r="B64" s="24">
        <f aca="true" t="shared" si="8" ref="B64:H64">SUM(B62:B63)</f>
        <v>424709548</v>
      </c>
      <c r="C64" s="24">
        <f t="shared" si="8"/>
        <v>337024327</v>
      </c>
      <c r="D64" s="24">
        <f t="shared" si="8"/>
        <v>129783886</v>
      </c>
      <c r="E64" s="24">
        <f t="shared" si="8"/>
        <v>264134461</v>
      </c>
      <c r="F64" s="24">
        <f t="shared" si="8"/>
        <v>193492720</v>
      </c>
      <c r="G64" s="24">
        <f t="shared" si="8"/>
        <v>78352883</v>
      </c>
      <c r="H64" s="24">
        <f t="shared" si="8"/>
        <v>292947338</v>
      </c>
      <c r="I64" s="24">
        <f aca="true" t="shared" si="9" ref="I64:N64">SUM(I62:I63)</f>
        <v>237077874</v>
      </c>
      <c r="J64" s="24">
        <f t="shared" si="9"/>
        <v>91490584</v>
      </c>
      <c r="K64" s="24">
        <f t="shared" si="9"/>
        <v>57219350</v>
      </c>
      <c r="L64" s="24">
        <f t="shared" si="9"/>
        <v>18705490</v>
      </c>
      <c r="M64" s="24">
        <f t="shared" si="9"/>
        <v>27861981</v>
      </c>
      <c r="N64" s="24">
        <f t="shared" si="9"/>
        <v>15975422</v>
      </c>
      <c r="O64" s="9"/>
    </row>
    <row r="65" spans="1:14" ht="39" customHeight="1" thickTop="1">
      <c r="A65" s="50" t="s">
        <v>40</v>
      </c>
      <c r="B65" s="9"/>
      <c r="C65" s="9"/>
      <c r="D65" s="9"/>
      <c r="E65" s="9"/>
      <c r="F65" s="9"/>
      <c r="G65" s="9"/>
      <c r="H65" s="9"/>
      <c r="N65" s="9"/>
    </row>
    <row r="66" spans="2:8" ht="12" customHeight="1">
      <c r="B66" s="9"/>
      <c r="C66" s="9"/>
      <c r="D66" s="9"/>
      <c r="E66" s="9"/>
      <c r="F66" s="9"/>
      <c r="G66" s="9"/>
      <c r="H66" s="9"/>
    </row>
    <row r="67" spans="2:8" ht="12" customHeight="1">
      <c r="B67" s="9"/>
      <c r="C67" s="9"/>
      <c r="D67" s="9"/>
      <c r="E67" s="9"/>
      <c r="F67" s="9"/>
      <c r="G67" s="9"/>
      <c r="H67" s="9"/>
    </row>
    <row r="68" spans="2:8" ht="12" customHeight="1">
      <c r="B68" s="9"/>
      <c r="C68" s="9"/>
      <c r="D68" s="9"/>
      <c r="E68" s="9"/>
      <c r="F68" s="9"/>
      <c r="G68" s="9"/>
      <c r="H68" s="9"/>
    </row>
    <row r="69" spans="2:8" ht="12" customHeight="1">
      <c r="B69" s="9"/>
      <c r="C69" s="9"/>
      <c r="D69" s="9"/>
      <c r="E69" s="9"/>
      <c r="F69" s="9"/>
      <c r="G69" s="9"/>
      <c r="H69" s="9"/>
    </row>
    <row r="70" spans="2:8" ht="12" customHeight="1">
      <c r="B70" s="9"/>
      <c r="C70" s="9"/>
      <c r="D70" s="9"/>
      <c r="E70" s="9"/>
      <c r="F70" s="9"/>
      <c r="G70" s="9"/>
      <c r="H70" s="9"/>
    </row>
    <row r="71" spans="2:8" ht="12" customHeight="1">
      <c r="B71" s="9"/>
      <c r="C71" s="9"/>
      <c r="D71" s="9"/>
      <c r="E71" s="9"/>
      <c r="F71" s="9"/>
      <c r="G71" s="9"/>
      <c r="H71" s="9"/>
    </row>
    <row r="72" spans="2:8" ht="12" customHeight="1">
      <c r="B72" s="9"/>
      <c r="C72" s="9"/>
      <c r="D72" s="9"/>
      <c r="E72" s="9"/>
      <c r="F72" s="9"/>
      <c r="G72" s="9"/>
      <c r="H72" s="9"/>
    </row>
    <row r="73" spans="2:8" ht="12" customHeight="1">
      <c r="B73" s="9"/>
      <c r="C73" s="9"/>
      <c r="D73" s="9"/>
      <c r="E73" s="9"/>
      <c r="F73" s="9"/>
      <c r="G73" s="9"/>
      <c r="H73" s="9"/>
    </row>
    <row r="74" spans="2:8" ht="12" customHeight="1">
      <c r="B74" s="9"/>
      <c r="C74" s="9"/>
      <c r="D74" s="9"/>
      <c r="E74" s="9"/>
      <c r="F74" s="9"/>
      <c r="G74" s="9"/>
      <c r="H74" s="9"/>
    </row>
    <row r="75" spans="2:8" ht="12" customHeight="1">
      <c r="B75" s="9"/>
      <c r="C75" s="9"/>
      <c r="D75" s="9"/>
      <c r="E75" s="9"/>
      <c r="F75" s="9"/>
      <c r="G75" s="9"/>
      <c r="H75" s="9"/>
    </row>
    <row r="76" spans="2:8" ht="12" customHeight="1">
      <c r="B76" s="9"/>
      <c r="C76" s="9"/>
      <c r="D76" s="9"/>
      <c r="E76" s="9"/>
      <c r="F76" s="9"/>
      <c r="G76" s="9"/>
      <c r="H76" s="9"/>
    </row>
    <row r="77" spans="2:8" ht="12" customHeight="1">
      <c r="B77" s="9"/>
      <c r="C77" s="9"/>
      <c r="D77" s="9"/>
      <c r="E77" s="9"/>
      <c r="F77" s="9"/>
      <c r="G77" s="9"/>
      <c r="H77" s="9"/>
    </row>
    <row r="78" spans="2:8" ht="12" customHeight="1">
      <c r="B78" s="9"/>
      <c r="C78" s="9"/>
      <c r="D78" s="9"/>
      <c r="E78" s="9"/>
      <c r="F78" s="9"/>
      <c r="G78" s="9"/>
      <c r="H78" s="9"/>
    </row>
    <row r="79" spans="2:8" ht="12" customHeight="1">
      <c r="B79" s="9"/>
      <c r="C79" s="9"/>
      <c r="D79" s="9"/>
      <c r="E79" s="9"/>
      <c r="F79" s="9"/>
      <c r="G79" s="9"/>
      <c r="H79" s="9"/>
    </row>
    <row r="80" spans="2:8" ht="12" customHeight="1">
      <c r="B80" s="9"/>
      <c r="C80" s="9"/>
      <c r="D80" s="9"/>
      <c r="E80" s="9"/>
      <c r="F80" s="9"/>
      <c r="G80" s="9"/>
      <c r="H80" s="9"/>
    </row>
    <row r="81" spans="2:8" ht="12" customHeight="1">
      <c r="B81" s="9"/>
      <c r="C81" s="9"/>
      <c r="D81" s="9"/>
      <c r="E81" s="9"/>
      <c r="F81" s="9"/>
      <c r="G81" s="9"/>
      <c r="H81" s="9"/>
    </row>
    <row r="82" spans="2:8" ht="12" customHeight="1">
      <c r="B82" s="9"/>
      <c r="C82" s="9"/>
      <c r="D82" s="9"/>
      <c r="E82" s="9"/>
      <c r="F82" s="9"/>
      <c r="G82" s="9"/>
      <c r="H82" s="9"/>
    </row>
    <row r="83" spans="2:8" ht="12" customHeight="1">
      <c r="B83" s="9"/>
      <c r="C83" s="9"/>
      <c r="D83" s="9"/>
      <c r="E83" s="9"/>
      <c r="F83" s="9"/>
      <c r="G83" s="9"/>
      <c r="H83" s="9"/>
    </row>
    <row r="84" spans="2:8" ht="12" customHeight="1">
      <c r="B84" s="9"/>
      <c r="C84" s="9"/>
      <c r="D84" s="9"/>
      <c r="E84" s="9"/>
      <c r="F84" s="9"/>
      <c r="G84" s="9"/>
      <c r="H84" s="9"/>
    </row>
    <row r="85" spans="2:8" ht="12" customHeight="1">
      <c r="B85" s="9"/>
      <c r="C85" s="9"/>
      <c r="D85" s="9"/>
      <c r="E85" s="9"/>
      <c r="F85" s="9"/>
      <c r="G85" s="9"/>
      <c r="H85" s="9"/>
    </row>
    <row r="86" spans="2:8" ht="12" customHeight="1">
      <c r="B86" s="9"/>
      <c r="C86" s="9"/>
      <c r="D86" s="9"/>
      <c r="E86" s="9"/>
      <c r="F86" s="9"/>
      <c r="G86" s="9"/>
      <c r="H86" s="9"/>
    </row>
    <row r="87" spans="2:8" ht="12" customHeight="1">
      <c r="B87" s="9"/>
      <c r="C87" s="9"/>
      <c r="D87" s="9"/>
      <c r="E87" s="9"/>
      <c r="F87" s="9"/>
      <c r="G87" s="9"/>
      <c r="H87" s="9"/>
    </row>
    <row r="88" spans="2:8" ht="12" customHeight="1">
      <c r="B88" s="9"/>
      <c r="C88" s="9"/>
      <c r="D88" s="9"/>
      <c r="E88" s="9"/>
      <c r="F88" s="9"/>
      <c r="G88" s="9"/>
      <c r="H88" s="9"/>
    </row>
  </sheetData>
  <mergeCells count="4">
    <mergeCell ref="A1:H1"/>
    <mergeCell ref="A2:H2"/>
    <mergeCell ref="A3:H3"/>
    <mergeCell ref="A4:H4"/>
  </mergeCells>
  <printOptions horizontalCentered="1" verticalCentered="1"/>
  <pageMargins left="0" right="0" top="0" bottom="0" header="0" footer="0"/>
  <pageSetup horizontalDpi="300" verticalDpi="300" orientation="landscape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0"/>
  <sheetViews>
    <sheetView zoomScale="50" zoomScaleNormal="50" zoomScaleSheetLayoutView="50" workbookViewId="0" topLeftCell="A1">
      <pane xSplit="1" ySplit="7" topLeftCell="D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10" sqref="G10:G11"/>
    </sheetView>
  </sheetViews>
  <sheetFormatPr defaultColWidth="9.140625" defaultRowHeight="12" customHeight="1"/>
  <cols>
    <col min="1" max="1" width="80.7109375" style="1" customWidth="1"/>
    <col min="2" max="7" width="24.7109375" style="1" customWidth="1"/>
    <col min="8" max="8" width="27.8515625" style="1" customWidth="1"/>
    <col min="9" max="9" width="37.00390625" style="26" customWidth="1"/>
    <col min="10" max="10" width="24.421875" style="2" customWidth="1"/>
    <col min="11" max="14" width="20.7109375" style="2" customWidth="1"/>
    <col min="15" max="20" width="20.7109375" style="1" customWidth="1"/>
    <col min="21" max="16384" width="9.140625" style="1" customWidth="1"/>
  </cols>
  <sheetData>
    <row r="1" spans="1:14" s="5" customFormat="1" ht="24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6"/>
      <c r="K1" s="6"/>
      <c r="L1" s="6"/>
      <c r="M1" s="6"/>
      <c r="N1" s="6"/>
    </row>
    <row r="2" spans="1:9" ht="21" customHeight="1">
      <c r="A2" s="122" t="s">
        <v>64</v>
      </c>
      <c r="B2" s="122"/>
      <c r="C2" s="122"/>
      <c r="D2" s="122"/>
      <c r="E2" s="122"/>
      <c r="F2" s="122"/>
      <c r="G2" s="122"/>
      <c r="H2" s="122"/>
      <c r="I2" s="122"/>
    </row>
    <row r="3" spans="1:9" ht="21" customHeight="1">
      <c r="A3" s="123" t="s">
        <v>65</v>
      </c>
      <c r="B3" s="123"/>
      <c r="C3" s="123"/>
      <c r="D3" s="123"/>
      <c r="E3" s="123"/>
      <c r="F3" s="123"/>
      <c r="G3" s="123"/>
      <c r="H3" s="123"/>
      <c r="I3" s="123"/>
    </row>
    <row r="4" spans="1:9" ht="21.75" customHeight="1">
      <c r="A4" s="123" t="s">
        <v>72</v>
      </c>
      <c r="B4" s="123"/>
      <c r="C4" s="123"/>
      <c r="D4" s="123"/>
      <c r="E4" s="123"/>
      <c r="F4" s="123"/>
      <c r="G4" s="123"/>
      <c r="H4" s="123"/>
      <c r="I4" s="123"/>
    </row>
    <row r="5" spans="1:9" ht="12" customHeight="1">
      <c r="A5" s="14"/>
      <c r="B5" s="14"/>
      <c r="C5" s="14"/>
      <c r="D5" s="14"/>
      <c r="E5" s="14"/>
      <c r="F5" s="14"/>
      <c r="G5" s="14"/>
      <c r="H5" s="14"/>
      <c r="I5" s="27"/>
    </row>
    <row r="6" spans="1:9" ht="19.5" customHeight="1">
      <c r="A6" s="15"/>
      <c r="B6" s="17"/>
      <c r="C6" s="17"/>
      <c r="D6" s="17"/>
      <c r="E6" s="17"/>
      <c r="F6" s="17" t="s">
        <v>4</v>
      </c>
      <c r="G6" s="17" t="s">
        <v>4</v>
      </c>
      <c r="H6" s="17" t="s">
        <v>22</v>
      </c>
      <c r="I6" s="28" t="s">
        <v>20</v>
      </c>
    </row>
    <row r="7" spans="1:9" ht="18" customHeight="1">
      <c r="A7" s="15"/>
      <c r="B7" s="18" t="s">
        <v>8</v>
      </c>
      <c r="C7" s="18" t="s">
        <v>9</v>
      </c>
      <c r="D7" s="18" t="s">
        <v>10</v>
      </c>
      <c r="E7" s="18" t="s">
        <v>19</v>
      </c>
      <c r="F7" s="18" t="s">
        <v>21</v>
      </c>
      <c r="G7" s="18" t="s">
        <v>17</v>
      </c>
      <c r="H7" s="18" t="s">
        <v>23</v>
      </c>
      <c r="I7" s="29" t="s">
        <v>11</v>
      </c>
    </row>
    <row r="8" spans="1:16" ht="21.75">
      <c r="A8" s="19"/>
      <c r="B8" s="20"/>
      <c r="C8" s="20"/>
      <c r="D8" s="20"/>
      <c r="E8" s="20"/>
      <c r="F8" s="20"/>
      <c r="G8" s="20"/>
      <c r="H8" s="20"/>
      <c r="I8" s="30"/>
      <c r="O8" s="3"/>
      <c r="P8" s="3"/>
    </row>
    <row r="9" spans="1:16" ht="18.75" customHeight="1">
      <c r="A9" s="19" t="s">
        <v>33</v>
      </c>
      <c r="B9" s="20"/>
      <c r="C9" s="20"/>
      <c r="D9" s="20"/>
      <c r="E9" s="20"/>
      <c r="F9" s="20"/>
      <c r="G9" s="20"/>
      <c r="H9" s="20"/>
      <c r="I9" s="30"/>
      <c r="O9" s="3"/>
      <c r="P9" s="3"/>
    </row>
    <row r="10" spans="1:16" ht="18.75" customHeight="1">
      <c r="A10" s="19" t="s">
        <v>29</v>
      </c>
      <c r="B10" s="20">
        <v>217164798</v>
      </c>
      <c r="C10" s="20">
        <v>83253351</v>
      </c>
      <c r="D10" s="20">
        <v>52594134</v>
      </c>
      <c r="E10" s="20">
        <v>18407946</v>
      </c>
      <c r="F10" s="20">
        <v>27502101</v>
      </c>
      <c r="G10" s="20">
        <v>15038387</v>
      </c>
      <c r="H10" s="20">
        <v>0</v>
      </c>
      <c r="I10" s="30">
        <f>+H10+G10+F10+E10+D10+C10+B10+'07-08 Univ1'!H10+'07-08 Univ1'!G10+'07-08 Univ1'!F10+'07-08 Univ1'!E10+'07-08 Univ1'!D10+'07-08 Univ1'!C10+'07-08 Univ1'!B10</f>
        <v>1985844972</v>
      </c>
      <c r="O10" s="3"/>
      <c r="P10" s="3"/>
    </row>
    <row r="11" spans="1:9" ht="18.75" customHeight="1">
      <c r="A11" s="19" t="s">
        <v>32</v>
      </c>
      <c r="B11" s="20">
        <v>19913076</v>
      </c>
      <c r="C11" s="20">
        <v>8237233</v>
      </c>
      <c r="D11" s="20">
        <v>4625216</v>
      </c>
      <c r="E11" s="20">
        <v>297544</v>
      </c>
      <c r="F11" s="20">
        <v>359880</v>
      </c>
      <c r="G11" s="20">
        <v>937035</v>
      </c>
      <c r="H11" s="20">
        <v>0</v>
      </c>
      <c r="I11" s="30">
        <f>+H11+G11+F11+E11+D11+C11+B11+'07-08 Univ1'!H11+'07-08 Univ1'!G11+'07-08 Univ1'!F11+'07-08 Univ1'!E11+'07-08 Univ1'!D11+'07-08 Univ1'!C11+'07-08 Univ1'!B11</f>
        <v>155449794</v>
      </c>
    </row>
    <row r="12" spans="1:16" ht="18.75" customHeight="1">
      <c r="A12" s="19" t="s">
        <v>34</v>
      </c>
      <c r="B12" s="20">
        <f>119490784-2497314</f>
        <v>116993470</v>
      </c>
      <c r="C12" s="20">
        <f>45349399-1162643</f>
        <v>44186756</v>
      </c>
      <c r="D12" s="20">
        <f>27643457-600615</f>
        <v>27042842</v>
      </c>
      <c r="E12" s="20">
        <f>4061242-70626</f>
        <v>3990616</v>
      </c>
      <c r="F12" s="20">
        <v>7848566</v>
      </c>
      <c r="G12" s="20">
        <v>4340099</v>
      </c>
      <c r="H12" s="20">
        <v>0</v>
      </c>
      <c r="I12" s="30" t="e">
        <f>+G12+F12+E12+D12+C12+B12+'07-08 Univ1'!#REF!+'07-08 Univ1'!#REF!+'07-08 Univ1'!#REF!+'07-08 Univ1'!#REF!+'07-08 Univ1'!#REF!+'07-08 Univ1'!#REF!+'07-08 Univ1'!#REF!</f>
        <v>#REF!</v>
      </c>
      <c r="O12" s="3"/>
      <c r="P12" s="3"/>
    </row>
    <row r="13" spans="1:16" ht="18.75" customHeight="1">
      <c r="A13" s="19" t="s">
        <v>35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30" t="e">
        <f>+G13+F13+E13+D13+C13+B13+'07-08 Univ1'!#REF!+'07-08 Univ1'!#REF!+'07-08 Univ1'!#REF!+'07-08 Univ1'!#REF!+'07-08 Univ1'!#REF!+'07-08 Univ1'!#REF!+'07-08 Univ1'!#REF!</f>
        <v>#REF!</v>
      </c>
      <c r="O13" s="3"/>
      <c r="P13" s="3"/>
    </row>
    <row r="14" spans="1:16" ht="18.75" customHeight="1">
      <c r="A14" s="19" t="s">
        <v>36</v>
      </c>
      <c r="B14" s="21">
        <f aca="true" t="shared" si="0" ref="B14:I14">SUM(B10:B13)</f>
        <v>354071344</v>
      </c>
      <c r="C14" s="21">
        <f t="shared" si="0"/>
        <v>135677340</v>
      </c>
      <c r="D14" s="21">
        <f t="shared" si="0"/>
        <v>84262192</v>
      </c>
      <c r="E14" s="21">
        <f t="shared" si="0"/>
        <v>22696106</v>
      </c>
      <c r="F14" s="21">
        <f t="shared" si="0"/>
        <v>35710547</v>
      </c>
      <c r="G14" s="21">
        <f t="shared" si="0"/>
        <v>20315521</v>
      </c>
      <c r="H14" s="21">
        <f t="shared" si="0"/>
        <v>0</v>
      </c>
      <c r="I14" s="31" t="e">
        <f t="shared" si="0"/>
        <v>#REF!</v>
      </c>
      <c r="O14" s="3"/>
      <c r="P14" s="3"/>
    </row>
    <row r="15" spans="1:16" ht="12.75" customHeight="1">
      <c r="A15" s="19"/>
      <c r="B15" s="20"/>
      <c r="C15" s="20"/>
      <c r="D15" s="20"/>
      <c r="E15" s="20"/>
      <c r="F15" s="20"/>
      <c r="G15" s="20"/>
      <c r="H15" s="20"/>
      <c r="I15" s="30"/>
      <c r="O15" s="3"/>
      <c r="P15" s="3"/>
    </row>
    <row r="16" spans="1:16" ht="18.75" customHeight="1">
      <c r="A16" s="19" t="s">
        <v>16</v>
      </c>
      <c r="B16" s="20"/>
      <c r="C16" s="20"/>
      <c r="D16" s="20"/>
      <c r="E16" s="20"/>
      <c r="F16" s="20"/>
      <c r="G16" s="20"/>
      <c r="H16" s="20"/>
      <c r="I16" s="30"/>
      <c r="O16" s="3"/>
      <c r="P16" s="3"/>
    </row>
    <row r="17" spans="1:16" ht="18.75" customHeight="1">
      <c r="A17" s="19" t="s">
        <v>29</v>
      </c>
      <c r="B17" s="20"/>
      <c r="C17" s="20"/>
      <c r="D17" s="20"/>
      <c r="E17" s="20"/>
      <c r="F17" s="20"/>
      <c r="G17" s="20"/>
      <c r="H17" s="20"/>
      <c r="I17" s="30">
        <f>SUM(B17:H17)</f>
        <v>0</v>
      </c>
      <c r="O17" s="3"/>
      <c r="P17" s="3"/>
    </row>
    <row r="18" spans="1:16" ht="18.75" customHeight="1">
      <c r="A18" s="19" t="s">
        <v>32</v>
      </c>
      <c r="B18" s="20"/>
      <c r="C18" s="20"/>
      <c r="D18" s="20"/>
      <c r="E18" s="20"/>
      <c r="F18" s="20"/>
      <c r="G18" s="20"/>
      <c r="H18" s="20"/>
      <c r="I18" s="30">
        <f>SUM(B18:H18)</f>
        <v>0</v>
      </c>
      <c r="O18" s="3"/>
      <c r="P18" s="3"/>
    </row>
    <row r="19" spans="1:16" ht="18.75" customHeight="1">
      <c r="A19" s="19" t="s">
        <v>42</v>
      </c>
      <c r="B19" s="20"/>
      <c r="C19" s="20"/>
      <c r="D19" s="20"/>
      <c r="E19" s="20"/>
      <c r="F19" s="20"/>
      <c r="G19" s="20"/>
      <c r="H19" s="20"/>
      <c r="I19" s="30"/>
      <c r="O19" s="3"/>
      <c r="P19" s="3"/>
    </row>
    <row r="20" spans="1:16" ht="18.75" customHeight="1">
      <c r="A20" s="19" t="s">
        <v>43</v>
      </c>
      <c r="B20" s="20"/>
      <c r="C20" s="20"/>
      <c r="D20" s="20"/>
      <c r="E20" s="20"/>
      <c r="F20" s="20"/>
      <c r="G20" s="20"/>
      <c r="H20" s="20"/>
      <c r="I20" s="30"/>
      <c r="O20" s="3"/>
      <c r="P20" s="3"/>
    </row>
    <row r="21" spans="1:16" ht="18.75" customHeight="1">
      <c r="A21" s="19" t="s">
        <v>44</v>
      </c>
      <c r="B21" s="20"/>
      <c r="C21" s="20"/>
      <c r="D21" s="20"/>
      <c r="E21" s="20"/>
      <c r="F21" s="20"/>
      <c r="G21" s="20"/>
      <c r="H21" s="20"/>
      <c r="I21" s="30"/>
      <c r="O21" s="3"/>
      <c r="P21" s="3"/>
    </row>
    <row r="22" spans="1:16" ht="18.75" customHeight="1">
      <c r="A22" s="19" t="s">
        <v>47</v>
      </c>
      <c r="B22" s="20"/>
      <c r="C22" s="20"/>
      <c r="D22" s="20"/>
      <c r="E22" s="20"/>
      <c r="F22" s="20"/>
      <c r="G22" s="20"/>
      <c r="H22" s="20"/>
      <c r="I22" s="30"/>
      <c r="O22" s="3"/>
      <c r="P22" s="3"/>
    </row>
    <row r="23" spans="1:16" ht="18.75" customHeight="1">
      <c r="A23" s="19" t="s">
        <v>45</v>
      </c>
      <c r="B23" s="21">
        <f aca="true" t="shared" si="1" ref="B23:I23">SUM(B17:B18)</f>
        <v>0</v>
      </c>
      <c r="C23" s="21">
        <f t="shared" si="1"/>
        <v>0</v>
      </c>
      <c r="D23" s="21">
        <f t="shared" si="1"/>
        <v>0</v>
      </c>
      <c r="E23" s="21">
        <f t="shared" si="1"/>
        <v>0</v>
      </c>
      <c r="F23" s="21">
        <f>SUM(F17:F18)</f>
        <v>0</v>
      </c>
      <c r="G23" s="21">
        <f>SUM(G17:G18)</f>
        <v>0</v>
      </c>
      <c r="H23" s="21">
        <f t="shared" si="1"/>
        <v>0</v>
      </c>
      <c r="I23" s="31">
        <f t="shared" si="1"/>
        <v>0</v>
      </c>
      <c r="O23" s="3"/>
      <c r="P23" s="3"/>
    </row>
    <row r="24" spans="1:16" ht="12.75" customHeight="1">
      <c r="A24" s="19"/>
      <c r="B24" s="20"/>
      <c r="C24" s="20"/>
      <c r="D24" s="20"/>
      <c r="E24" s="20"/>
      <c r="F24" s="20"/>
      <c r="G24" s="20"/>
      <c r="H24" s="20"/>
      <c r="I24" s="30"/>
      <c r="O24" s="3"/>
      <c r="P24" s="3"/>
    </row>
    <row r="25" spans="1:16" ht="21.75">
      <c r="A25" s="19" t="s">
        <v>46</v>
      </c>
      <c r="B25" s="20"/>
      <c r="C25" s="20"/>
      <c r="D25" s="20"/>
      <c r="E25" s="20"/>
      <c r="F25" s="20"/>
      <c r="G25" s="20"/>
      <c r="H25" s="20"/>
      <c r="I25" s="30"/>
      <c r="O25" s="3"/>
      <c r="P25" s="3"/>
    </row>
    <row r="26" spans="1:16" ht="21.75">
      <c r="A26" s="19" t="s">
        <v>29</v>
      </c>
      <c r="B26" s="20"/>
      <c r="C26" s="20"/>
      <c r="D26" s="20"/>
      <c r="E26" s="20"/>
      <c r="F26" s="20"/>
      <c r="G26" s="20"/>
      <c r="H26" s="20"/>
      <c r="I26" s="30"/>
      <c r="O26" s="3"/>
      <c r="P26" s="3"/>
    </row>
    <row r="27" spans="1:16" ht="21.75">
      <c r="A27" s="19" t="s">
        <v>62</v>
      </c>
      <c r="B27" s="20"/>
      <c r="C27" s="20"/>
      <c r="D27" s="20"/>
      <c r="E27" s="20"/>
      <c r="F27" s="20"/>
      <c r="G27" s="20"/>
      <c r="H27" s="20"/>
      <c r="I27" s="30"/>
      <c r="O27" s="3"/>
      <c r="P27" s="3"/>
    </row>
    <row r="28" spans="1:16" ht="21.75">
      <c r="A28" s="19" t="s">
        <v>34</v>
      </c>
      <c r="B28" s="20"/>
      <c r="C28" s="20"/>
      <c r="D28" s="20"/>
      <c r="E28" s="20"/>
      <c r="F28" s="20"/>
      <c r="G28" s="20"/>
      <c r="H28" s="20"/>
      <c r="I28" s="30"/>
      <c r="O28" s="3"/>
      <c r="P28" s="3"/>
    </row>
    <row r="29" spans="1:16" ht="21.75">
      <c r="A29" s="19" t="s">
        <v>48</v>
      </c>
      <c r="B29" s="20"/>
      <c r="C29" s="20"/>
      <c r="D29" s="20"/>
      <c r="E29" s="20"/>
      <c r="F29" s="20"/>
      <c r="G29" s="20"/>
      <c r="H29" s="20"/>
      <c r="I29" s="30"/>
      <c r="O29" s="3"/>
      <c r="P29" s="3"/>
    </row>
    <row r="30" spans="1:16" ht="21.75">
      <c r="A30" s="19" t="s">
        <v>49</v>
      </c>
      <c r="B30" s="20"/>
      <c r="C30" s="20"/>
      <c r="D30" s="20"/>
      <c r="E30" s="20"/>
      <c r="F30" s="20"/>
      <c r="G30" s="20"/>
      <c r="H30" s="20"/>
      <c r="I30" s="30"/>
      <c r="O30" s="3"/>
      <c r="P30" s="3"/>
    </row>
    <row r="31" spans="1:16" ht="21.75">
      <c r="A31" s="19" t="s">
        <v>50</v>
      </c>
      <c r="B31" s="39"/>
      <c r="C31" s="39"/>
      <c r="D31" s="39"/>
      <c r="E31" s="39"/>
      <c r="F31" s="39"/>
      <c r="G31" s="39"/>
      <c r="H31" s="39"/>
      <c r="I31" s="33"/>
      <c r="O31" s="3"/>
      <c r="P31" s="3"/>
    </row>
    <row r="32" spans="1:16" ht="21.75">
      <c r="A32" s="19" t="s">
        <v>51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30">
        <v>0</v>
      </c>
      <c r="O32" s="3"/>
      <c r="P32" s="3"/>
    </row>
    <row r="33" spans="1:16" ht="12.75" customHeight="1">
      <c r="A33" s="19"/>
      <c r="B33" s="20"/>
      <c r="C33" s="20"/>
      <c r="D33" s="20"/>
      <c r="E33" s="20"/>
      <c r="F33" s="20"/>
      <c r="G33" s="20"/>
      <c r="H33" s="20"/>
      <c r="I33" s="30"/>
      <c r="O33" s="3"/>
      <c r="P33" s="3"/>
    </row>
    <row r="34" spans="1:16" ht="21.75">
      <c r="A34" s="19" t="s">
        <v>52</v>
      </c>
      <c r="B34" s="20"/>
      <c r="C34" s="20"/>
      <c r="D34" s="20"/>
      <c r="E34" s="20"/>
      <c r="F34" s="20"/>
      <c r="G34" s="20"/>
      <c r="H34" s="20"/>
      <c r="I34" s="30"/>
      <c r="O34" s="3"/>
      <c r="P34" s="3"/>
    </row>
    <row r="35" spans="1:16" ht="21.75">
      <c r="A35" s="19" t="s">
        <v>29</v>
      </c>
      <c r="B35" s="20"/>
      <c r="C35" s="20"/>
      <c r="D35" s="20"/>
      <c r="E35" s="20"/>
      <c r="F35" s="20"/>
      <c r="G35" s="20"/>
      <c r="H35" s="20"/>
      <c r="I35" s="30"/>
      <c r="O35" s="3"/>
      <c r="P35" s="3"/>
    </row>
    <row r="36" spans="1:16" ht="21.75">
      <c r="A36" s="19" t="s">
        <v>32</v>
      </c>
      <c r="B36" s="20"/>
      <c r="C36" s="20"/>
      <c r="D36" s="20"/>
      <c r="E36" s="20"/>
      <c r="F36" s="20"/>
      <c r="G36" s="20"/>
      <c r="H36" s="20"/>
      <c r="I36" s="30"/>
      <c r="O36" s="3"/>
      <c r="P36" s="3"/>
    </row>
    <row r="37" spans="1:16" ht="21.75">
      <c r="A37" s="19" t="s">
        <v>34</v>
      </c>
      <c r="B37" s="39"/>
      <c r="C37" s="39"/>
      <c r="D37" s="39"/>
      <c r="E37" s="39"/>
      <c r="F37" s="39"/>
      <c r="G37" s="39"/>
      <c r="H37" s="39"/>
      <c r="I37" s="33"/>
      <c r="O37" s="3"/>
      <c r="P37" s="3"/>
    </row>
    <row r="38" spans="1:16" ht="21.75">
      <c r="A38" s="19" t="s">
        <v>53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30">
        <v>0</v>
      </c>
      <c r="O38" s="3"/>
      <c r="P38" s="3"/>
    </row>
    <row r="39" spans="1:16" ht="12.75" customHeight="1">
      <c r="A39" s="19"/>
      <c r="B39" s="20"/>
      <c r="C39" s="20"/>
      <c r="D39" s="20"/>
      <c r="E39" s="20"/>
      <c r="F39" s="20"/>
      <c r="G39" s="20"/>
      <c r="H39" s="20"/>
      <c r="I39" s="30"/>
      <c r="O39" s="3"/>
      <c r="P39" s="3"/>
    </row>
    <row r="40" spans="1:16" ht="18.75" customHeight="1">
      <c r="A40" s="19" t="s">
        <v>54</v>
      </c>
      <c r="B40" s="20"/>
      <c r="C40" s="20"/>
      <c r="D40" s="20"/>
      <c r="E40" s="20"/>
      <c r="F40" s="20"/>
      <c r="G40" s="20"/>
      <c r="H40" s="20"/>
      <c r="I40" s="30" t="s">
        <v>18</v>
      </c>
      <c r="O40" s="3"/>
      <c r="P40" s="3"/>
    </row>
    <row r="41" spans="1:16" ht="18.75" customHeight="1">
      <c r="A41" s="19" t="s">
        <v>29</v>
      </c>
      <c r="B41" s="20"/>
      <c r="C41" s="20"/>
      <c r="D41" s="20"/>
      <c r="E41" s="20"/>
      <c r="F41" s="20"/>
      <c r="G41" s="20"/>
      <c r="H41" s="20"/>
      <c r="I41" s="30">
        <f>SUM(B41:H41)</f>
        <v>0</v>
      </c>
      <c r="O41" s="3"/>
      <c r="P41" s="3"/>
    </row>
    <row r="42" spans="1:16" ht="18.75" customHeight="1">
      <c r="A42" s="19" t="s">
        <v>32</v>
      </c>
      <c r="B42" s="20"/>
      <c r="C42" s="20"/>
      <c r="D42" s="20"/>
      <c r="E42" s="20"/>
      <c r="F42" s="20"/>
      <c r="G42" s="20"/>
      <c r="H42" s="20"/>
      <c r="I42" s="30">
        <f>SUM(B42:H42)</f>
        <v>0</v>
      </c>
      <c r="O42" s="3"/>
      <c r="P42" s="3"/>
    </row>
    <row r="43" spans="1:16" ht="18.75" customHeight="1">
      <c r="A43" s="19" t="s">
        <v>34</v>
      </c>
      <c r="B43" s="20"/>
      <c r="C43" s="20"/>
      <c r="D43" s="20"/>
      <c r="E43" s="20"/>
      <c r="F43" s="20"/>
      <c r="G43" s="20"/>
      <c r="H43" s="20"/>
      <c r="I43" s="30"/>
      <c r="O43" s="3"/>
      <c r="P43" s="3"/>
    </row>
    <row r="44" spans="1:16" ht="18.75" customHeight="1">
      <c r="A44" s="19" t="s">
        <v>56</v>
      </c>
      <c r="B44" s="21">
        <f aca="true" t="shared" si="2" ref="B44:I44">SUM(B41:B42)</f>
        <v>0</v>
      </c>
      <c r="C44" s="21">
        <f t="shared" si="2"/>
        <v>0</v>
      </c>
      <c r="D44" s="21">
        <f t="shared" si="2"/>
        <v>0</v>
      </c>
      <c r="E44" s="21">
        <f t="shared" si="2"/>
        <v>0</v>
      </c>
      <c r="F44" s="21">
        <f>SUM(F41:F42)</f>
        <v>0</v>
      </c>
      <c r="G44" s="21">
        <f>SUM(G41:G42)</f>
        <v>0</v>
      </c>
      <c r="H44" s="21">
        <f t="shared" si="2"/>
        <v>0</v>
      </c>
      <c r="I44" s="31">
        <f t="shared" si="2"/>
        <v>0</v>
      </c>
      <c r="O44" s="3"/>
      <c r="P44" s="3"/>
    </row>
    <row r="45" spans="1:16" ht="12.75" customHeight="1">
      <c r="A45" s="19"/>
      <c r="B45" s="25"/>
      <c r="C45" s="25"/>
      <c r="D45" s="25"/>
      <c r="E45" s="25"/>
      <c r="F45" s="25"/>
      <c r="G45" s="25"/>
      <c r="H45" s="25"/>
      <c r="I45" s="32"/>
      <c r="O45" s="3"/>
      <c r="P45" s="3"/>
    </row>
    <row r="46" spans="1:16" ht="18.75" customHeight="1">
      <c r="A46" s="19" t="s">
        <v>74</v>
      </c>
      <c r="B46" s="25"/>
      <c r="C46" s="25"/>
      <c r="D46" s="25"/>
      <c r="E46" s="25"/>
      <c r="F46" s="25"/>
      <c r="G46" s="25"/>
      <c r="H46" s="25"/>
      <c r="I46" s="32"/>
      <c r="O46" s="3"/>
      <c r="P46" s="3"/>
    </row>
    <row r="47" spans="1:16" ht="18.75" customHeight="1">
      <c r="A47" s="19" t="s">
        <v>29</v>
      </c>
      <c r="B47" s="25"/>
      <c r="C47" s="25"/>
      <c r="D47" s="25"/>
      <c r="E47" s="25"/>
      <c r="F47" s="25"/>
      <c r="G47" s="25"/>
      <c r="H47" s="25"/>
      <c r="I47" s="32"/>
      <c r="O47" s="3"/>
      <c r="P47" s="3"/>
    </row>
    <row r="48" spans="1:16" ht="12.75" customHeight="1">
      <c r="A48" s="19"/>
      <c r="B48" s="25"/>
      <c r="C48" s="25"/>
      <c r="D48" s="25"/>
      <c r="E48" s="25"/>
      <c r="F48" s="25"/>
      <c r="G48" s="25"/>
      <c r="H48" s="25"/>
      <c r="I48" s="32"/>
      <c r="O48" s="3"/>
      <c r="P48" s="3"/>
    </row>
    <row r="49" spans="1:16" ht="18.75" customHeight="1">
      <c r="A49" s="19" t="s">
        <v>75</v>
      </c>
      <c r="B49" s="25"/>
      <c r="C49" s="25"/>
      <c r="D49" s="25"/>
      <c r="E49" s="25"/>
      <c r="F49" s="25"/>
      <c r="G49" s="25"/>
      <c r="H49" s="25"/>
      <c r="I49" s="32"/>
      <c r="O49" s="3"/>
      <c r="P49" s="3"/>
    </row>
    <row r="50" spans="1:16" ht="18.75" customHeight="1">
      <c r="A50" s="19" t="s">
        <v>29</v>
      </c>
      <c r="B50" s="25"/>
      <c r="C50" s="25"/>
      <c r="D50" s="25"/>
      <c r="E50" s="25"/>
      <c r="F50" s="25"/>
      <c r="G50" s="25"/>
      <c r="H50" s="25"/>
      <c r="I50" s="32"/>
      <c r="O50" s="3"/>
      <c r="P50" s="3"/>
    </row>
    <row r="51" spans="1:16" ht="12.75" customHeight="1">
      <c r="A51" s="19"/>
      <c r="B51" s="25"/>
      <c r="C51" s="25"/>
      <c r="D51" s="25"/>
      <c r="E51" s="25"/>
      <c r="F51" s="25"/>
      <c r="G51" s="25"/>
      <c r="H51" s="25"/>
      <c r="I51" s="32"/>
      <c r="O51" s="3"/>
      <c r="P51" s="3"/>
    </row>
    <row r="52" spans="1:16" ht="18.75" customHeight="1">
      <c r="A52" s="19" t="s">
        <v>73</v>
      </c>
      <c r="B52" s="25"/>
      <c r="C52" s="25"/>
      <c r="D52" s="25"/>
      <c r="E52" s="25"/>
      <c r="F52" s="25"/>
      <c r="G52" s="25"/>
      <c r="H52" s="25"/>
      <c r="I52" s="32"/>
      <c r="O52" s="3"/>
      <c r="P52" s="3"/>
    </row>
    <row r="53" spans="1:16" ht="18.75" customHeight="1">
      <c r="A53" s="19" t="s">
        <v>29</v>
      </c>
      <c r="B53" s="25"/>
      <c r="C53" s="25"/>
      <c r="D53" s="25"/>
      <c r="E53" s="25"/>
      <c r="F53" s="25"/>
      <c r="G53" s="25"/>
      <c r="H53" s="25">
        <v>100000000</v>
      </c>
      <c r="I53" s="30">
        <f>F53+G53+H53+E53+D53+C53+B53+'07-08 Univ1'!H42+'07-08 Univ1'!G42+'07-08 Univ1'!F42+'07-08 Univ1'!E42+'07-08 Univ1'!D42+'07-08 Univ1'!C42+'07-08 Univ1'!B42</f>
        <v>100000000</v>
      </c>
      <c r="O53" s="3"/>
      <c r="P53" s="3"/>
    </row>
    <row r="54" spans="1:16" ht="12.75" customHeight="1">
      <c r="A54" s="19"/>
      <c r="B54" s="25"/>
      <c r="C54" s="25"/>
      <c r="D54" s="25"/>
      <c r="E54" s="25"/>
      <c r="F54" s="25"/>
      <c r="G54" s="25"/>
      <c r="H54" s="25"/>
      <c r="I54" s="30"/>
      <c r="O54" s="3"/>
      <c r="P54" s="3"/>
    </row>
    <row r="55" spans="1:15" s="8" customFormat="1" ht="18.75" customHeight="1">
      <c r="A55" s="34" t="s">
        <v>57</v>
      </c>
      <c r="B55" s="20"/>
      <c r="C55" s="20"/>
      <c r="D55" s="20"/>
      <c r="E55" s="20"/>
      <c r="F55" s="20"/>
      <c r="G55" s="20"/>
      <c r="H55" s="20"/>
      <c r="I55" s="26"/>
      <c r="J55" s="7"/>
      <c r="K55" s="7"/>
      <c r="L55" s="7"/>
      <c r="M55" s="7"/>
      <c r="N55" s="9"/>
      <c r="O55" s="9"/>
    </row>
    <row r="56" spans="1:15" s="8" customFormat="1" ht="18.75" customHeight="1">
      <c r="A56" s="34" t="s">
        <v>29</v>
      </c>
      <c r="B56" s="20">
        <v>1531744</v>
      </c>
      <c r="C56" s="20">
        <v>568227</v>
      </c>
      <c r="D56" s="20">
        <v>277849</v>
      </c>
      <c r="E56" s="20">
        <v>579103</v>
      </c>
      <c r="F56" s="20"/>
      <c r="G56" s="20"/>
      <c r="H56" s="20">
        <v>0</v>
      </c>
      <c r="I56" s="30">
        <f>+E56+D56+C56+B56+'07-08 Univ1'!H45+'07-08 Univ1'!G45+'07-08 Univ1'!F45+'07-08 Univ1'!E45+'07-08 Univ1'!D45+'07-08 Univ1'!C45+'07-08 Univ1'!B45</f>
        <v>20229207</v>
      </c>
      <c r="J56" s="7"/>
      <c r="K56" s="7"/>
      <c r="L56" s="7"/>
      <c r="M56" s="7"/>
      <c r="N56" s="9"/>
      <c r="O56" s="9"/>
    </row>
    <row r="57" spans="1:15" s="8" customFormat="1" ht="12.75" customHeight="1">
      <c r="A57" s="34"/>
      <c r="B57" s="20"/>
      <c r="C57" s="20"/>
      <c r="D57" s="20"/>
      <c r="E57" s="20"/>
      <c r="F57" s="20"/>
      <c r="G57" s="20"/>
      <c r="H57" s="20"/>
      <c r="I57" s="26"/>
      <c r="J57" s="7"/>
      <c r="K57" s="7"/>
      <c r="L57" s="7"/>
      <c r="M57" s="7"/>
      <c r="N57" s="9"/>
      <c r="O57" s="9"/>
    </row>
    <row r="58" spans="1:15" s="8" customFormat="1" ht="22.5">
      <c r="A58" s="34" t="s">
        <v>58</v>
      </c>
      <c r="B58" s="20"/>
      <c r="C58" s="20"/>
      <c r="D58" s="20"/>
      <c r="E58" s="20"/>
      <c r="F58" s="20"/>
      <c r="G58" s="20"/>
      <c r="H58" s="20"/>
      <c r="I58" s="26"/>
      <c r="J58" s="7"/>
      <c r="K58" s="7"/>
      <c r="L58" s="7"/>
      <c r="M58" s="7"/>
      <c r="N58" s="9"/>
      <c r="O58" s="9"/>
    </row>
    <row r="59" spans="1:15" s="8" customFormat="1" ht="22.5">
      <c r="A59" s="19" t="s">
        <v>29</v>
      </c>
      <c r="B59" s="20"/>
      <c r="C59" s="20"/>
      <c r="D59" s="20"/>
      <c r="E59" s="20"/>
      <c r="F59" s="20"/>
      <c r="G59" s="20"/>
      <c r="H59" s="20"/>
      <c r="I59" s="26">
        <v>0</v>
      </c>
      <c r="J59" s="7"/>
      <c r="K59" s="7"/>
      <c r="L59" s="7"/>
      <c r="M59" s="7"/>
      <c r="N59" s="9"/>
      <c r="O59" s="9"/>
    </row>
    <row r="60" spans="1:15" s="8" customFormat="1" ht="12.75" customHeight="1">
      <c r="A60" s="19"/>
      <c r="B60" s="20"/>
      <c r="C60" s="20"/>
      <c r="D60" s="20"/>
      <c r="E60" s="20"/>
      <c r="F60" s="20"/>
      <c r="G60" s="20"/>
      <c r="H60" s="20"/>
      <c r="I60" s="26"/>
      <c r="J60" s="7"/>
      <c r="K60" s="7"/>
      <c r="L60" s="7"/>
      <c r="M60" s="7"/>
      <c r="N60" s="9"/>
      <c r="O60" s="9"/>
    </row>
    <row r="61" spans="1:15" s="8" customFormat="1" ht="18.75" customHeight="1">
      <c r="A61" s="19" t="s">
        <v>59</v>
      </c>
      <c r="B61" s="20"/>
      <c r="C61" s="20"/>
      <c r="D61" s="20"/>
      <c r="E61" s="20"/>
      <c r="F61" s="20"/>
      <c r="G61" s="20"/>
      <c r="H61" s="20"/>
      <c r="I61" s="26"/>
      <c r="J61" s="7"/>
      <c r="K61" s="7"/>
      <c r="L61" s="7"/>
      <c r="M61" s="7"/>
      <c r="N61" s="9"/>
      <c r="O61" s="9"/>
    </row>
    <row r="62" spans="1:15" s="8" customFormat="1" ht="18.75" customHeight="1">
      <c r="A62" s="19" t="s">
        <v>32</v>
      </c>
      <c r="B62" s="20"/>
      <c r="C62" s="20"/>
      <c r="D62" s="20"/>
      <c r="E62" s="20"/>
      <c r="F62" s="20"/>
      <c r="G62" s="20"/>
      <c r="H62" s="20">
        <v>74336964</v>
      </c>
      <c r="I62" s="30">
        <f>+H62+E62+D62+C62+B62+'07-08 Univ1'!H51+'07-08 Univ1'!G51+'07-08 Univ1'!F51+'07-08 Univ1'!E51+'07-08 Univ1'!D51+'07-08 Univ1'!C51+'07-08 Univ1'!B51</f>
        <v>74336964</v>
      </c>
      <c r="J62" s="7"/>
      <c r="K62" s="7"/>
      <c r="L62" s="7"/>
      <c r="M62" s="7"/>
      <c r="N62" s="9"/>
      <c r="O62" s="9"/>
    </row>
    <row r="63" spans="1:15" s="8" customFormat="1" ht="12.75" customHeight="1">
      <c r="A63" s="19"/>
      <c r="B63" s="20"/>
      <c r="C63" s="20"/>
      <c r="D63" s="20"/>
      <c r="E63" s="20"/>
      <c r="F63" s="20"/>
      <c r="G63" s="20"/>
      <c r="H63" s="20"/>
      <c r="I63" s="26"/>
      <c r="J63" s="7"/>
      <c r="K63" s="7"/>
      <c r="L63" s="7"/>
      <c r="M63" s="7"/>
      <c r="N63" s="9"/>
      <c r="O63" s="9"/>
    </row>
    <row r="64" spans="1:15" s="8" customFormat="1" ht="18.75" customHeight="1">
      <c r="A64" s="19" t="s">
        <v>71</v>
      </c>
      <c r="B64" s="20"/>
      <c r="C64" s="20"/>
      <c r="D64" s="20"/>
      <c r="E64" s="20"/>
      <c r="F64" s="20"/>
      <c r="G64" s="20"/>
      <c r="H64" s="20"/>
      <c r="I64" s="26"/>
      <c r="J64" s="7"/>
      <c r="K64" s="7"/>
      <c r="L64" s="7"/>
      <c r="M64" s="7"/>
      <c r="N64" s="9"/>
      <c r="O64" s="9"/>
    </row>
    <row r="65" spans="1:15" s="8" customFormat="1" ht="21.75">
      <c r="A65" s="19" t="s">
        <v>29</v>
      </c>
      <c r="B65" s="20">
        <v>1248029</v>
      </c>
      <c r="C65" s="20">
        <v>935790</v>
      </c>
      <c r="D65" s="20">
        <v>295556</v>
      </c>
      <c r="E65" s="20">
        <v>83773</v>
      </c>
      <c r="F65" s="20">
        <v>0</v>
      </c>
      <c r="G65" s="20">
        <v>0</v>
      </c>
      <c r="H65" s="20">
        <v>0</v>
      </c>
      <c r="I65" s="30">
        <f>+H65+G65+F65+E65+D65+C65+B65+'07-08 Univ1'!H54+'07-08 Univ1'!G54+'07-08 Univ1'!F54+'07-08 Univ1'!E54+'07-08 Univ1'!D54+'07-08 Univ1'!C54+'07-08 Univ1'!B54</f>
        <v>12771962</v>
      </c>
      <c r="J65" s="7"/>
      <c r="K65" s="7"/>
      <c r="L65" s="7"/>
      <c r="M65" s="7"/>
      <c r="N65" s="9"/>
      <c r="O65" s="9"/>
    </row>
    <row r="66" spans="1:16" s="8" customFormat="1" ht="18.75" customHeight="1">
      <c r="A66" s="19" t="s">
        <v>35</v>
      </c>
      <c r="B66" s="39"/>
      <c r="C66" s="39"/>
      <c r="D66" s="39"/>
      <c r="E66" s="39"/>
      <c r="F66" s="39"/>
      <c r="G66" s="39"/>
      <c r="H66" s="39"/>
      <c r="I66" s="44">
        <f>+D66+C66+B66+'07-08 Univ1'!H55+'07-08 Univ1'!G55+'07-08 Univ1'!F55+'07-08 Univ1'!E55+'07-08 Univ1'!D55+'07-08 Univ1'!C55+'07-08 Univ1'!B55</f>
        <v>4131</v>
      </c>
      <c r="J66" s="7"/>
      <c r="K66" s="7"/>
      <c r="L66" s="7"/>
      <c r="M66" s="7"/>
      <c r="N66" s="9"/>
      <c r="O66" s="9"/>
      <c r="P66" s="9"/>
    </row>
    <row r="67" spans="1:16" s="8" customFormat="1" ht="22.5">
      <c r="A67" s="19" t="s">
        <v>28</v>
      </c>
      <c r="B67" s="20">
        <f>SUM(B65:B66)</f>
        <v>1248029</v>
      </c>
      <c r="C67" s="20">
        <f aca="true" t="shared" si="3" ref="C67:I67">SUM(C65:C66)</f>
        <v>935790</v>
      </c>
      <c r="D67" s="20">
        <f t="shared" si="3"/>
        <v>295556</v>
      </c>
      <c r="E67" s="20">
        <f t="shared" si="3"/>
        <v>83773</v>
      </c>
      <c r="F67" s="20">
        <f t="shared" si="3"/>
        <v>0</v>
      </c>
      <c r="G67" s="20">
        <f t="shared" si="3"/>
        <v>0</v>
      </c>
      <c r="H67" s="20">
        <f t="shared" si="3"/>
        <v>0</v>
      </c>
      <c r="I67" s="26">
        <f t="shared" si="3"/>
        <v>12776093</v>
      </c>
      <c r="J67" s="7"/>
      <c r="K67" s="7"/>
      <c r="L67" s="7"/>
      <c r="M67" s="7"/>
      <c r="N67" s="9"/>
      <c r="O67" s="9"/>
      <c r="P67" s="9"/>
    </row>
    <row r="68" spans="1:16" s="8" customFormat="1" ht="12.75" customHeight="1">
      <c r="A68" s="19"/>
      <c r="B68" s="22"/>
      <c r="C68" s="22"/>
      <c r="D68" s="22"/>
      <c r="E68" s="22"/>
      <c r="F68" s="22"/>
      <c r="G68" s="22"/>
      <c r="H68" s="22"/>
      <c r="I68" s="26"/>
      <c r="J68" s="7"/>
      <c r="K68" s="7"/>
      <c r="L68" s="7"/>
      <c r="M68" s="7"/>
      <c r="N68" s="9"/>
      <c r="O68" s="9"/>
      <c r="P68" s="9"/>
    </row>
    <row r="69" spans="1:16" s="8" customFormat="1" ht="24.75" customHeight="1">
      <c r="A69" s="49" t="s">
        <v>69</v>
      </c>
      <c r="B69" s="22"/>
      <c r="C69" s="22"/>
      <c r="D69" s="22"/>
      <c r="E69" s="22"/>
      <c r="F69" s="22"/>
      <c r="G69" s="22"/>
      <c r="H69" s="22"/>
      <c r="I69" s="26">
        <f>+E69+F69+G69+H69+D69+C69+B69+'07-08 Univ1'!H58+'07-08 Univ1'!G58+'07-08 Univ1'!F58+'07-08 Univ1'!E58+'07-08 Univ1'!D58+'07-08 Univ1'!C58+'07-08 Univ1'!B58</f>
        <v>0</v>
      </c>
      <c r="J69" s="7"/>
      <c r="K69" s="7"/>
      <c r="L69" s="7"/>
      <c r="M69" s="7"/>
      <c r="N69" s="9"/>
      <c r="O69" s="9"/>
      <c r="P69" s="9"/>
    </row>
    <row r="70" spans="1:16" s="8" customFormat="1" ht="18.75" customHeight="1">
      <c r="A70" s="19" t="s">
        <v>31</v>
      </c>
      <c r="B70" s="22"/>
      <c r="C70" s="22"/>
      <c r="D70" s="22"/>
      <c r="E70" s="22"/>
      <c r="F70" s="22"/>
      <c r="G70" s="22"/>
      <c r="H70" s="22"/>
      <c r="I70" s="26"/>
      <c r="J70" s="7"/>
      <c r="K70" s="7"/>
      <c r="L70" s="7"/>
      <c r="M70" s="7"/>
      <c r="N70" s="9"/>
      <c r="O70" s="9"/>
      <c r="P70" s="9"/>
    </row>
    <row r="71" spans="1:16" s="8" customFormat="1" ht="12.75" customHeight="1">
      <c r="A71" s="19"/>
      <c r="B71" s="22"/>
      <c r="C71" s="22"/>
      <c r="D71" s="22"/>
      <c r="E71" s="22"/>
      <c r="F71" s="22"/>
      <c r="G71" s="22"/>
      <c r="H71" s="22"/>
      <c r="I71" s="26"/>
      <c r="J71" s="7"/>
      <c r="K71" s="7"/>
      <c r="L71" s="7"/>
      <c r="M71" s="7"/>
      <c r="N71" s="9"/>
      <c r="O71" s="9"/>
      <c r="P71" s="9"/>
    </row>
    <row r="72" spans="1:15" s="8" customFormat="1" ht="18.75" customHeight="1">
      <c r="A72" s="19" t="s">
        <v>30</v>
      </c>
      <c r="B72" s="23"/>
      <c r="C72" s="23"/>
      <c r="D72" s="23"/>
      <c r="E72" s="23"/>
      <c r="F72" s="23"/>
      <c r="G72" s="23"/>
      <c r="H72" s="23"/>
      <c r="I72" s="26"/>
      <c r="J72" s="7"/>
      <c r="K72" s="7"/>
      <c r="L72" s="7"/>
      <c r="M72" s="7"/>
      <c r="N72" s="9"/>
      <c r="O72" s="9"/>
    </row>
    <row r="73" spans="1:15" s="8" customFormat="1" ht="18.75" customHeight="1">
      <c r="A73" s="19" t="s">
        <v>31</v>
      </c>
      <c r="B73" s="23">
        <f aca="true" t="shared" si="4" ref="B73:G73">B65+B59+B56+B41+B35+B26+B17+B10</f>
        <v>219944571</v>
      </c>
      <c r="C73" s="23">
        <f t="shared" si="4"/>
        <v>84757368</v>
      </c>
      <c r="D73" s="23">
        <f t="shared" si="4"/>
        <v>53167539</v>
      </c>
      <c r="E73" s="23">
        <f t="shared" si="4"/>
        <v>19070822</v>
      </c>
      <c r="F73" s="23">
        <f t="shared" si="4"/>
        <v>27502101</v>
      </c>
      <c r="G73" s="23">
        <f t="shared" si="4"/>
        <v>15038387</v>
      </c>
      <c r="H73" s="23">
        <f>H65+H59+H56+H53+H41+H35+H26+H17+H10</f>
        <v>100000000</v>
      </c>
      <c r="I73" s="47">
        <f>I65+I59+I56+I53+I41+I35+I26+I17+I10</f>
        <v>2118846141</v>
      </c>
      <c r="J73" s="7"/>
      <c r="K73" s="7"/>
      <c r="L73" s="7"/>
      <c r="M73" s="7"/>
      <c r="N73" s="9"/>
      <c r="O73" s="9"/>
    </row>
    <row r="74" spans="1:15" s="8" customFormat="1" ht="18.75" customHeight="1">
      <c r="A74" s="19" t="s">
        <v>32</v>
      </c>
      <c r="B74" s="23">
        <f aca="true" t="shared" si="5" ref="B74:I74">+B62+B42+B36+B27+B18+B11</f>
        <v>19913076</v>
      </c>
      <c r="C74" s="23">
        <f t="shared" si="5"/>
        <v>8237233</v>
      </c>
      <c r="D74" s="23">
        <f t="shared" si="5"/>
        <v>4625216</v>
      </c>
      <c r="E74" s="23">
        <f t="shared" si="5"/>
        <v>297544</v>
      </c>
      <c r="F74" s="23">
        <f t="shared" si="5"/>
        <v>359880</v>
      </c>
      <c r="G74" s="23">
        <f t="shared" si="5"/>
        <v>937035</v>
      </c>
      <c r="H74" s="23">
        <f t="shared" si="5"/>
        <v>74336964</v>
      </c>
      <c r="I74" s="48">
        <f t="shared" si="5"/>
        <v>229786758</v>
      </c>
      <c r="J74" s="7"/>
      <c r="K74" s="7"/>
      <c r="L74" s="7"/>
      <c r="M74" s="7"/>
      <c r="N74" s="9"/>
      <c r="O74" s="9"/>
    </row>
    <row r="75" spans="1:15" s="8" customFormat="1" ht="18.75" customHeight="1">
      <c r="A75" s="19" t="e">
        <f>'07-08 Univ1'!#REF!</f>
        <v>#REF!</v>
      </c>
      <c r="B75" s="23">
        <f aca="true" t="shared" si="6" ref="B75:H75">+B12</f>
        <v>116993470</v>
      </c>
      <c r="C75" s="23">
        <f t="shared" si="6"/>
        <v>44186756</v>
      </c>
      <c r="D75" s="23">
        <f t="shared" si="6"/>
        <v>27042842</v>
      </c>
      <c r="E75" s="23">
        <f t="shared" si="6"/>
        <v>3990616</v>
      </c>
      <c r="F75" s="23">
        <f t="shared" si="6"/>
        <v>7848566</v>
      </c>
      <c r="G75" s="23">
        <f t="shared" si="6"/>
        <v>4340099</v>
      </c>
      <c r="H75" s="23">
        <f t="shared" si="6"/>
        <v>0</v>
      </c>
      <c r="I75" s="48" t="e">
        <f>+I43+I37+I28+I12</f>
        <v>#REF!</v>
      </c>
      <c r="J75" s="7"/>
      <c r="K75" s="7"/>
      <c r="L75" s="7"/>
      <c r="M75" s="7"/>
      <c r="N75" s="9"/>
      <c r="O75" s="9"/>
    </row>
    <row r="76" spans="1:15" s="8" customFormat="1" ht="18.75" customHeight="1">
      <c r="A76" s="19" t="s">
        <v>61</v>
      </c>
      <c r="B76" s="23">
        <f aca="true" t="shared" si="7" ref="B76:I76">+B66+B31+B30+B29+B22+B21+B20+B13</f>
        <v>0</v>
      </c>
      <c r="C76" s="23">
        <f t="shared" si="7"/>
        <v>0</v>
      </c>
      <c r="D76" s="23">
        <f t="shared" si="7"/>
        <v>0</v>
      </c>
      <c r="E76" s="23">
        <f t="shared" si="7"/>
        <v>0</v>
      </c>
      <c r="F76" s="23">
        <f t="shared" si="7"/>
        <v>0</v>
      </c>
      <c r="G76" s="23">
        <f t="shared" si="7"/>
        <v>0</v>
      </c>
      <c r="H76" s="23">
        <f t="shared" si="7"/>
        <v>0</v>
      </c>
      <c r="I76" s="47" t="e">
        <f t="shared" si="7"/>
        <v>#REF!</v>
      </c>
      <c r="J76" s="7"/>
      <c r="K76" s="7"/>
      <c r="L76" s="7"/>
      <c r="M76" s="7"/>
      <c r="N76" s="9"/>
      <c r="O76" s="9"/>
    </row>
    <row r="77" spans="1:15" s="8" customFormat="1" ht="22.5" customHeight="1" thickBot="1">
      <c r="A77" s="17" t="s">
        <v>63</v>
      </c>
      <c r="B77" s="24">
        <f aca="true" t="shared" si="8" ref="B77:I77">SUM(B73:B76)</f>
        <v>356851117</v>
      </c>
      <c r="C77" s="24">
        <f t="shared" si="8"/>
        <v>137181357</v>
      </c>
      <c r="D77" s="24">
        <f t="shared" si="8"/>
        <v>84835597</v>
      </c>
      <c r="E77" s="24">
        <f t="shared" si="8"/>
        <v>23358982</v>
      </c>
      <c r="F77" s="24">
        <f t="shared" si="8"/>
        <v>35710547</v>
      </c>
      <c r="G77" s="24">
        <f t="shared" si="8"/>
        <v>20315521</v>
      </c>
      <c r="H77" s="24">
        <f t="shared" si="8"/>
        <v>174336964</v>
      </c>
      <c r="I77" s="45" t="e">
        <f t="shared" si="8"/>
        <v>#REF!</v>
      </c>
      <c r="J77" s="7"/>
      <c r="K77" s="7"/>
      <c r="L77" s="7"/>
      <c r="M77" s="7"/>
      <c r="N77" s="9"/>
      <c r="O77" s="9"/>
    </row>
    <row r="78" ht="54" customHeight="1" thickTop="1">
      <c r="A78" s="46" t="s">
        <v>41</v>
      </c>
    </row>
    <row r="80" ht="25.5" customHeight="1">
      <c r="A80" s="5"/>
    </row>
  </sheetData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landscape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zoomScale="50" zoomScaleNormal="50" zoomScaleSheetLayoutView="50" workbookViewId="0" topLeftCell="A1">
      <pane xSplit="1" ySplit="7" topLeftCell="I52" activePane="bottomRight" state="frozen"/>
      <selection pane="topLeft" activeCell="G10" sqref="G10:G11"/>
      <selection pane="topRight" activeCell="G10" sqref="G10:G11"/>
      <selection pane="bottomLeft" activeCell="G10" sqref="G10:G11"/>
      <selection pane="bottomRight" activeCell="G10" sqref="G10:G11"/>
    </sheetView>
  </sheetViews>
  <sheetFormatPr defaultColWidth="9.140625" defaultRowHeight="12" customHeight="1"/>
  <cols>
    <col min="1" max="1" width="80.7109375" style="1" customWidth="1"/>
    <col min="2" max="2" width="26.8515625" style="1" bestFit="1" customWidth="1"/>
    <col min="3" max="12" width="24.7109375" style="1" customWidth="1"/>
    <col min="13" max="13" width="37.00390625" style="26" customWidth="1"/>
    <col min="14" max="18" width="20.7109375" style="2" customWidth="1"/>
    <col min="19" max="24" width="20.7109375" style="1" customWidth="1"/>
    <col min="25" max="16384" width="9.140625" style="1" customWidth="1"/>
  </cols>
  <sheetData>
    <row r="1" spans="1:18" s="5" customFormat="1" ht="24" customHeight="1">
      <c r="A1" s="122" t="s">
        <v>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6"/>
      <c r="O1" s="6"/>
      <c r="P1" s="6"/>
      <c r="Q1" s="6"/>
      <c r="R1" s="6"/>
    </row>
    <row r="2" spans="1:13" ht="21" customHeight="1">
      <c r="A2" s="122" t="s">
        <v>64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21" customHeight="1">
      <c r="A3" s="123" t="s">
        <v>65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1.75" customHeight="1">
      <c r="A4" s="123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</row>
    <row r="5" spans="1:13" ht="12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27"/>
    </row>
    <row r="6" spans="1:13" ht="19.5" customHeight="1">
      <c r="A6" s="15"/>
      <c r="B6" s="17" t="s">
        <v>66</v>
      </c>
      <c r="C6" s="17"/>
      <c r="D6" s="17"/>
      <c r="E6" s="17"/>
      <c r="F6" s="17"/>
      <c r="G6" s="17"/>
      <c r="H6" s="17"/>
      <c r="I6" s="17" t="s">
        <v>24</v>
      </c>
      <c r="J6" s="17" t="s">
        <v>26</v>
      </c>
      <c r="K6" s="17" t="s">
        <v>0</v>
      </c>
      <c r="L6" s="17"/>
      <c r="M6" s="28"/>
    </row>
    <row r="7" spans="1:13" ht="18" customHeight="1">
      <c r="A7" s="15"/>
      <c r="B7" s="18" t="s">
        <v>67</v>
      </c>
      <c r="C7" s="18" t="s">
        <v>12</v>
      </c>
      <c r="D7" s="18" t="s">
        <v>13</v>
      </c>
      <c r="E7" s="18" t="s">
        <v>14</v>
      </c>
      <c r="F7" s="18" t="s">
        <v>15</v>
      </c>
      <c r="G7" s="18" t="s">
        <v>76</v>
      </c>
      <c r="H7" s="18" t="s">
        <v>77</v>
      </c>
      <c r="I7" s="18" t="s">
        <v>25</v>
      </c>
      <c r="J7" s="18" t="s">
        <v>27</v>
      </c>
      <c r="K7" s="18" t="s">
        <v>68</v>
      </c>
      <c r="L7" s="18"/>
      <c r="M7" s="29"/>
    </row>
    <row r="8" spans="1:20" ht="21.75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30"/>
      <c r="S8" s="3"/>
      <c r="T8" s="3"/>
    </row>
    <row r="9" spans="1:20" ht="18.75" customHeight="1">
      <c r="A9" s="19" t="s">
        <v>33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30"/>
      <c r="S9" s="3"/>
      <c r="T9" s="3"/>
    </row>
    <row r="10" spans="1:13" ht="18.75" customHeight="1">
      <c r="A10" s="19" t="s">
        <v>29</v>
      </c>
      <c r="B10" s="20">
        <f>+'07-08 Univ2'!I10</f>
        <v>1985844972</v>
      </c>
      <c r="C10" s="20"/>
      <c r="D10" s="20"/>
      <c r="E10" s="20"/>
      <c r="F10" s="20"/>
      <c r="G10" s="20"/>
      <c r="H10" s="20"/>
      <c r="I10" s="20"/>
      <c r="J10" s="20">
        <v>0</v>
      </c>
      <c r="K10" s="20">
        <f>SUM(B10:J10)</f>
        <v>1985844972</v>
      </c>
      <c r="L10" s="20"/>
      <c r="M10" s="30"/>
    </row>
    <row r="11" spans="1:20" ht="18.75" customHeight="1">
      <c r="A11" s="19" t="s">
        <v>32</v>
      </c>
      <c r="B11" s="20">
        <f>+'07-08 Univ2'!I11</f>
        <v>155449794</v>
      </c>
      <c r="C11" s="20"/>
      <c r="D11" s="20"/>
      <c r="E11" s="20"/>
      <c r="F11" s="20"/>
      <c r="G11" s="20"/>
      <c r="H11" s="20"/>
      <c r="I11" s="20"/>
      <c r="J11" s="20"/>
      <c r="K11" s="20">
        <f>SUM(B11:F11)</f>
        <v>155449794</v>
      </c>
      <c r="L11" s="20"/>
      <c r="M11" s="30"/>
      <c r="S11" s="3"/>
      <c r="T11" s="3"/>
    </row>
    <row r="12" spans="1:20" ht="18.75" customHeight="1">
      <c r="A12" s="19" t="s">
        <v>34</v>
      </c>
      <c r="B12" s="20" t="e">
        <f>+'07-08 Univ2'!I12</f>
        <v>#REF!</v>
      </c>
      <c r="C12" s="20"/>
      <c r="D12" s="20"/>
      <c r="E12" s="20"/>
      <c r="F12" s="20"/>
      <c r="G12" s="20"/>
      <c r="H12" s="20"/>
      <c r="I12" s="20"/>
      <c r="J12" s="20"/>
      <c r="K12" s="20" t="e">
        <f>SUM(B12:F12)</f>
        <v>#REF!</v>
      </c>
      <c r="L12" s="20"/>
      <c r="M12" s="30"/>
      <c r="S12" s="3"/>
      <c r="T12" s="3"/>
    </row>
    <row r="13" spans="1:20" s="42" customFormat="1" ht="18.75" customHeight="1">
      <c r="A13" s="35" t="s">
        <v>35</v>
      </c>
      <c r="B13" s="25" t="e">
        <f>+'07-08 Univ2'!I13</f>
        <v>#REF!</v>
      </c>
      <c r="C13" s="25"/>
      <c r="D13" s="25"/>
      <c r="E13" s="25"/>
      <c r="F13" s="25"/>
      <c r="G13" s="25"/>
      <c r="H13" s="25"/>
      <c r="I13" s="25"/>
      <c r="J13" s="25"/>
      <c r="K13" s="25" t="e">
        <f>SUM(B13:F13)</f>
        <v>#REF!</v>
      </c>
      <c r="L13" s="25"/>
      <c r="M13" s="32"/>
      <c r="N13" s="40"/>
      <c r="O13" s="40"/>
      <c r="P13" s="40"/>
      <c r="Q13" s="40"/>
      <c r="R13" s="40"/>
      <c r="S13" s="41"/>
      <c r="T13" s="41"/>
    </row>
    <row r="14" spans="1:20" ht="21.75">
      <c r="A14" s="19" t="s">
        <v>36</v>
      </c>
      <c r="B14" s="20" t="e">
        <f>SUM(B10:B13)</f>
        <v>#REF!</v>
      </c>
      <c r="C14" s="20"/>
      <c r="D14" s="20">
        <f>SUM(D10:D13)</f>
        <v>0</v>
      </c>
      <c r="E14" s="20">
        <f>SUM(E10:E13)</f>
        <v>0</v>
      </c>
      <c r="F14" s="20">
        <f>SUM(F10:F13)</f>
        <v>0</v>
      </c>
      <c r="G14" s="20"/>
      <c r="H14" s="20"/>
      <c r="I14" s="20"/>
      <c r="J14" s="20"/>
      <c r="K14" s="20" t="e">
        <f>SUM(K10:K13)</f>
        <v>#REF!</v>
      </c>
      <c r="L14" s="20"/>
      <c r="M14" s="30"/>
      <c r="S14" s="3"/>
      <c r="T14" s="3"/>
    </row>
    <row r="15" spans="1:20" ht="12.75" customHeight="1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0"/>
      <c r="S15" s="3"/>
      <c r="T15" s="3"/>
    </row>
    <row r="16" spans="1:20" ht="18.75" customHeight="1">
      <c r="A16" s="19" t="s">
        <v>16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30"/>
      <c r="S16" s="3"/>
      <c r="T16" s="3"/>
    </row>
    <row r="17" spans="1:20" ht="18.75" customHeight="1">
      <c r="A17" s="19" t="s">
        <v>29</v>
      </c>
      <c r="B17" s="20">
        <f>+'07-08 Univ1'!B15</f>
        <v>0</v>
      </c>
      <c r="C17" s="20">
        <v>135237011</v>
      </c>
      <c r="D17" s="20"/>
      <c r="E17" s="20"/>
      <c r="F17" s="20"/>
      <c r="G17" s="20"/>
      <c r="H17" s="20"/>
      <c r="I17" s="20"/>
      <c r="J17" s="20"/>
      <c r="K17" s="20">
        <f>SUM(B17:J17)</f>
        <v>135237011</v>
      </c>
      <c r="L17" s="20"/>
      <c r="M17" s="30"/>
      <c r="S17" s="3"/>
      <c r="T17" s="3"/>
    </row>
    <row r="18" spans="1:20" ht="18.75" customHeight="1">
      <c r="A18" s="19" t="s">
        <v>32</v>
      </c>
      <c r="B18" s="20">
        <f>+'07-08 Univ1'!B16</f>
        <v>0</v>
      </c>
      <c r="C18" s="20">
        <v>8720592</v>
      </c>
      <c r="D18" s="20"/>
      <c r="E18" s="20"/>
      <c r="F18" s="20"/>
      <c r="G18" s="20"/>
      <c r="H18" s="20"/>
      <c r="I18" s="20"/>
      <c r="J18" s="20"/>
      <c r="K18" s="20">
        <f>SUM(B18:F18)</f>
        <v>8720592</v>
      </c>
      <c r="L18" s="20"/>
      <c r="M18" s="30"/>
      <c r="S18" s="3"/>
      <c r="T18" s="3"/>
    </row>
    <row r="19" spans="1:20" ht="18.75" customHeight="1">
      <c r="A19" s="19" t="s">
        <v>42</v>
      </c>
      <c r="B19" s="20" t="e">
        <f>+'07-08 Univ1'!#REF!</f>
        <v>#REF!</v>
      </c>
      <c r="C19" s="20">
        <v>3857629</v>
      </c>
      <c r="D19" s="20"/>
      <c r="E19" s="20"/>
      <c r="F19" s="20"/>
      <c r="G19" s="20"/>
      <c r="H19" s="20"/>
      <c r="I19" s="20"/>
      <c r="J19" s="20"/>
      <c r="K19" s="20">
        <v>3857629</v>
      </c>
      <c r="L19" s="20"/>
      <c r="M19" s="30"/>
      <c r="S19" s="3"/>
      <c r="T19" s="3"/>
    </row>
    <row r="20" spans="1:20" ht="18.75" customHeight="1">
      <c r="A20" s="19" t="s">
        <v>43</v>
      </c>
      <c r="B20" s="20" t="e">
        <f>+'07-08 Univ1'!#REF!</f>
        <v>#REF!</v>
      </c>
      <c r="C20" s="20">
        <v>660000</v>
      </c>
      <c r="D20" s="20"/>
      <c r="E20" s="20"/>
      <c r="F20" s="20"/>
      <c r="G20" s="20"/>
      <c r="H20" s="20"/>
      <c r="I20" s="20"/>
      <c r="J20" s="20"/>
      <c r="K20" s="20">
        <v>660000</v>
      </c>
      <c r="L20" s="20"/>
      <c r="M20" s="30"/>
      <c r="S20" s="3"/>
      <c r="T20" s="3"/>
    </row>
    <row r="21" spans="1:20" ht="18.75" customHeight="1">
      <c r="A21" s="19" t="s">
        <v>44</v>
      </c>
      <c r="B21" s="25" t="e">
        <f>+'07-08 Univ1'!#REF!</f>
        <v>#REF!</v>
      </c>
      <c r="C21" s="25">
        <v>5443912</v>
      </c>
      <c r="D21" s="25"/>
      <c r="E21" s="25"/>
      <c r="F21" s="25"/>
      <c r="G21" s="25"/>
      <c r="H21" s="25"/>
      <c r="I21" s="25"/>
      <c r="J21" s="25"/>
      <c r="K21" s="25">
        <v>5443912</v>
      </c>
      <c r="L21" s="25"/>
      <c r="M21" s="32"/>
      <c r="S21" s="3"/>
      <c r="T21" s="3"/>
    </row>
    <row r="22" spans="1:20" ht="18.75" customHeight="1">
      <c r="A22" s="19" t="s">
        <v>47</v>
      </c>
      <c r="B22" s="39" t="e">
        <f>+'07-08 Univ1'!#REF!</f>
        <v>#REF!</v>
      </c>
      <c r="C22" s="39">
        <v>1370000</v>
      </c>
      <c r="D22" s="39"/>
      <c r="E22" s="39"/>
      <c r="F22" s="39"/>
      <c r="G22" s="39"/>
      <c r="H22" s="39"/>
      <c r="I22" s="39"/>
      <c r="J22" s="39"/>
      <c r="K22" s="39">
        <v>1370000</v>
      </c>
      <c r="L22" s="25"/>
      <c r="M22" s="32"/>
      <c r="S22" s="3"/>
      <c r="T22" s="3"/>
    </row>
    <row r="23" spans="1:20" ht="21.75">
      <c r="A23" s="19" t="s">
        <v>45</v>
      </c>
      <c r="B23" s="20" t="e">
        <f>SUM(B17:B22)</f>
        <v>#REF!</v>
      </c>
      <c r="C23" s="20">
        <f>SUM(C17:C22)</f>
        <v>155289144</v>
      </c>
      <c r="D23" s="20"/>
      <c r="E23" s="20"/>
      <c r="F23" s="20"/>
      <c r="G23" s="20"/>
      <c r="H23" s="20"/>
      <c r="I23" s="20"/>
      <c r="J23" s="20"/>
      <c r="K23" s="20">
        <f>SUM(K17:K22)</f>
        <v>155289144</v>
      </c>
      <c r="L23" s="20"/>
      <c r="M23" s="30"/>
      <c r="S23" s="3"/>
      <c r="T23" s="3"/>
    </row>
    <row r="24" spans="1:20" ht="12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0"/>
      <c r="S24" s="3"/>
      <c r="T24" s="3"/>
    </row>
    <row r="25" spans="1:20" ht="18.75" customHeight="1">
      <c r="A25" s="19" t="s">
        <v>46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0"/>
      <c r="S25" s="3"/>
      <c r="T25" s="3"/>
    </row>
    <row r="26" spans="1:20" ht="18.75" customHeight="1">
      <c r="A26" s="19" t="s">
        <v>29</v>
      </c>
      <c r="B26" s="20">
        <v>0</v>
      </c>
      <c r="C26" s="20"/>
      <c r="D26" s="20">
        <v>96396180</v>
      </c>
      <c r="E26" s="20"/>
      <c r="F26" s="20"/>
      <c r="G26" s="20"/>
      <c r="H26" s="20"/>
      <c r="I26" s="20"/>
      <c r="J26" s="20"/>
      <c r="K26" s="20">
        <f>SUM(B26:J26)</f>
        <v>96396180</v>
      </c>
      <c r="L26" s="20"/>
      <c r="M26" s="30"/>
      <c r="S26" s="3"/>
      <c r="T26" s="3"/>
    </row>
    <row r="27" spans="1:20" ht="18.75" customHeight="1">
      <c r="A27" s="19" t="s">
        <v>62</v>
      </c>
      <c r="B27" s="20">
        <v>0</v>
      </c>
      <c r="C27" s="20"/>
      <c r="D27" s="20">
        <v>4490799</v>
      </c>
      <c r="E27" s="20"/>
      <c r="F27" s="20"/>
      <c r="G27" s="20"/>
      <c r="H27" s="20"/>
      <c r="I27" s="20"/>
      <c r="J27" s="20"/>
      <c r="K27" s="20">
        <f>SUM(B27:F27)</f>
        <v>4490799</v>
      </c>
      <c r="L27" s="20"/>
      <c r="M27" s="30"/>
      <c r="S27" s="3"/>
      <c r="T27" s="3"/>
    </row>
    <row r="28" spans="1:20" ht="18.75" customHeight="1">
      <c r="A28" s="19" t="s">
        <v>34</v>
      </c>
      <c r="B28" s="20">
        <v>0</v>
      </c>
      <c r="C28" s="20"/>
      <c r="D28" s="20">
        <v>20613583</v>
      </c>
      <c r="E28" s="20"/>
      <c r="F28" s="20"/>
      <c r="G28" s="20"/>
      <c r="H28" s="20"/>
      <c r="I28" s="20"/>
      <c r="J28" s="20"/>
      <c r="K28" s="20">
        <f>SUM(B28:F28)</f>
        <v>20613583</v>
      </c>
      <c r="L28" s="20"/>
      <c r="M28" s="30"/>
      <c r="S28" s="3"/>
      <c r="T28" s="3"/>
    </row>
    <row r="29" spans="1:20" ht="18.75" customHeight="1">
      <c r="A29" s="19" t="s">
        <v>48</v>
      </c>
      <c r="B29" s="20">
        <v>0</v>
      </c>
      <c r="C29" s="20"/>
      <c r="D29" s="20">
        <v>3820000</v>
      </c>
      <c r="E29" s="20"/>
      <c r="F29" s="20"/>
      <c r="G29" s="20"/>
      <c r="H29" s="20"/>
      <c r="I29" s="20"/>
      <c r="J29" s="20"/>
      <c r="K29" s="20">
        <f>SUM(B29:F29)</f>
        <v>3820000</v>
      </c>
      <c r="L29" s="20"/>
      <c r="M29" s="30"/>
      <c r="S29" s="3"/>
      <c r="T29" s="3"/>
    </row>
    <row r="30" spans="1:20" ht="18.75" customHeight="1">
      <c r="A30" s="19" t="s">
        <v>49</v>
      </c>
      <c r="B30" s="20">
        <v>0</v>
      </c>
      <c r="C30" s="20"/>
      <c r="D30" s="20">
        <v>11000000</v>
      </c>
      <c r="E30" s="20"/>
      <c r="F30" s="20"/>
      <c r="G30" s="20"/>
      <c r="H30" s="20"/>
      <c r="I30" s="20"/>
      <c r="J30" s="20"/>
      <c r="K30" s="20">
        <f>SUM(B30:F30)</f>
        <v>11000000</v>
      </c>
      <c r="L30" s="20"/>
      <c r="M30" s="30"/>
      <c r="S30" s="3"/>
      <c r="T30" s="3"/>
    </row>
    <row r="31" spans="1:20" ht="18.75" customHeight="1">
      <c r="A31" s="19" t="s">
        <v>50</v>
      </c>
      <c r="B31" s="39">
        <v>0</v>
      </c>
      <c r="C31" s="39"/>
      <c r="D31" s="39">
        <v>0</v>
      </c>
      <c r="E31" s="39"/>
      <c r="F31" s="39"/>
      <c r="G31" s="39"/>
      <c r="H31" s="39"/>
      <c r="I31" s="39"/>
      <c r="J31" s="39"/>
      <c r="K31" s="39">
        <f>SUM(B31:F31)</f>
        <v>0</v>
      </c>
      <c r="L31" s="20"/>
      <c r="M31" s="30"/>
      <c r="S31" s="3"/>
      <c r="T31" s="3"/>
    </row>
    <row r="32" spans="1:20" ht="18.75" customHeight="1">
      <c r="A32" s="19" t="s">
        <v>51</v>
      </c>
      <c r="B32" s="20">
        <f aca="true" t="shared" si="0" ref="B32:K32">SUM(B26:B31)</f>
        <v>0</v>
      </c>
      <c r="C32" s="20">
        <f t="shared" si="0"/>
        <v>0</v>
      </c>
      <c r="D32" s="20">
        <f t="shared" si="0"/>
        <v>136320562</v>
      </c>
      <c r="E32" s="20">
        <f t="shared" si="0"/>
        <v>0</v>
      </c>
      <c r="F32" s="20">
        <f t="shared" si="0"/>
        <v>0</v>
      </c>
      <c r="G32" s="20"/>
      <c r="H32" s="20"/>
      <c r="I32" s="20"/>
      <c r="J32" s="20"/>
      <c r="K32" s="20">
        <f t="shared" si="0"/>
        <v>136320562</v>
      </c>
      <c r="L32" s="20"/>
      <c r="M32" s="30"/>
      <c r="S32" s="3"/>
      <c r="T32" s="3"/>
    </row>
    <row r="33" spans="1:20" ht="12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30"/>
      <c r="S33" s="3"/>
      <c r="T33" s="3"/>
    </row>
    <row r="34" spans="1:20" ht="18.75" customHeight="1">
      <c r="A34" s="19" t="s">
        <v>52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30"/>
      <c r="S34" s="3"/>
      <c r="T34" s="3"/>
    </row>
    <row r="35" spans="1:20" ht="18.75" customHeight="1">
      <c r="A35" s="19" t="s">
        <v>29</v>
      </c>
      <c r="B35" s="20">
        <f>+'07-08 Univ2'!I35</f>
        <v>0</v>
      </c>
      <c r="C35" s="20"/>
      <c r="D35" s="20"/>
      <c r="E35" s="20">
        <v>64927955</v>
      </c>
      <c r="F35" s="20"/>
      <c r="G35" s="20"/>
      <c r="H35" s="20"/>
      <c r="I35" s="20"/>
      <c r="J35" s="20"/>
      <c r="K35" s="20">
        <f>SUM(B35:J35)</f>
        <v>64927955</v>
      </c>
      <c r="L35" s="20"/>
      <c r="M35" s="30"/>
      <c r="N35" s="4"/>
      <c r="O35" s="4"/>
      <c r="P35" s="4"/>
      <c r="Q35" s="4"/>
      <c r="R35" s="4"/>
      <c r="S35" s="4"/>
      <c r="T35" s="3"/>
    </row>
    <row r="36" spans="1:20" ht="18.75" customHeight="1">
      <c r="A36" s="19" t="s">
        <v>32</v>
      </c>
      <c r="B36" s="20">
        <f>+'07-08 Univ2'!I36</f>
        <v>0</v>
      </c>
      <c r="C36" s="20"/>
      <c r="D36" s="20"/>
      <c r="E36" s="20">
        <v>2698719</v>
      </c>
      <c r="F36" s="20"/>
      <c r="G36" s="20"/>
      <c r="H36" s="20"/>
      <c r="I36" s="20"/>
      <c r="J36" s="20"/>
      <c r="K36" s="20">
        <f>SUM(B36:F36)</f>
        <v>2698719</v>
      </c>
      <c r="L36" s="20"/>
      <c r="M36" s="30"/>
      <c r="N36" s="4"/>
      <c r="O36" s="4"/>
      <c r="P36" s="4"/>
      <c r="Q36" s="4"/>
      <c r="R36" s="4"/>
      <c r="S36" s="4"/>
      <c r="T36" s="3"/>
    </row>
    <row r="37" spans="1:20" ht="18.75" customHeight="1">
      <c r="A37" s="19" t="s">
        <v>34</v>
      </c>
      <c r="B37" s="39">
        <f>+'07-08 Univ2'!I37</f>
        <v>0</v>
      </c>
      <c r="C37" s="39"/>
      <c r="D37" s="39"/>
      <c r="E37" s="39">
        <v>20871302</v>
      </c>
      <c r="F37" s="39"/>
      <c r="G37" s="39"/>
      <c r="H37" s="39"/>
      <c r="I37" s="39"/>
      <c r="J37" s="39"/>
      <c r="K37" s="39">
        <f>SUM(B37:F37)</f>
        <v>20871302</v>
      </c>
      <c r="L37" s="20"/>
      <c r="M37" s="30"/>
      <c r="N37" s="4"/>
      <c r="O37" s="4"/>
      <c r="P37" s="4"/>
      <c r="Q37" s="4"/>
      <c r="R37" s="4"/>
      <c r="S37" s="4"/>
      <c r="T37" s="3"/>
    </row>
    <row r="38" spans="1:20" ht="21.75">
      <c r="A38" s="19" t="s">
        <v>53</v>
      </c>
      <c r="B38" s="20">
        <f aca="true" t="shared" si="1" ref="B38:K38">SUM(B35:B37)</f>
        <v>0</v>
      </c>
      <c r="C38" s="20">
        <f t="shared" si="1"/>
        <v>0</v>
      </c>
      <c r="D38" s="20">
        <f t="shared" si="1"/>
        <v>0</v>
      </c>
      <c r="E38" s="20">
        <f t="shared" si="1"/>
        <v>88497976</v>
      </c>
      <c r="F38" s="20">
        <f t="shared" si="1"/>
        <v>0</v>
      </c>
      <c r="G38" s="20"/>
      <c r="H38" s="20"/>
      <c r="I38" s="20"/>
      <c r="J38" s="20"/>
      <c r="K38" s="20">
        <f t="shared" si="1"/>
        <v>88497976</v>
      </c>
      <c r="L38" s="20"/>
      <c r="M38" s="30"/>
      <c r="S38" s="3"/>
      <c r="T38" s="3"/>
    </row>
    <row r="39" spans="1:20" ht="12.75" customHeight="1">
      <c r="A39" s="19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30"/>
      <c r="S39" s="3"/>
      <c r="T39" s="3"/>
    </row>
    <row r="40" spans="1:20" ht="18.75" customHeight="1">
      <c r="A40" s="19" t="s">
        <v>54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30"/>
      <c r="S40" s="3"/>
      <c r="T40" s="3"/>
    </row>
    <row r="41" spans="1:20" ht="18.75" customHeight="1">
      <c r="A41" s="19" t="s">
        <v>29</v>
      </c>
      <c r="B41" s="20">
        <f>+'07-08 Univ1'!B30</f>
        <v>0</v>
      </c>
      <c r="C41" s="20"/>
      <c r="D41" s="20"/>
      <c r="E41" s="20"/>
      <c r="F41" s="20">
        <v>45017734</v>
      </c>
      <c r="G41" s="20"/>
      <c r="H41" s="20"/>
      <c r="I41" s="20"/>
      <c r="J41" s="20"/>
      <c r="K41" s="20">
        <f>SUM(B41:J41)</f>
        <v>45017734</v>
      </c>
      <c r="L41" s="20"/>
      <c r="M41" s="30"/>
      <c r="S41" s="3"/>
      <c r="T41" s="3"/>
    </row>
    <row r="42" spans="1:20" ht="18.75" customHeight="1">
      <c r="A42" s="19" t="s">
        <v>32</v>
      </c>
      <c r="B42" s="25">
        <f>+'07-08 Univ1'!B31</f>
        <v>0</v>
      </c>
      <c r="C42" s="25"/>
      <c r="D42" s="25"/>
      <c r="E42" s="25"/>
      <c r="F42" s="25">
        <v>3132</v>
      </c>
      <c r="G42" s="25"/>
      <c r="H42" s="25"/>
      <c r="I42" s="25"/>
      <c r="J42" s="25"/>
      <c r="K42" s="25">
        <f>SUM(B42:F42)</f>
        <v>3132</v>
      </c>
      <c r="L42" s="20"/>
      <c r="M42" s="30"/>
      <c r="S42" s="3"/>
      <c r="T42" s="3"/>
    </row>
    <row r="43" spans="1:20" ht="18.75" customHeight="1">
      <c r="A43" s="19" t="s">
        <v>34</v>
      </c>
      <c r="B43" s="39">
        <f>+'07-08 Univ1'!B32</f>
        <v>0</v>
      </c>
      <c r="C43" s="39"/>
      <c r="D43" s="39"/>
      <c r="E43" s="39"/>
      <c r="F43" s="39">
        <v>7921099</v>
      </c>
      <c r="G43" s="39"/>
      <c r="H43" s="39"/>
      <c r="I43" s="39"/>
      <c r="J43" s="39"/>
      <c r="K43" s="39">
        <f>SUM(B43:F43)</f>
        <v>7921099</v>
      </c>
      <c r="L43" s="25"/>
      <c r="M43" s="32"/>
      <c r="S43" s="3"/>
      <c r="T43" s="3"/>
    </row>
    <row r="44" spans="1:20" ht="18.75" customHeight="1">
      <c r="A44" s="19" t="s">
        <v>56</v>
      </c>
      <c r="B44" s="25">
        <f>SUM(B41:B42)</f>
        <v>0</v>
      </c>
      <c r="C44" s="25">
        <f>SUM(C41:C42)</f>
        <v>0</v>
      </c>
      <c r="D44" s="25">
        <f>SUM(D41:D42)</f>
        <v>0</v>
      </c>
      <c r="E44" s="25">
        <f>SUM(E41:E42)</f>
        <v>0</v>
      </c>
      <c r="F44" s="25">
        <f>SUM(F41:F43)</f>
        <v>52941965</v>
      </c>
      <c r="G44" s="25"/>
      <c r="H44" s="25"/>
      <c r="I44" s="25"/>
      <c r="J44" s="25"/>
      <c r="K44" s="25">
        <f>SUM(K41:K43)</f>
        <v>52941965</v>
      </c>
      <c r="L44" s="25"/>
      <c r="M44" s="32"/>
      <c r="S44" s="3"/>
      <c r="T44" s="3"/>
    </row>
    <row r="45" spans="1:19" s="8" customFormat="1" ht="12.75" customHeight="1">
      <c r="A45" s="34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6"/>
      <c r="N45" s="7"/>
      <c r="O45" s="7"/>
      <c r="P45" s="7"/>
      <c r="Q45" s="7"/>
      <c r="R45" s="9"/>
      <c r="S45" s="9"/>
    </row>
    <row r="46" spans="1:19" s="8" customFormat="1" ht="18.75" customHeight="1">
      <c r="A46" s="19" t="s">
        <v>74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6"/>
      <c r="N46" s="7"/>
      <c r="O46" s="7"/>
      <c r="P46" s="7"/>
      <c r="Q46" s="7"/>
      <c r="R46" s="9"/>
      <c r="S46" s="9"/>
    </row>
    <row r="47" spans="1:19" s="8" customFormat="1" ht="18.75" customHeight="1">
      <c r="A47" s="19" t="s">
        <v>29</v>
      </c>
      <c r="B47" s="20"/>
      <c r="C47" s="20"/>
      <c r="D47" s="20"/>
      <c r="E47" s="20"/>
      <c r="F47" s="20"/>
      <c r="G47" s="20">
        <v>4707531</v>
      </c>
      <c r="H47" s="20"/>
      <c r="I47" s="20"/>
      <c r="J47" s="20"/>
      <c r="K47" s="20">
        <f>SUM(B47:J47)</f>
        <v>4707531</v>
      </c>
      <c r="L47" s="20"/>
      <c r="M47" s="26"/>
      <c r="N47" s="7"/>
      <c r="O47" s="7"/>
      <c r="P47" s="7"/>
      <c r="Q47" s="7"/>
      <c r="R47" s="9"/>
      <c r="S47" s="9"/>
    </row>
    <row r="48" spans="1:19" s="8" customFormat="1" ht="12.75" customHeight="1">
      <c r="A48" s="1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6"/>
      <c r="N48" s="7"/>
      <c r="O48" s="7"/>
      <c r="P48" s="7"/>
      <c r="Q48" s="7"/>
      <c r="R48" s="9"/>
      <c r="S48" s="9"/>
    </row>
    <row r="49" spans="1:19" s="8" customFormat="1" ht="18.75" customHeight="1">
      <c r="A49" s="19" t="s">
        <v>75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6"/>
      <c r="N49" s="7"/>
      <c r="O49" s="7"/>
      <c r="P49" s="7"/>
      <c r="Q49" s="7"/>
      <c r="R49" s="9"/>
      <c r="S49" s="9"/>
    </row>
    <row r="50" spans="1:19" s="8" customFormat="1" ht="18.75" customHeight="1">
      <c r="A50" s="19" t="s">
        <v>29</v>
      </c>
      <c r="B50" s="20"/>
      <c r="C50" s="20"/>
      <c r="D50" s="20"/>
      <c r="E50" s="20"/>
      <c r="F50" s="20"/>
      <c r="G50" s="20"/>
      <c r="H50" s="20">
        <v>5471895</v>
      </c>
      <c r="I50" s="20"/>
      <c r="J50" s="20"/>
      <c r="K50" s="20">
        <f>SUM(B50:J50)</f>
        <v>5471895</v>
      </c>
      <c r="L50" s="20"/>
      <c r="M50" s="26"/>
      <c r="N50" s="7"/>
      <c r="O50" s="7"/>
      <c r="P50" s="7"/>
      <c r="Q50" s="7"/>
      <c r="R50" s="9"/>
      <c r="S50" s="9"/>
    </row>
    <row r="51" spans="1:19" s="8" customFormat="1" ht="12.75" customHeight="1">
      <c r="A51" s="34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6"/>
      <c r="N51" s="7"/>
      <c r="O51" s="7"/>
      <c r="P51" s="7"/>
      <c r="Q51" s="7"/>
      <c r="R51" s="9"/>
      <c r="S51" s="9"/>
    </row>
    <row r="52" spans="1:19" s="8" customFormat="1" ht="18.75" customHeight="1">
      <c r="A52" s="19" t="s">
        <v>73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6"/>
      <c r="N52" s="7"/>
      <c r="O52" s="7"/>
      <c r="P52" s="7"/>
      <c r="Q52" s="7"/>
      <c r="R52" s="9"/>
      <c r="S52" s="9"/>
    </row>
    <row r="53" spans="1:19" s="8" customFormat="1" ht="18.75" customHeight="1">
      <c r="A53" s="19" t="s">
        <v>29</v>
      </c>
      <c r="B53" s="20">
        <f>+'07-08 Univ2'!I53</f>
        <v>100000000</v>
      </c>
      <c r="C53" s="20"/>
      <c r="D53" s="20"/>
      <c r="E53" s="20"/>
      <c r="F53" s="20"/>
      <c r="G53" s="20"/>
      <c r="H53" s="20"/>
      <c r="I53" s="20"/>
      <c r="J53" s="20"/>
      <c r="K53" s="20">
        <f>+'07-08 Univ2'!I53</f>
        <v>100000000</v>
      </c>
      <c r="L53" s="20"/>
      <c r="M53" s="26"/>
      <c r="N53" s="7"/>
      <c r="O53" s="7"/>
      <c r="P53" s="7"/>
      <c r="Q53" s="7"/>
      <c r="R53" s="9"/>
      <c r="S53" s="9"/>
    </row>
    <row r="54" spans="1:19" s="8" customFormat="1" ht="12.75" customHeight="1">
      <c r="A54" s="19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6"/>
      <c r="N54" s="7"/>
      <c r="O54" s="7"/>
      <c r="P54" s="7"/>
      <c r="Q54" s="7"/>
      <c r="R54" s="9"/>
      <c r="S54" s="9"/>
    </row>
    <row r="55" spans="1:19" s="8" customFormat="1" ht="18.75" customHeight="1">
      <c r="A55" s="34" t="s">
        <v>57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6"/>
      <c r="N55" s="7"/>
      <c r="O55" s="7"/>
      <c r="P55" s="7"/>
      <c r="Q55" s="7"/>
      <c r="R55" s="9"/>
      <c r="S55" s="9"/>
    </row>
    <row r="56" spans="1:19" s="8" customFormat="1" ht="18.75" customHeight="1">
      <c r="A56" s="34" t="s">
        <v>29</v>
      </c>
      <c r="B56" s="30">
        <v>20229207</v>
      </c>
      <c r="C56" s="20">
        <v>0</v>
      </c>
      <c r="D56" s="20">
        <v>0</v>
      </c>
      <c r="E56" s="20">
        <v>0</v>
      </c>
      <c r="F56" s="20">
        <v>0</v>
      </c>
      <c r="G56" s="20"/>
      <c r="H56" s="20"/>
      <c r="I56" s="20"/>
      <c r="J56" s="20"/>
      <c r="K56" s="20">
        <f>SUM(B56:F56)</f>
        <v>20229207</v>
      </c>
      <c r="L56" s="20"/>
      <c r="M56" s="26"/>
      <c r="N56" s="7"/>
      <c r="O56" s="7"/>
      <c r="P56" s="7"/>
      <c r="Q56" s="7"/>
      <c r="R56" s="9"/>
      <c r="S56" s="9"/>
    </row>
    <row r="57" spans="1:19" s="8" customFormat="1" ht="12.75" customHeight="1">
      <c r="A57" s="34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6"/>
      <c r="N57" s="7"/>
      <c r="O57" s="7"/>
      <c r="P57" s="7"/>
      <c r="Q57" s="7"/>
      <c r="R57" s="9"/>
      <c r="S57" s="9"/>
    </row>
    <row r="58" spans="1:19" s="8" customFormat="1" ht="22.5">
      <c r="A58" s="34" t="s">
        <v>58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N58" s="7"/>
      <c r="O58" s="7"/>
      <c r="P58" s="7"/>
      <c r="Q58" s="7"/>
      <c r="R58" s="9"/>
      <c r="S58" s="9"/>
    </row>
    <row r="59" spans="1:19" s="8" customFormat="1" ht="22.5">
      <c r="A59" s="19" t="s">
        <v>29</v>
      </c>
      <c r="B59" s="20">
        <f>+'07-08 Univ2'!I59</f>
        <v>0</v>
      </c>
      <c r="C59" s="20"/>
      <c r="D59" s="20"/>
      <c r="E59" s="20"/>
      <c r="F59" s="20"/>
      <c r="G59" s="20"/>
      <c r="H59" s="20"/>
      <c r="I59" s="20">
        <v>13940335</v>
      </c>
      <c r="J59" s="20"/>
      <c r="K59" s="20">
        <f>SUM(B59:J59)</f>
        <v>13940335</v>
      </c>
      <c r="L59" s="20"/>
      <c r="M59" s="26"/>
      <c r="N59" s="7"/>
      <c r="O59" s="7"/>
      <c r="P59" s="7"/>
      <c r="Q59" s="7"/>
      <c r="R59" s="9"/>
      <c r="S59" s="9"/>
    </row>
    <row r="60" spans="1:19" s="8" customFormat="1" ht="12.75" customHeight="1">
      <c r="A60" s="19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N60" s="7"/>
      <c r="O60" s="7"/>
      <c r="P60" s="7"/>
      <c r="Q60" s="7"/>
      <c r="R60" s="9"/>
      <c r="S60" s="9"/>
    </row>
    <row r="61" spans="1:19" s="8" customFormat="1" ht="18.75" customHeight="1">
      <c r="A61" s="19" t="s">
        <v>59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30"/>
      <c r="N61" s="7"/>
      <c r="O61" s="7"/>
      <c r="P61" s="7"/>
      <c r="Q61" s="7"/>
      <c r="R61" s="9"/>
      <c r="S61" s="9"/>
    </row>
    <row r="62" spans="1:19" s="8" customFormat="1" ht="18.75" customHeight="1">
      <c r="A62" s="19" t="s">
        <v>32</v>
      </c>
      <c r="B62" s="20">
        <f>+'07-08 Univ2'!I62</f>
        <v>74336964</v>
      </c>
      <c r="C62" s="25"/>
      <c r="D62" s="25"/>
      <c r="E62" s="25"/>
      <c r="F62" s="25"/>
      <c r="G62" s="25"/>
      <c r="H62" s="25"/>
      <c r="I62" s="25"/>
      <c r="J62" s="25"/>
      <c r="K62" s="25">
        <f>+'07-08 Univ2'!I62</f>
        <v>74336964</v>
      </c>
      <c r="L62" s="20"/>
      <c r="M62" s="32"/>
      <c r="N62" s="7"/>
      <c r="O62" s="7"/>
      <c r="P62" s="7"/>
      <c r="Q62" s="7"/>
      <c r="R62" s="9"/>
      <c r="S62" s="9"/>
    </row>
    <row r="63" spans="1:19" s="8" customFormat="1" ht="12.75" customHeight="1">
      <c r="A63" s="19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6"/>
      <c r="N63" s="7"/>
      <c r="O63" s="7"/>
      <c r="P63" s="7"/>
      <c r="Q63" s="7"/>
      <c r="R63" s="9"/>
      <c r="S63" s="9"/>
    </row>
    <row r="64" spans="1:19" s="8" customFormat="1" ht="22.5">
      <c r="A64" s="19" t="s">
        <v>71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6"/>
      <c r="N64" s="7"/>
      <c r="O64" s="7"/>
      <c r="P64" s="7"/>
      <c r="Q64" s="7"/>
      <c r="R64" s="9"/>
      <c r="S64" s="9"/>
    </row>
    <row r="65" spans="1:20" s="8" customFormat="1" ht="18.75" customHeight="1">
      <c r="A65" s="19" t="s">
        <v>29</v>
      </c>
      <c r="B65" s="20">
        <f>+'07-08 Univ2'!I65</f>
        <v>12771962</v>
      </c>
      <c r="C65" s="20">
        <v>1420769</v>
      </c>
      <c r="D65" s="20">
        <v>835257</v>
      </c>
      <c r="E65" s="20">
        <v>514091</v>
      </c>
      <c r="F65" s="20"/>
      <c r="G65" s="20"/>
      <c r="H65" s="20"/>
      <c r="I65" s="20"/>
      <c r="J65" s="20"/>
      <c r="K65" s="20">
        <f>+F65+E65+D65+C65+B65</f>
        <v>15542079</v>
      </c>
      <c r="L65" s="20"/>
      <c r="M65" s="26"/>
      <c r="N65" s="7"/>
      <c r="O65" s="7"/>
      <c r="P65" s="7"/>
      <c r="Q65" s="7"/>
      <c r="R65" s="9"/>
      <c r="S65" s="9"/>
      <c r="T65" s="9"/>
    </row>
    <row r="66" spans="1:20" s="8" customFormat="1" ht="17.25" customHeight="1">
      <c r="A66" s="19" t="s">
        <v>35</v>
      </c>
      <c r="B66" s="39">
        <f>+'07-08 Univ2'!I66</f>
        <v>4131</v>
      </c>
      <c r="C66" s="39"/>
      <c r="D66" s="39"/>
      <c r="E66" s="39"/>
      <c r="F66" s="39"/>
      <c r="G66" s="39"/>
      <c r="H66" s="39"/>
      <c r="I66" s="39"/>
      <c r="J66" s="39"/>
      <c r="K66" s="39">
        <f>+F66+E66+D66+C66+B66</f>
        <v>4131</v>
      </c>
      <c r="L66" s="20"/>
      <c r="M66" s="26"/>
      <c r="N66" s="7"/>
      <c r="O66" s="7"/>
      <c r="P66" s="7"/>
      <c r="Q66" s="7"/>
      <c r="R66" s="9"/>
      <c r="S66" s="9"/>
      <c r="T66" s="9"/>
    </row>
    <row r="67" spans="1:20" s="8" customFormat="1" ht="22.5">
      <c r="A67" s="19" t="s">
        <v>28</v>
      </c>
      <c r="B67" s="22">
        <f aca="true" t="shared" si="2" ref="B67:K67">SUM(B65:B66)</f>
        <v>12776093</v>
      </c>
      <c r="C67" s="22">
        <f t="shared" si="2"/>
        <v>1420769</v>
      </c>
      <c r="D67" s="22">
        <f t="shared" si="2"/>
        <v>835257</v>
      </c>
      <c r="E67" s="22">
        <f t="shared" si="2"/>
        <v>514091</v>
      </c>
      <c r="F67" s="22">
        <f t="shared" si="2"/>
        <v>0</v>
      </c>
      <c r="G67" s="22"/>
      <c r="H67" s="22"/>
      <c r="I67" s="22"/>
      <c r="J67" s="22"/>
      <c r="K67" s="22">
        <f t="shared" si="2"/>
        <v>15546210</v>
      </c>
      <c r="L67" s="22"/>
      <c r="M67" s="26"/>
      <c r="N67" s="7"/>
      <c r="O67" s="7"/>
      <c r="P67" s="7"/>
      <c r="Q67" s="7"/>
      <c r="R67" s="9"/>
      <c r="S67" s="9"/>
      <c r="T67" s="9"/>
    </row>
    <row r="68" spans="1:19" s="8" customFormat="1" ht="12.75" customHeight="1">
      <c r="A68" s="19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6"/>
      <c r="N68" s="7"/>
      <c r="O68" s="7"/>
      <c r="P68" s="7"/>
      <c r="Q68" s="7"/>
      <c r="R68" s="9"/>
      <c r="S68" s="9"/>
    </row>
    <row r="69" spans="1:19" s="8" customFormat="1" ht="24.75" customHeight="1">
      <c r="A69" s="49" t="s">
        <v>70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6"/>
      <c r="N69" s="7"/>
      <c r="O69" s="7"/>
      <c r="P69" s="7"/>
      <c r="Q69" s="7"/>
      <c r="R69" s="9"/>
      <c r="S69" s="9"/>
    </row>
    <row r="70" spans="1:19" s="8" customFormat="1" ht="18.75" customHeight="1">
      <c r="A70" s="19" t="s">
        <v>29</v>
      </c>
      <c r="B70" s="23"/>
      <c r="C70" s="23"/>
      <c r="D70" s="23"/>
      <c r="E70" s="23"/>
      <c r="F70" s="23"/>
      <c r="G70" s="23"/>
      <c r="H70" s="23"/>
      <c r="I70" s="23"/>
      <c r="J70" s="23">
        <v>3000000</v>
      </c>
      <c r="K70" s="20">
        <f>+F70+E70+D70+C70+B70+I70+J70</f>
        <v>3000000</v>
      </c>
      <c r="L70" s="23"/>
      <c r="M70" s="26"/>
      <c r="N70" s="7"/>
      <c r="O70" s="7"/>
      <c r="P70" s="7"/>
      <c r="Q70" s="7"/>
      <c r="R70" s="9"/>
      <c r="S70" s="9"/>
    </row>
    <row r="71" spans="1:19" s="8" customFormat="1" ht="12.75" customHeight="1">
      <c r="A71" s="19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6"/>
      <c r="N71" s="7"/>
      <c r="O71" s="7"/>
      <c r="P71" s="7"/>
      <c r="Q71" s="7"/>
      <c r="R71" s="9"/>
      <c r="S71" s="9"/>
    </row>
    <row r="72" spans="1:19" s="8" customFormat="1" ht="18.75" customHeight="1">
      <c r="A72" s="19" t="s">
        <v>30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7"/>
      <c r="O72" s="7"/>
      <c r="P72" s="7"/>
      <c r="Q72" s="7"/>
      <c r="R72" s="9"/>
      <c r="S72" s="9"/>
    </row>
    <row r="73" spans="1:19" s="8" customFormat="1" ht="18.75" customHeight="1">
      <c r="A73" s="19" t="s">
        <v>31</v>
      </c>
      <c r="B73" s="23">
        <f>+B65+B59+B56+B53+B41+B35+B26+B17+B10</f>
        <v>2118846141</v>
      </c>
      <c r="C73" s="23">
        <f>+C65+C59+C41+C35+C26+C17+C10</f>
        <v>136657780</v>
      </c>
      <c r="D73" s="23">
        <f>+D65+D59+D41+D35+D26+D17+D10</f>
        <v>97231437</v>
      </c>
      <c r="E73" s="23">
        <f>+E65+E59+E41+E35+E26+E17+E10</f>
        <v>65442046</v>
      </c>
      <c r="F73" s="23">
        <f>+F65+F59+F41+F35+F26+F17+F10</f>
        <v>45017734</v>
      </c>
      <c r="G73" s="23"/>
      <c r="H73" s="23"/>
      <c r="I73" s="23">
        <f>+I65+I59+I41+I35+I26+I17+I10</f>
        <v>13940335</v>
      </c>
      <c r="J73" s="23">
        <f>+J65+J59++J56+J53+J41+J35+J26+J17+J10+J70</f>
        <v>3000000</v>
      </c>
      <c r="K73" s="23">
        <f>+K65+K59+K56+K53+K50+K47+K41+K35+K26+K17+K10+K70</f>
        <v>2490314899</v>
      </c>
      <c r="L73" s="23"/>
      <c r="M73" s="23"/>
      <c r="N73" s="7"/>
      <c r="O73" s="7"/>
      <c r="P73" s="7"/>
      <c r="Q73" s="7"/>
      <c r="R73" s="9"/>
      <c r="S73" s="9"/>
    </row>
    <row r="74" spans="1:19" s="8" customFormat="1" ht="18.75" customHeight="1">
      <c r="A74" s="19" t="s">
        <v>32</v>
      </c>
      <c r="B74" s="23">
        <f>+B62+B42+B36+B27+B18+B11</f>
        <v>229786758</v>
      </c>
      <c r="C74" s="23">
        <f>+C62+C42+C36+C27+C18+C11</f>
        <v>8720592</v>
      </c>
      <c r="D74" s="23">
        <f>+D62+D42+D36+D27+D18+D11</f>
        <v>4490799</v>
      </c>
      <c r="E74" s="23">
        <f>+E62+E42+E36+E27+E18+E11</f>
        <v>2698719</v>
      </c>
      <c r="F74" s="23">
        <f>+F62+F42+F36+F27+F18+F11</f>
        <v>3132</v>
      </c>
      <c r="G74" s="23"/>
      <c r="H74" s="23"/>
      <c r="I74" s="23"/>
      <c r="J74" s="23"/>
      <c r="K74" s="23">
        <f>+K62+K42+K36+K27+K18+K11</f>
        <v>245700000</v>
      </c>
      <c r="L74" s="23"/>
      <c r="M74" s="23"/>
      <c r="N74" s="7"/>
      <c r="O74" s="7"/>
      <c r="P74" s="7"/>
      <c r="Q74" s="7"/>
      <c r="R74" s="9"/>
      <c r="S74" s="9"/>
    </row>
    <row r="75" spans="1:19" s="38" customFormat="1" ht="18.75" customHeight="1">
      <c r="A75" s="35" t="e">
        <f>'07-08 Univ1'!#REF!</f>
        <v>#REF!</v>
      </c>
      <c r="B75" s="22" t="e">
        <f aca="true" t="shared" si="3" ref="B75:K75">+B43+B37+B28+B12</f>
        <v>#REF!</v>
      </c>
      <c r="C75" s="22">
        <f t="shared" si="3"/>
        <v>0</v>
      </c>
      <c r="D75" s="22">
        <f t="shared" si="3"/>
        <v>20613583</v>
      </c>
      <c r="E75" s="22">
        <f t="shared" si="3"/>
        <v>20871302</v>
      </c>
      <c r="F75" s="22">
        <f t="shared" si="3"/>
        <v>7921099</v>
      </c>
      <c r="G75" s="22"/>
      <c r="H75" s="22"/>
      <c r="I75" s="22"/>
      <c r="J75" s="22"/>
      <c r="K75" s="22" t="e">
        <f t="shared" si="3"/>
        <v>#REF!</v>
      </c>
      <c r="L75" s="22"/>
      <c r="M75" s="22"/>
      <c r="N75" s="36"/>
      <c r="O75" s="36"/>
      <c r="P75" s="36"/>
      <c r="Q75" s="36"/>
      <c r="R75" s="37"/>
      <c r="S75" s="37"/>
    </row>
    <row r="76" spans="1:19" s="38" customFormat="1" ht="22.5" customHeight="1">
      <c r="A76" s="35" t="s">
        <v>61</v>
      </c>
      <c r="B76" s="43" t="e">
        <f>+B66+B31+B30+B29+B22+B21+B20+B19+B13</f>
        <v>#REF!</v>
      </c>
      <c r="C76" s="43">
        <f>+C66+C31+C30+C29+C22+C21+C20+C19+C13</f>
        <v>11331541</v>
      </c>
      <c r="D76" s="43">
        <f>+D66+D31+D30+D29+D22+D21+D20+D19+D13</f>
        <v>14820000</v>
      </c>
      <c r="E76" s="43">
        <f>+E66+E31+E30+E29+E22+E21+E20+E19+E13</f>
        <v>0</v>
      </c>
      <c r="F76" s="43">
        <f>+F66+F31+F30+F29+F22+F21+F20+F19+F13</f>
        <v>0</v>
      </c>
      <c r="G76" s="43"/>
      <c r="H76" s="43"/>
      <c r="I76" s="43"/>
      <c r="J76" s="43"/>
      <c r="K76" s="43" t="e">
        <f>+K66+K31+K30+K29+K22+K21+K20+K19+K13</f>
        <v>#REF!</v>
      </c>
      <c r="L76" s="22"/>
      <c r="M76" s="22"/>
      <c r="N76" s="36"/>
      <c r="O76" s="36"/>
      <c r="P76" s="36"/>
      <c r="Q76" s="36"/>
      <c r="R76" s="37"/>
      <c r="S76" s="37"/>
    </row>
    <row r="77" spans="1:11" ht="22.5" customHeight="1" thickBot="1">
      <c r="A77" s="17" t="s">
        <v>63</v>
      </c>
      <c r="B77" s="24" t="e">
        <f aca="true" t="shared" si="4" ref="B77:J77">SUM(B73:B76)</f>
        <v>#REF!</v>
      </c>
      <c r="C77" s="24">
        <f t="shared" si="4"/>
        <v>156709913</v>
      </c>
      <c r="D77" s="24">
        <f t="shared" si="4"/>
        <v>137155819</v>
      </c>
      <c r="E77" s="24">
        <f t="shared" si="4"/>
        <v>89012067</v>
      </c>
      <c r="F77" s="24">
        <f t="shared" si="4"/>
        <v>52941965</v>
      </c>
      <c r="G77" s="24"/>
      <c r="H77" s="24"/>
      <c r="I77" s="24">
        <f t="shared" si="4"/>
        <v>13940335</v>
      </c>
      <c r="J77" s="24">
        <f t="shared" si="4"/>
        <v>3000000</v>
      </c>
      <c r="K77" s="24" t="e">
        <f>SUM(K73:K76)</f>
        <v>#REF!</v>
      </c>
    </row>
    <row r="78" spans="1:12" ht="46.5" customHeight="1" thickTop="1">
      <c r="A78" s="50" t="s">
        <v>41</v>
      </c>
      <c r="L78" s="3"/>
    </row>
    <row r="80" ht="22.5" customHeight="1">
      <c r="A80" s="5"/>
    </row>
  </sheetData>
  <mergeCells count="4">
    <mergeCell ref="A1:M1"/>
    <mergeCell ref="A2:M2"/>
    <mergeCell ref="A3:M3"/>
    <mergeCell ref="A4:M4"/>
  </mergeCells>
  <printOptions horizontalCentered="1"/>
  <pageMargins left="0" right="0" top="0.5" bottom="0.16" header="0.17" footer="0.21"/>
  <pageSetup horizontalDpi="600" verticalDpi="600" orientation="landscape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University System of FL</dc:creator>
  <cp:keywords/>
  <dc:description/>
  <cp:lastModifiedBy>tim.jones</cp:lastModifiedBy>
  <cp:lastPrinted>2007-07-26T16:02:19Z</cp:lastPrinted>
  <dcterms:created xsi:type="dcterms:W3CDTF">1998-05-20T01:33:25Z</dcterms:created>
  <dcterms:modified xsi:type="dcterms:W3CDTF">2007-07-26T16:02:22Z</dcterms:modified>
  <cp:category/>
  <cp:version/>
  <cp:contentType/>
  <cp:contentStatus/>
</cp:coreProperties>
</file>